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s" sheetId="1" r:id="rId5"/>
    <sheet state="hidden" name="cal_parsed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lb" sheetId="8" r:id="rId12"/>
    <sheet state="visible" name="RR" sheetId="9" r:id="rId13"/>
    <sheet state="visible" name="RR_v2" sheetId="10" r:id="rId14"/>
    <sheet state="visible" name="J" sheetId="11" r:id="rId15"/>
    <sheet state="visible" name="J_v2" sheetId="12" r:id="rId16"/>
    <sheet state="visible" name="HH" sheetId="13" r:id="rId17"/>
    <sheet state="visible" name="HH_v2" sheetId="14" r:id="rId18"/>
    <sheet state="visible" name="BB" sheetId="15" r:id="rId19"/>
    <sheet state="visible" name="BB_v2" sheetId="16" r:id="rId20"/>
    <sheet state="visible" name="Ki" sheetId="17" r:id="rId21"/>
    <sheet state="visible" name="Ki_v2" sheetId="18" r:id="rId22"/>
    <sheet state="visible" name="NS" sheetId="19" r:id="rId23"/>
    <sheet state="visible" name="NS_v2" sheetId="20" r:id="rId24"/>
    <sheet state="visible" name="Ph" sheetId="21" r:id="rId25"/>
    <sheet state="visible" name="Ph_v2" sheetId="22" r:id="rId26"/>
    <sheet state="visible" name="F" sheetId="23" r:id="rId27"/>
    <sheet state="visible" name="F_v2" sheetId="24" r:id="rId28"/>
    <sheet state="visible" name="Race" sheetId="25" r:id="rId29"/>
    <sheet state="visible" name="Race_v2" sheetId="26" r:id="rId30"/>
    <sheet state="visible" name="TaD" sheetId="27" r:id="rId31"/>
    <sheet state="visible" name="TaD_v2" sheetId="28" r:id="rId32"/>
    <sheet state="visible" name="TE" sheetId="29" r:id="rId33"/>
    <sheet state="visible" name="RM" sheetId="30" r:id="rId34"/>
    <sheet state="visible" name="cal_curr" sheetId="31" r:id="rId35"/>
    <sheet state="visible" name="cal_new" sheetId="32" r:id="rId36"/>
    <sheet state="hidden" name="oldEcoGainsSim_PlybyPly" sheetId="33" r:id="rId37"/>
    <sheet state="hidden" name="EcoPackGains" sheetId="34" r:id="rId38"/>
    <sheet state="hidden" name="PackConfig" sheetId="35" r:id="rId39"/>
    <sheet state="hidden" name="AlbumConfig" sheetId="36" r:id="rId40"/>
    <sheet state="hidden" name="CardPoolConfig" sheetId="37" r:id="rId41"/>
    <sheet state="hidden" name="PlayerBehavior" sheetId="38" r:id="rId42"/>
    <sheet state="hidden" name="SimSummary" sheetId="39" r:id="rId43"/>
    <sheet state="hidden" name="SimOutput" sheetId="40" r:id="rId44"/>
    <sheet state="visible" name="Sim per Segment" sheetId="41" r:id="rId45"/>
    <sheet state="visible" name="EcoGainsSim_HC" sheetId="42" r:id="rId46"/>
    <sheet state="visible" name="EcoGainsSim_Daily" sheetId="43" r:id="rId47"/>
    <sheet state="visible" name="EcoGainsSim_PlybyPly" sheetId="44" r:id="rId48"/>
    <sheet state="visible" name="data_gains" sheetId="45" r:id="rId49"/>
    <sheet state="visible" name="data_seg_beh" sheetId="46" r:id="rId50"/>
    <sheet state="visible" name="data_event_inst" sheetId="47" r:id="rId51"/>
    <sheet state="visible" name="data_event_accrual" sheetId="48" r:id="rId52"/>
    <sheet state="visible" name="data_event_kite_accrual" sheetId="49" r:id="rId53"/>
    <sheet state="visible" name="data_RM" sheetId="50" r:id="rId54"/>
    <sheet state="visible" name="data_streaks" sheetId="51" r:id="rId55"/>
    <sheet state="visible" name="data_econ" sheetId="52" r:id="rId5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This shows Player attendance throughout the 28 day Season with account for weekday preference.
Each number represents the number of levels Players completed each day</t>
      </text>
    </comment>
    <comment authorId="0" ref="G2">
      <text>
        <t xml:space="preserve">Probability weight of Players attending on these specific days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25th percentile of per-player gain over all active players; non-gainers contribute 0.</t>
      </text>
    </comment>
    <comment authorId="0" ref="H1">
      <text>
        <t xml:space="preserve">Median per-player gain over all active players; non-gainers contribute 0.</t>
      </text>
    </comment>
    <comment authorId="0" ref="I1">
      <text>
        <t xml:space="preserve">75th percentile of per-player gain over all active players; non-gainers contribute 0.</t>
      </text>
    </comment>
    <comment authorId="0" ref="J1">
      <text>
        <t xml:space="preserve">90th percentile of per-player gain over all active players; non-gainers contribute 0.</t>
      </text>
    </comment>
    <comment authorId="0" ref="K1">
      <text>
        <t xml:space="preserve">25th percentile of per-player spend over all active players; non-spenders contribute 0.</t>
      </text>
    </comment>
    <comment authorId="0" ref="L1">
      <text>
        <t xml:space="preserve">Median per-player spend over all active players; non-spenders contribute 0.</t>
      </text>
    </comment>
    <comment authorId="0" ref="M1">
      <text>
        <t xml:space="preserve">75th percentile of per-player spend over all active players; non-spenders contribute 0.</t>
      </text>
    </comment>
    <comment authorId="0" ref="N1">
      <text>
        <t xml:space="preserve">90th percentile of per-player spend over all active players; non-spenders contribute 0.</t>
      </text>
    </comment>
    <comment authorId="0" ref="O1">
      <text>
        <t xml:space="preserve">25th percentile of per-player net, computed as each player's gain minus spend first.</t>
      </text>
    </comment>
    <comment authorId="0" ref="P1">
      <text>
        <t xml:space="preserve">Median per-player net, computed as each player's gain minus spend first.</t>
      </text>
    </comment>
    <comment authorId="0" ref="Q1">
      <text>
        <t xml:space="preserve">75th percentile of per-player net, computed as each player's gain minus spend first.</t>
      </text>
    </comment>
    <comment authorId="0" ref="R1">
      <text>
        <t xml:space="preserve">90th percentile of per-player net, computed as each player's gain minus spend first.</t>
      </text>
    </comment>
  </commentList>
</comments>
</file>

<file path=xl/sharedStrings.xml><?xml version="1.0" encoding="utf-8"?>
<sst xmlns="http://schemas.openxmlformats.org/spreadsheetml/2006/main" count="21817" uniqueCount="2117">
  <si>
    <t>Name</t>
  </si>
  <si>
    <t>Link to old</t>
  </si>
  <si>
    <t>Link to new</t>
  </si>
  <si>
    <t>RR</t>
  </si>
  <si>
    <t>RR_v2</t>
  </si>
  <si>
    <t>NS</t>
  </si>
  <si>
    <t>NS_v2</t>
  </si>
  <si>
    <t>J</t>
  </si>
  <si>
    <t>J_v2</t>
  </si>
  <si>
    <t>TaD</t>
  </si>
  <si>
    <t>TaD_v2</t>
  </si>
  <si>
    <t>c_day</t>
  </si>
  <si>
    <t>c_day_v2</t>
  </si>
  <si>
    <t>c_saga</t>
  </si>
  <si>
    <t>c_saga_v2</t>
  </si>
  <si>
    <t>F</t>
  </si>
  <si>
    <t>F_v2</t>
  </si>
  <si>
    <t>Ki</t>
  </si>
  <si>
    <t>Ki_v2</t>
  </si>
  <si>
    <t>BB</t>
  </si>
  <si>
    <t>BB_v2</t>
  </si>
  <si>
    <t>Ph</t>
  </si>
  <si>
    <t>Ph_v2</t>
  </si>
  <si>
    <t>Race</t>
  </si>
  <si>
    <t>Race_v2</t>
  </si>
  <si>
    <t>HH</t>
  </si>
  <si>
    <t>HH_v2</t>
  </si>
  <si>
    <t>calendar</t>
  </si>
  <si>
    <t>event</t>
  </si>
  <si>
    <t>start</t>
  </si>
  <si>
    <t>dur</t>
  </si>
  <si>
    <t>cal_curr</t>
  </si>
  <si>
    <t>Target Day</t>
  </si>
  <si>
    <t>Top Players Leaderboard</t>
  </si>
  <si>
    <t>Jigsaw Puzzle</t>
  </si>
  <si>
    <t>Photoshoot</t>
  </si>
  <si>
    <t>Bomb's Ballet Show</t>
  </si>
  <si>
    <t>Progress Pack</t>
  </si>
  <si>
    <t>Season Offers</t>
  </si>
  <si>
    <t>Season Pass</t>
  </si>
  <si>
    <t>Team Event</t>
  </si>
  <si>
    <t>Top Teams Leaderboard</t>
  </si>
  <si>
    <t>Team Race</t>
  </si>
  <si>
    <t>Kite Festival</t>
  </si>
  <si>
    <t>Hatchling Hideaway</t>
  </si>
  <si>
    <t>Special Offer</t>
  </si>
  <si>
    <t>Flash Race</t>
  </si>
  <si>
    <t>Chuck's Challenge</t>
  </si>
  <si>
    <t>Bomb's Challenge</t>
  </si>
  <si>
    <t>Flock Flurry</t>
  </si>
  <si>
    <t>Level Race</t>
  </si>
  <si>
    <t>Red's Challenge</t>
  </si>
  <si>
    <t>Night Sky</t>
  </si>
  <si>
    <t>cal_new</t>
  </si>
  <si>
    <t>Rainbow Maker</t>
  </si>
  <si>
    <t>Saga Progression - OLD Config (5-segment scheme)</t>
  </si>
  <si>
    <t>0-9</t>
  </si>
  <si>
    <t>10-19</t>
  </si>
  <si>
    <t>20-39</t>
  </si>
  <si>
    <t>40-99</t>
  </si>
  <si>
    <t>100+</t>
  </si>
  <si>
    <t>all segs</t>
  </si>
  <si>
    <t>Node</t>
  </si>
  <si>
    <t>Levels Req</t>
  </si>
  <si>
    <t>HC Reward</t>
  </si>
  <si>
    <t>👁</t>
  </si>
  <si>
    <t>Original</t>
  </si>
  <si>
    <t>Old Nerf</t>
  </si>
  <si>
    <t>SPT</t>
  </si>
  <si>
    <t>Red</t>
  </si>
  <si>
    <t>Chuck</t>
  </si>
  <si>
    <t>Bomb</t>
  </si>
  <si>
    <t>Slingshot</t>
  </si>
  <si>
    <t>Shuffle</t>
  </si>
  <si>
    <t>Comet</t>
  </si>
  <si>
    <t>Unlimited Lives</t>
  </si>
  <si>
    <t>Unlimited Red</t>
  </si>
  <si>
    <t>Unlimited Chuck</t>
  </si>
  <si>
    <t>Unlimited Bomb</t>
  </si>
  <si>
    <t>Coin Val</t>
  </si>
  <si>
    <t>cur</t>
  </si>
  <si>
    <t>image</t>
  </si>
  <si>
    <t>Coins</t>
  </si>
  <si>
    <t>Total per cycle</t>
  </si>
  <si>
    <t>HC per level</t>
  </si>
  <si>
    <t>Saga Progression - NEW Config (5-segment scheme)</t>
  </si>
  <si>
    <t>Daily Rewards - OLD Config</t>
  </si>
  <si>
    <t>Day</t>
  </si>
  <si>
    <t>Variant 1</t>
  </si>
  <si>
    <t>Coin</t>
  </si>
  <si>
    <t>Avg HC/day (7d)</t>
  </si>
  <si>
    <t>Variant 2</t>
  </si>
  <si>
    <t>Variant 3</t>
  </si>
  <si>
    <t>Variant 4</t>
  </si>
  <si>
    <t>Variant 5</t>
  </si>
  <si>
    <t>Daily Rewards - NEW Config</t>
  </si>
  <si>
    <t>% of old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</si>
  <si>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</si>
  <si>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</si>
  <si>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</si>
  <si>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</si>
  <si>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</si>
  <si>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</si>
  <si>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</si>
  <si>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</si>
  <si>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1-star Dly</t>
  </si>
  <si>
    <t>2-star Dly</t>
  </si>
  <si>
    <t>3-star Dly</t>
  </si>
  <si>
    <t>4-star Dly</t>
  </si>
  <si>
    <t>5-star Dly</t>
  </si>
  <si>
    <t>6-star Dly</t>
  </si>
  <si>
    <t>Total</t>
  </si>
  <si>
    <t>NA</t>
  </si>
  <si>
    <t>Season Pass Challenge</t>
  </si>
  <si>
    <t>Config Panel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</si>
  <si>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</si>
  <si>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</si>
  <si>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</si>
  <si>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</si>
  <si>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</si>
  <si>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</si>
  <si>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</si>
  <si>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</si>
  <si>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</si>
  <si>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</si>
  <si>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</si>
  <si>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</si>
  <si>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</si>
  <si>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</si>
  <si>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</si>
  <si>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</si>
  <si>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</si>
  <si>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</si>
  <si>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</si>
  <si>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</si>
  <si>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</si>
  <si>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</si>
  <si>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</si>
  <si>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</si>
  <si>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</si>
  <si>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</si>
  <si>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</si>
  <si>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</si>
  <si>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</si>
  <si>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</si>
  <si>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</si>
  <si>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</si>
  <si>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</si>
  <si>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</si>
  <si>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</si>
  <si>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</si>
  <si>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</si>
  <si>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</si>
  <si>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</si>
  <si>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</si>
  <si>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tokenMultiplier</t>
  </si>
  <si>
    <t>scoreDoubler</t>
  </si>
  <si>
    <t>Milestone</t>
  </si>
  <si>
    <t>Cumul token req</t>
  </si>
  <si>
    <t>Player Reach Simulation (per event day) - SIMULATED</t>
  </si>
  <si>
    <t>Percentile</t>
  </si>
  <si>
    <t>p50</t>
  </si>
  <si>
    <t>Payer</t>
  </si>
  <si>
    <t>NONPAYER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</si>
  <si>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</si>
  <si>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</si>
  <si>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</si>
  <si>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</si>
  <si>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</si>
  <si>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</si>
  <si>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</si>
  <si>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</si>
  <si>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</si>
  <si>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</si>
  <si>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</si>
  <si>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NormalLevelTokenReward</t>
  </si>
  <si>
    <t>HardLevelTokenReward</t>
  </si>
  <si>
    <t>ExtremeLevelTokenReward</t>
  </si>
  <si>
    <t>Gate number</t>
  </si>
  <si>
    <t>Gate 1</t>
  </si>
  <si>
    <t>Gate 2</t>
  </si>
  <si>
    <t>Gate 3</t>
  </si>
  <si>
    <t>Gate 4</t>
  </si>
  <si>
    <t>Gate 5</t>
  </si>
  <si>
    <t>Avg</t>
  </si>
  <si>
    <t>accuracy</t>
  </si>
  <si>
    <t>Gate</t>
  </si>
  <si>
    <t>Tiles</t>
  </si>
  <si>
    <t>Cum tokens req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</si>
  <si>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</si>
  <si>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</si>
  <si>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</si>
  <si>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</si>
  <si>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</si>
  <si>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</si>
  <si>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</si>
  <si>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leagueGroupSize</t>
  </si>
  <si>
    <t>Event Duration (days)</t>
  </si>
  <si>
    <t>milestonesRequiredForLeaderboard</t>
  </si>
  <si>
    <t>scoreAddition</t>
  </si>
  <si>
    <t>assetBundle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</si>
  <si>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</si>
  <si>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</si>
  <si>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</si>
  <si>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</si>
  <si>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</si>
  <si>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</si>
  <si>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</si>
  <si>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</si>
  <si>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</si>
  <si>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</si>
  <si>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</si>
  <si>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</si>
  <si>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</si>
  <si>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</si>
  <si>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</si>
  <si>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</si>
  <si>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</si>
  <si>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</si>
  <si>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</si>
  <si>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</si>
  <si>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</si>
  <si>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</si>
  <si>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</si>
  <si>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</si>
  <si>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</si>
  <si>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</si>
  <si>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lastTierUnlockRequirement</t>
  </si>
  <si>
    <t>manualRewardClaiming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</si>
  <si>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</si>
  <si>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</si>
  <si>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</si>
  <si>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</si>
  <si>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</si>
  <si>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</si>
  <si>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</si>
  <si>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</si>
  <si>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</si>
  <si>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</si>
  <si>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</si>
  <si>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</si>
  <si>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</si>
  <si>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</si>
  <si>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</si>
  <si>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</si>
  <si>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</si>
  <si>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</si>
  <si>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</si>
  <si>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</si>
  <si>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</si>
  <si>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</si>
  <si>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</si>
  <si>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</si>
  <si>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</si>
  <si>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</si>
  <si>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</si>
  <si>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</si>
  <si>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</si>
  <si>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</si>
  <si>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</si>
  <si>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</si>
  <si>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</si>
  <si>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</si>
  <si>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</si>
  <si>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</si>
  <si>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</si>
  <si>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</si>
  <si>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</si>
  <si>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</si>
  <si>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</si>
  <si>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</si>
  <si>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</si>
  <si>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</si>
  <si>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</si>
  <si>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</si>
  <si>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</si>
  <si>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</si>
  <si>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Endless Rewards - Lane 3 (post-completion shop)</t>
  </si>
  <si>
    <t>Player Reach Simulation (per event day) - SIMULATED - GREEDY (reward-item-first)</t>
  </si>
  <si>
    <t>Cum item price</t>
  </si>
  <si>
    <t>Greedy cum. cost</t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</si>
  <si>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</si>
  <si>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simplified: items bought sequentially in item-id order (choice ignored)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</si>
  <si>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</si>
  <si>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</si>
  <si>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</si>
  <si>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</si>
  <si>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</si>
  <si>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</si>
  <si>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</si>
  <si>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</si>
  <si>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</si>
  <si>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</si>
  <si>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</si>
  <si>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</si>
  <si>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</si>
  <si>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</si>
  <si>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All LB Challenges</t>
  </si>
  <si>
    <t>Red's Challenge - Config Panel</t>
  </si>
  <si>
    <t>numberOfPositions</t>
  </si>
  <si>
    <t>LBSize</t>
  </si>
  <si>
    <t>Red's Challenge - Goals and Rewards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</si>
  <si>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</si>
  <si>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</si>
  <si>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</si>
  <si>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</si>
  <si>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</si>
  <si>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</si>
  <si>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</si>
  <si>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</si>
  <si>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Red Challenge</t>
  </si>
  <si>
    <t>Chuck Challenge</t>
  </si>
  <si>
    <t>Bomb Challenge</t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</si>
  <si>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</si>
  <si>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</si>
  <si>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</si>
  <si>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</si>
  <si>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</si>
  <si>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</si>
  <si>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</si>
  <si>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</si>
  <si>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</si>
  <si>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</si>
  <si>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</si>
  <si>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Leaderboard Goals and Rewards</t>
  </si>
  <si>
    <t>LB#</t>
  </si>
  <si>
    <t>Target Day (LB)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</si>
  <si>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</si>
  <si>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</si>
  <si>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</si>
  <si>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</si>
  <si>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</si>
  <si>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</si>
  <si>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</si>
  <si>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</si>
  <si>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</si>
  <si>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</si>
  <si>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</si>
  <si>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</si>
  <si>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</si>
  <si>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</si>
  <si>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MILESTONE CONFIG 4 day</t>
  </si>
  <si>
    <t>Matchables Req</t>
  </si>
  <si>
    <t>Req Accum</t>
  </si>
  <si>
    <t>Chest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</si>
  <si>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</si>
  <si>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</si>
  <si>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</si>
  <si>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</si>
  <si>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</si>
  <si>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</si>
  <si>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</si>
  <si>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</si>
  <si>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</si>
  <si>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</si>
  <si>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Mystery Puzzle</t>
  </si>
  <si>
    <t>Summary Section</t>
  </si>
  <si>
    <t>Instances Count</t>
  </si>
  <si>
    <t>old</t>
  </si>
  <si>
    <t>new</t>
  </si>
  <si>
    <t>diff</t>
  </si>
  <si>
    <t>Summary of old vs new</t>
  </si>
  <si>
    <t>source</t>
  </si>
  <si>
    <t>instances</t>
  </si>
  <si>
    <t>event-days</t>
  </si>
  <si>
    <t>Ads</t>
  </si>
  <si>
    <t>Core</t>
  </si>
  <si>
    <t>Daily Gift</t>
  </si>
  <si>
    <t>Daily Night Sky Prize</t>
  </si>
  <si>
    <t>Jigsaw</t>
  </si>
  <si>
    <t>Other</t>
  </si>
  <si>
    <t>Saga</t>
  </si>
  <si>
    <t>Season Pass (Free)</t>
  </si>
  <si>
    <t>FlowerCoop</t>
  </si>
  <si>
    <t>IAPs</t>
  </si>
  <si>
    <t xml:space="preserve">Note: This is a spreadsheet that is supposed to simulate players' play-by-play experience on a specific day in the calendar. The main goal of this type of simulation is to show interactions between different combinations of events </t>
  </si>
  <si>
    <t>Day to Simulate</t>
  </si>
  <si>
    <t>Player Segment</t>
  </si>
  <si>
    <t>Levels Played</t>
  </si>
  <si>
    <t>Inventory</t>
  </si>
  <si>
    <t>Source Gains</t>
  </si>
  <si>
    <t>Play #</t>
  </si>
  <si>
    <t>Level Index</t>
  </si>
  <si>
    <t>Win?</t>
  </si>
  <si>
    <t>Current Streak Size</t>
  </si>
  <si>
    <t>Spend</t>
  </si>
  <si>
    <t>YES</t>
  </si>
  <si>
    <t>{Coins: 100, Chuck: 1}</t>
  </si>
  <si>
    <t>{}</t>
  </si>
  <si>
    <t>{Red: 1}</t>
  </si>
  <si>
    <t>TLE ACTIVE DAYS (shared)</t>
  </si>
  <si>
    <t>Source</t>
  </si>
  <si>
    <t>Active Days</t>
  </si>
  <si>
    <t>Notes</t>
  </si>
  <si>
    <t>Schedule</t>
  </si>
  <si>
    <t>Time-limited event</t>
  </si>
  <si>
    <t>1/0/0/0/1/0/0/0/1/0/0/0/1/0/0/0/1/0/0/0/1/0/0/0/1/0/0/0/1</t>
  </si>
  <si>
    <t>0/1/0/0/0/1/0/0/0/1/0/0/0/1/0/0/0/1/0/0/0/1/0/0/0/1/0/0/0</t>
  </si>
  <si>
    <t>0/0/1/0/0/0/1/0/0/0/1/0/0/0/1/0/0/0/1/0/0/0/1/0/0/0/1/0/0</t>
  </si>
  <si>
    <t>0/0/0/1/0/0/0/1/0/0/0/1/0/0/0/1/0/0/0/1/0/0/0/1/0/0/0/1/0</t>
  </si>
  <si>
    <t>Permanent (always 28)</t>
  </si>
  <si>
    <t>1/1/1/1/1/1/1/1/1/1/1/1/1/1/1/1/1/1/1/1/1/1/1/1/1/1/1/1/1</t>
  </si>
  <si>
    <t>Season Pass (Paid)</t>
  </si>
  <si>
    <t>Hatching Hideaway</t>
  </si>
  <si>
    <t>0/0/0/0/0/0/0/0/0/1/1/1/0/0/0/0/0/0/0/0/0/1/1/1/0/0/0/0/0</t>
  </si>
  <si>
    <t>0/0/0/0/0/0/1/1/1/0/0/0/0/0/0/0/0/0/1/1/1/0/0/0/0/0/0/0/0</t>
  </si>
  <si>
    <t>0/0/0/1/1/1/0/0/0/0/0/0/0/0/0/1/1/1/0/0/0/0/0/0/0/0/0/1/1</t>
  </si>
  <si>
    <t>Photoshop</t>
  </si>
  <si>
    <t>1/1/1/0/0/0/0/0/0/0/0/0/1/1/1/0/0/0/0/0/0/0/0/0/1/1/1/0/0</t>
  </si>
  <si>
    <t>0/0/0/0/0/0/0/1/1/1/1/1/1/1/0/0/0/0/0/0/0/1/1/1/1/1/1/1/0</t>
  </si>
  <si>
    <t>0/0/0/0/0/0/0/0/0/1/1/1/0/0/0/0/0/0/0/0/0/0/0/0/0/0/0/0/0</t>
  </si>
  <si>
    <t>1/1/1/1/1/1/1/0/0/0/0/0/0/0/1/1/1/1/1/1/1/0/0/0/0/0/0/0/1</t>
  </si>
  <si>
    <t>IAP</t>
  </si>
  <si>
    <t>0/1/0/1/0/1/0/1/0/1/0/1/0/1/0/1/0/1/0/1/0/1/0/1/0/1/0/1/0</t>
  </si>
  <si>
    <t>Daily</t>
  </si>
  <si>
    <t>PACKS</t>
  </si>
  <si>
    <t>Player Type</t>
  </si>
  <si>
    <t>1-star 28d</t>
  </si>
  <si>
    <t>2-star 28d</t>
  </si>
  <si>
    <t>3-star 28d</t>
  </si>
  <si>
    <t>4-star 28d</t>
  </si>
  <si>
    <t>5-star 28d</t>
  </si>
  <si>
    <t>6-star 28d</t>
  </si>
  <si>
    <t>Total 28d</t>
  </si>
  <si>
    <t>Casual (Free)</t>
  </si>
  <si>
    <t>-</t>
  </si>
  <si>
    <t>Casual (Payer)</t>
  </si>
  <si>
    <t>Mid-Core (Free)</t>
  </si>
  <si>
    <t>Mid-Core (Payer)</t>
  </si>
  <si>
    <t>Hardcore (Free)</t>
  </si>
  <si>
    <t>Hardcore (Payer)</t>
  </si>
  <si>
    <t>SEASON BASICS</t>
  </si>
  <si>
    <t>Parameter</t>
  </si>
  <si>
    <t>Value</t>
  </si>
  <si>
    <t>Total Cards per Season</t>
  </si>
  <si>
    <t>used in the sim script</t>
  </si>
  <si>
    <t>Number of Sets</t>
  </si>
  <si>
    <t>Cards per Set</t>
  </si>
  <si>
    <t>Season Duration (days)</t>
  </si>
  <si>
    <t>Album Count (before loop)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</si>
  <si>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</si>
  <si>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</si>
  <si>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</si>
  <si>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</si>
  <si>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</si>
  <si>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</si>
  <si>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</si>
  <si>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</si>
  <si>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</si>
  <si>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PACK RARITY PROBABILITIES</t>
  </si>
  <si>
    <t>Pack Type</t>
  </si>
  <si>
    <t>Cards/Open</t>
  </si>
  <si>
    <t>Sum</t>
  </si>
  <si>
    <t>1-star Pack</t>
  </si>
  <si>
    <t>2-star Pack</t>
  </si>
  <si>
    <t>3-star Pack</t>
  </si>
  <si>
    <t>4-star Pack</t>
  </si>
  <si>
    <t>5-star Pack</t>
  </si>
  <si>
    <t>6-star Pack</t>
  </si>
  <si>
    <r>
      <rPr>
        <color rgb="FFFF0000"/>
      </rPr>
      <t xml:space="preserve">REMEMBER THE RULES OF 5-star and 6-star Cards (look here - </t>
    </r>
    <r>
      <rPr>
        <color rgb="FFFF0000"/>
        <u/>
      </rPr>
      <t>https://royalkingdom.com/en/collection)</t>
    </r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</si>
  <si>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</si>
  <si>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</si>
  <si>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</si>
  <si>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</si>
  <si>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</si>
  <si>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</si>
  <si>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</si>
  <si>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</si>
  <si>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</si>
  <si>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</si>
  <si>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</si>
  <si>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</si>
  <si>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SNAP POOL</t>
  </si>
  <si>
    <t>Rarity</t>
  </si>
  <si>
    <t>Qty Count</t>
  </si>
  <si>
    <t>Rewards</t>
  </si>
  <si>
    <t>SET REWARDS</t>
  </si>
  <si>
    <t xml:space="preserve"> TEMP REWARDS</t>
  </si>
  <si>
    <t>Set ID</t>
  </si>
  <si>
    <t>Set 2</t>
  </si>
  <si>
    <t>Set 3</t>
  </si>
  <si>
    <t>Set 4</t>
  </si>
  <si>
    <t>Set 5</t>
  </si>
  <si>
    <t>Set 6</t>
  </si>
  <si>
    <t>Set 7</t>
  </si>
  <si>
    <t>Set 8</t>
  </si>
  <si>
    <t>ALBUM REWARDS</t>
  </si>
  <si>
    <t>Album ID</t>
  </si>
  <si>
    <t>Album 2</t>
  </si>
  <si>
    <t>Album 3</t>
  </si>
  <si>
    <t>CARD CATALOG</t>
  </si>
  <si>
    <t>Params</t>
  </si>
  <si>
    <t>Pooool</t>
  </si>
  <si>
    <t>Poool after</t>
  </si>
  <si>
    <t>Card ID</t>
  </si>
  <si>
    <t>Card Name</t>
  </si>
  <si>
    <t>Card</t>
  </si>
  <si>
    <t>Weight</t>
  </si>
  <si>
    <t>Count</t>
  </si>
  <si>
    <t>% Probability</t>
  </si>
  <si>
    <t>Result</t>
  </si>
  <si>
    <t>CARD_01_s1</t>
  </si>
  <si>
    <t>Skull Isle - Compass</t>
  </si>
  <si>
    <t>Skull Isle</t>
  </si>
  <si>
    <t>number of opens: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</si>
  <si>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</si>
  <si>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</si>
  <si>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</si>
  <si>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</si>
  <si>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</si>
  <si>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</si>
  <si>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</si>
  <si>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</si>
  <si>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</si>
  <si>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</si>
  <si>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</si>
  <si>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Skull Isle - Helm</t>
  </si>
  <si>
    <t>Skull Isle - Compass 1★ #A14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</si>
  <si>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</si>
  <si>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</si>
  <si>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</si>
  <si>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</si>
  <si>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</si>
  <si>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</si>
  <si>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</si>
  <si>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</si>
  <si>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</si>
  <si>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</si>
  <si>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</si>
  <si>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</si>
  <si>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</si>
  <si>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</si>
  <si>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</si>
  <si>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</si>
  <si>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</si>
  <si>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CARD_11_s2</t>
  </si>
  <si>
    <t>Kraken Lair - Ink Cloud</t>
  </si>
  <si>
    <t>Skull Isle - Map 1★ #A52</t>
  </si>
  <si>
    <t>CARD_12_s2</t>
  </si>
  <si>
    <t>Kraken Lair - Pearl</t>
  </si>
  <si>
    <t>Skull Isle - Map 1★ #507</t>
  </si>
  <si>
    <t>CARD_13_s2</t>
  </si>
  <si>
    <t>Kraken Lair - Trident</t>
  </si>
  <si>
    <t>Skull Isle - Map 1★ #FBC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</si>
  <si>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</si>
  <si>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</si>
  <si>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</si>
  <si>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</si>
  <si>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</si>
  <si>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</si>
  <si>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</si>
  <si>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</si>
  <si>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</si>
  <si>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</si>
  <si>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</si>
  <si>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</si>
  <si>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Skull Isle - Map 1★ #A90</t>
  </si>
  <si>
    <t>CARD_18_s2</t>
  </si>
  <si>
    <t>Kraken Lair - Eyepatch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</si>
  <si>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</si>
  <si>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</si>
  <si>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</si>
  <si>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</si>
  <si>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</si>
  <si>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</si>
  <si>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</si>
  <si>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</si>
  <si>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</si>
  <si>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Skull Isle - Map 1★ #AAF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</si>
  <si>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</si>
  <si>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</si>
  <si>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</si>
  <si>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</si>
  <si>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</si>
  <si>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</si>
  <si>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CARD_23_s3</t>
  </si>
  <si>
    <t>Gold Cove - Crown</t>
  </si>
  <si>
    <t>Skull Isle - Spyglass 1★ #ACE</t>
  </si>
  <si>
    <t>CARD_24_s3</t>
  </si>
  <si>
    <t>Gold Cove - Goblet</t>
  </si>
  <si>
    <t>Skull Isle - Spyglass 1★ #583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</si>
  <si>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</si>
  <si>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</si>
  <si>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</si>
  <si>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</si>
  <si>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</si>
  <si>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</si>
  <si>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CARD_27_s3</t>
  </si>
  <si>
    <t>Gold Cove - Scepter</t>
  </si>
  <si>
    <t>Skull Isle - Spyglass 1★ #5A2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</si>
  <si>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</si>
  <si>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</si>
  <si>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</si>
  <si>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</si>
  <si>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</si>
  <si>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</si>
  <si>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</si>
  <si>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</si>
  <si>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</si>
  <si>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</si>
  <si>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</si>
  <si>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</si>
  <si>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</si>
  <si>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</si>
  <si>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</si>
  <si>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</si>
  <si>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</si>
  <si>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</si>
  <si>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</si>
  <si>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</si>
  <si>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</si>
  <si>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</si>
  <si>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</si>
  <si>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</si>
  <si>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</si>
  <si>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Cards Player Got</t>
  </si>
  <si>
    <t>CARD_36_s4</t>
  </si>
  <si>
    <t>Ghost Ship - Log</t>
  </si>
  <si>
    <t>Skull Isle - Helm 2★ #5FF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</si>
  <si>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</si>
  <si>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</si>
  <si>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</si>
  <si>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</si>
  <si>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</si>
  <si>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</si>
  <si>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</si>
  <si>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</si>
  <si>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</si>
  <si>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</si>
  <si>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</si>
  <si>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</si>
  <si>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</si>
  <si>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</si>
  <si>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</si>
  <si>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</si>
  <si>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</si>
  <si>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</si>
  <si>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</si>
  <si>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</si>
  <si>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</si>
  <si>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</si>
  <si>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</si>
  <si>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</si>
  <si>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</si>
  <si>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</si>
  <si>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</si>
  <si>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</si>
  <si>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</si>
  <si>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</si>
  <si>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</si>
  <si>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</si>
  <si>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</si>
  <si>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</si>
  <si>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</si>
  <si>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</si>
  <si>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</si>
  <si>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</si>
  <si>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</si>
  <si>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</si>
  <si>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</si>
  <si>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</si>
  <si>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</si>
  <si>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</si>
  <si>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</si>
  <si>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</si>
  <si>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</si>
  <si>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</si>
  <si>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</si>
  <si>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</si>
  <si>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CARD_54_s6</t>
  </si>
  <si>
    <t>Cannon Fort - Horn</t>
  </si>
  <si>
    <t>CARD_55_s7</t>
  </si>
  <si>
    <t>Siren Reef - Harp</t>
  </si>
  <si>
    <t>Siren Reef</t>
  </si>
  <si>
    <t>CARD_56_s7</t>
  </si>
  <si>
    <t>Siren Reef - Mirror</t>
  </si>
  <si>
    <t>CARD_57_s7</t>
  </si>
  <si>
    <t>Siren Reef - Comb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</si>
  <si>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</si>
  <si>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</si>
  <si>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</si>
  <si>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</si>
  <si>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</si>
  <si>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</si>
  <si>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CARD_61_s7</t>
  </si>
  <si>
    <t>Siren Reef - Wave</t>
  </si>
  <si>
    <t>CARD_62_s7</t>
  </si>
  <si>
    <t>Siren Reef - Driftwood</t>
  </si>
  <si>
    <t>CARD_63_s7</t>
  </si>
  <si>
    <t>Siren Reef - Conch</t>
  </si>
  <si>
    <t>CARD_64_s8</t>
  </si>
  <si>
    <t>Dead Man Bay - Pistol</t>
  </si>
  <si>
    <t>Dead Man Bay</t>
  </si>
  <si>
    <t>CARD_65_s8</t>
  </si>
  <si>
    <t>Dead Man Bay - Rum</t>
  </si>
  <si>
    <t>CARD_66_s8</t>
  </si>
  <si>
    <t>Dead Man Bay - Treasure Map</t>
  </si>
  <si>
    <t>CARD_67_s8</t>
  </si>
  <si>
    <t>Dead Man Bay - Jolly Roger</t>
  </si>
  <si>
    <t>CARD_68_s8</t>
  </si>
  <si>
    <t>Dead Man Bay - Gold Tooth</t>
  </si>
  <si>
    <t>CARD_69_s8</t>
  </si>
  <si>
    <t>Dead Man Bay - Dagger</t>
  </si>
  <si>
    <t>CARD_70_s8</t>
  </si>
  <si>
    <t>Dead Man Bay - Bandana</t>
  </si>
  <si>
    <t>CARD_71_s8</t>
  </si>
  <si>
    <t>Dead Man Bay - Boots</t>
  </si>
  <si>
    <t>CARD_72_s8</t>
  </si>
  <si>
    <t>Dead Man Bay - Beard</t>
  </si>
  <si>
    <t>SET DETAIL VIEWS</t>
  </si>
  <si>
    <t>Skull Isle (Set 1)</t>
  </si>
  <si>
    <t>Kraken Lair (Set 2)</t>
  </si>
  <si>
    <t>Gold Cove (Set 3)</t>
  </si>
  <si>
    <t>Ghost Ship (Set 4)</t>
  </si>
  <si>
    <t>Storm Port (Set 5)</t>
  </si>
  <si>
    <t>Cannon Fort (Set 6)</t>
  </si>
  <si>
    <t>Siren Reef (Set 7)</t>
  </si>
  <si>
    <t>Dead Man Bay (Set 8)</t>
  </si>
  <si>
    <t>COUNTA IS BEING A BITCH, VALUE UNDER THIS SHOULDN'T BE ANYTHING EXCEPT FOR 0</t>
  </si>
  <si>
    <t>SET COMPOSITION SUMMARY</t>
  </si>
  <si>
    <t>Set</t>
  </si>
  <si>
    <t>6★</t>
  </si>
  <si>
    <t>SET REWARDS - DREAM ALBUM</t>
  </si>
  <si>
    <t>Unl. Lives</t>
  </si>
  <si>
    <t>Unl. Red</t>
  </si>
  <si>
    <t>Unl. Chuck</t>
  </si>
  <si>
    <t>Unl. Bomb</t>
  </si>
  <si>
    <t>SET REWARDS - GRAND ALBUM</t>
  </si>
  <si>
    <t>SET REWARDS - SUPERIOR ALBUM</t>
  </si>
  <si>
    <t>ALBUM COMPLETION REWARDS</t>
  </si>
  <si>
    <t>Album Tier</t>
  </si>
  <si>
    <t>Dream Album</t>
  </si>
  <si>
    <t>Grand Album</t>
  </si>
  <si>
    <t>Superior Album</t>
  </si>
  <si>
    <t>CARD POOL</t>
  </si>
  <si>
    <t>Unique Count</t>
  </si>
  <si>
    <t>% prob</t>
  </si>
  <si>
    <t>How do you deal with real probabilities of the pool vs set probabilities in the Packs</t>
  </si>
  <si>
    <t>I think, since each packs just assigns it's own probability we treat it like a weight (similar as we do in this sim)</t>
  </si>
  <si>
    <t>And then apply this weight for each occurance of the Card of that Star and roll on that total pool</t>
  </si>
  <si>
    <t>Simulated Result</t>
  </si>
  <si>
    <t>number of cards (from opens):</t>
  </si>
  <si>
    <t>Starting Pool</t>
  </si>
  <si>
    <t>Summary</t>
  </si>
  <si>
    <t>experienced %</t>
  </si>
  <si>
    <t>Skull Isle - Compass 1★ #A52</t>
  </si>
  <si>
    <t>Skull Isle - Compass 1★ #507</t>
  </si>
  <si>
    <t>Skull Isle - Compass 1★ #FBC</t>
  </si>
  <si>
    <t>Skull Isle - Compass 1★ #A71</t>
  </si>
  <si>
    <t>Skull Isle - Map 1★ #564</t>
  </si>
  <si>
    <t>Skull Isle - Map 1★ #019</t>
  </si>
  <si>
    <t>Skull Isle - Map 1★ #ACE</t>
  </si>
  <si>
    <t>Skull Isle - Map 1★ #583</t>
  </si>
  <si>
    <t>Skull Isle - Map 1★ #038</t>
  </si>
  <si>
    <t>Skull Isle - Map 1★ #AED</t>
  </si>
  <si>
    <t>Skull Isle - Map 1★ #5A2</t>
  </si>
  <si>
    <t>Skull Isle - Map 1★ #057</t>
  </si>
  <si>
    <t>Skull Isle - Spyglass 1★ #076</t>
  </si>
  <si>
    <t>Skull Isle - Spyglass 1★ #B2B</t>
  </si>
  <si>
    <t>Skull Isle - Spyglass 1★ #5E0</t>
  </si>
  <si>
    <t>Skull Isle - Spyglass 1★ #095</t>
  </si>
  <si>
    <t>Skull Isle - Spyglass 1★ #B4A</t>
  </si>
  <si>
    <t>Skull Isle - Spyglass 1★ #5FF</t>
  </si>
  <si>
    <t>Skull Isle - Spyglass 1★ #0B4</t>
  </si>
  <si>
    <t>Skull Isle - Spyglass 1★ #B69</t>
  </si>
  <si>
    <t>Skull Isle - Spyglass 1★ #61E</t>
  </si>
  <si>
    <t>Skull Isle - Spyglass 1★ #0D3</t>
  </si>
  <si>
    <t>Skull Isle - Spyglass 1★ #B88</t>
  </si>
  <si>
    <t>Skull Isle - Spyglass 1★ #63D</t>
  </si>
  <si>
    <t>Skull Isle - Anchor 1★ #0F2</t>
  </si>
  <si>
    <t>Skull Isle - Anchor 1★ #BA7</t>
  </si>
  <si>
    <t>Skull Isle - Anchor 1★ #65C</t>
  </si>
  <si>
    <t>Skull Isle - Anchor 1★ #111</t>
  </si>
  <si>
    <t>Skull Isle - Anchor 1★ #BC6</t>
  </si>
  <si>
    <t>Skull Isle - Anchor 1★ #67B</t>
  </si>
  <si>
    <t>Skull Isle - Anchor 1★ #130</t>
  </si>
  <si>
    <t>Skull Isle - Anchor 1★ #BE5</t>
  </si>
  <si>
    <t>Skull Isle - Anchor 1★ #69A</t>
  </si>
  <si>
    <t>Skull Isle - Anchor 1★ #14F</t>
  </si>
  <si>
    <t>Skull Isle - Anchor 1★ #C04</t>
  </si>
  <si>
    <t>Skull Isle - Anchor 1★ #6B9</t>
  </si>
  <si>
    <t>Skull Isle - Anchor 1★ #16E</t>
  </si>
  <si>
    <t>Skull Isle - Anchor 1★ #C23</t>
  </si>
  <si>
    <t>Skull Isle - Helm 2★ #6D8</t>
  </si>
  <si>
    <t>Skull Isle - Helm 2★ #18D</t>
  </si>
  <si>
    <t>Skull Isle - Helm 2★ #C42</t>
  </si>
  <si>
    <t>Skull Isle - Helm 2★ #6F7</t>
  </si>
  <si>
    <t>Skull Isle - Helm 2★ #1AC</t>
  </si>
  <si>
    <t>Skull Isle - Helm 2★ #C61</t>
  </si>
  <si>
    <t>Skull Isle - Helm 2★ #716</t>
  </si>
  <si>
    <t>Skull Isle - Helm 2★ #1CB</t>
  </si>
  <si>
    <t>Skull Isle - Helm 2★ #C80</t>
  </si>
  <si>
    <t>Skull Isle - Helm 2★ #735</t>
  </si>
  <si>
    <t>Skull Isle - Helm 2★ #1EA</t>
  </si>
  <si>
    <t>Skull Isle - Helm 2★ #C9F</t>
  </si>
  <si>
    <t>Skull Isle - Helm 2★ #754</t>
  </si>
  <si>
    <t>Skull Isle - Cutlass 2★ #209</t>
  </si>
  <si>
    <t>Skull Isle - Cutlass 2★ #CBE</t>
  </si>
  <si>
    <t>Skull Isle - Cutlass 2★ #773</t>
  </si>
  <si>
    <t>Skull Isle - Cutlass 2★ #228</t>
  </si>
  <si>
    <t>Skull Isle - Cutlass 2★ #CDD</t>
  </si>
  <si>
    <t>Skull Isle - Cutlass 2★ #792</t>
  </si>
  <si>
    <t>Skull Isle - Cutlass 2★ #247</t>
  </si>
  <si>
    <t>Skull Isle - Cutlass 2★ #CFC</t>
  </si>
  <si>
    <t>Skull Isle - Cutlass 2★ #7B1</t>
  </si>
  <si>
    <t>Skull Isle - Cutlass 2★ #266</t>
  </si>
  <si>
    <t>Skull Isle - Cutlass 2★ #D1B</t>
  </si>
  <si>
    <t>Skull Isle - Cutlass 2★ #7D0</t>
  </si>
  <si>
    <t>Skull Isle - Cutlass 2★ #285</t>
  </si>
  <si>
    <t>Skull Isle - Parrot 2★ #D3A</t>
  </si>
  <si>
    <t>Skull Isle - Parrot 2★ #7EF</t>
  </si>
  <si>
    <t>Skull Isle - Parrot 2★ #2A4</t>
  </si>
  <si>
    <t>Skull Isle - Parrot 2★ #D59</t>
  </si>
  <si>
    <t>Skull Isle - Parrot 2★ #80E</t>
  </si>
  <si>
    <t>Skull Isle - Parrot 2★ #2C3</t>
  </si>
  <si>
    <t>Skull Isle - Parrot 2★ #D78</t>
  </si>
  <si>
    <t>Skull Isle - Parrot 2★ #82D</t>
  </si>
  <si>
    <t>Skull Isle - Parrot 2★ #2E2</t>
  </si>
  <si>
    <t>Skull Isle - Parrot 2★ #D97</t>
  </si>
  <si>
    <t>Skull Isle - Parrot 2★ #84C</t>
  </si>
  <si>
    <t>Skull Isle - Parrot 2★ #301</t>
  </si>
  <si>
    <t>Skull Isle - Parrot 2★ #DB6</t>
  </si>
  <si>
    <t>Skull Isle - Chest 3★ #86B</t>
  </si>
  <si>
    <t>Skull Isle - Chest 3★ #320</t>
  </si>
  <si>
    <t>Skull Isle - Chest 3★ #DD5</t>
  </si>
  <si>
    <t>Skull Isle - Chest 3★ #88A</t>
  </si>
  <si>
    <t>Skull Isle - Chest 3★ #33F</t>
  </si>
  <si>
    <t>Skull Isle - Chest 3★ #DF4</t>
  </si>
  <si>
    <t>Skull Isle - Chest 3★ #8A9</t>
  </si>
  <si>
    <t>Skull Isle - Chest 3★ #35E</t>
  </si>
  <si>
    <t>Skull Isle - Chest 3★ #E13</t>
  </si>
  <si>
    <t>Skull Isle - Chest 3★ #8C8</t>
  </si>
  <si>
    <t>Skull Isle - Chest 3★ #37D</t>
  </si>
  <si>
    <t>Skull Isle - Chest 3★ #E32</t>
  </si>
  <si>
    <t>Skull Isle - Chest 3★ #8E7</t>
  </si>
  <si>
    <t>Skull Isle - Skull 3★ #39C</t>
  </si>
  <si>
    <t>Skull Isle - Skull 3★ #E51</t>
  </si>
  <si>
    <t>Skull Isle - Skull 3★ #906</t>
  </si>
  <si>
    <t>Skull Isle - Skull 3★ #3BB</t>
  </si>
  <si>
    <t>Skull Isle - Skull 3★ #E70</t>
  </si>
  <si>
    <t>Skull Isle - Skull 3★ #925</t>
  </si>
  <si>
    <t>Skull Isle - Skull 3★ #3DA</t>
  </si>
  <si>
    <t>Skull Isle - Skull 3★ #E8F</t>
  </si>
  <si>
    <t>Skull Isle - Skull 3★ #944</t>
  </si>
  <si>
    <t>Skull Isle - Skull 3★ #3F9</t>
  </si>
  <si>
    <t>Skull Isle - Skull 3★ #EAE</t>
  </si>
  <si>
    <t>Skull Isle - Skull 3★ #963</t>
  </si>
  <si>
    <t>Skull Isle - Skull 3★ #418</t>
  </si>
  <si>
    <t>Kraken Lair - Tentacle 1★ #ECD</t>
  </si>
  <si>
    <t>Kraken Lair - Tentacle 1★ #982</t>
  </si>
  <si>
    <t>Kraken Lair - Tentacle 1★ #437</t>
  </si>
  <si>
    <t>Kraken Lair - Tentacle 1★ #EEC</t>
  </si>
  <si>
    <t>Kraken Lair - Tentacle 1★ #9A1</t>
  </si>
  <si>
    <t>Kraken Lair - Tentacle 1★ #456</t>
  </si>
  <si>
    <t>Kraken Lair - Tentacle 1★ #F0B</t>
  </si>
  <si>
    <t>Kraken Lair - Tentacle 1★ #9C0</t>
  </si>
  <si>
    <t>Kraken Lair - Tentacle 1★ #475</t>
  </si>
  <si>
    <t>Kraken Lair - Tentacle 1★ #F2A</t>
  </si>
  <si>
    <t>Kraken Lair - Tentacle 1★ #9DF</t>
  </si>
  <si>
    <t>Kraken Lair - Tentacle 1★ #494</t>
  </si>
  <si>
    <t>Kraken Lair - Tentacle 1★ #F49</t>
  </si>
  <si>
    <t>Kraken Lair - Tentacle 1★ #9FE</t>
  </si>
  <si>
    <t>Kraken Lair - Ink Cloud 1★ #4B3</t>
  </si>
  <si>
    <t>Kraken Lair - Ink Cloud 1★ #F68</t>
  </si>
  <si>
    <t>Kraken Lair - Ink Cloud 1★ #A1D</t>
  </si>
  <si>
    <t>Kraken Lair - Ink Cloud 1★ #4D2</t>
  </si>
  <si>
    <t>Kraken Lair - Ink Cloud 1★ #F87</t>
  </si>
  <si>
    <t>Kraken Lair - Ink Cloud 1★ #A3C</t>
  </si>
  <si>
    <t>Kraken Lair - Ink Cloud 1★ #4F1</t>
  </si>
  <si>
    <t>Kraken Lair - Ink Cloud 1★ #FA6</t>
  </si>
  <si>
    <t>Kraken Lair - Ink Cloud 1★ #A5B</t>
  </si>
  <si>
    <t>Kraken Lair - Ink Cloud 1★ #510</t>
  </si>
  <si>
    <t>Kraken Lair - Ink Cloud 1★ #FC5</t>
  </si>
  <si>
    <t>Kraken Lair - Ink Cloud 1★ #A7A</t>
  </si>
  <si>
    <t>Kraken Lair - Ink Cloud 1★ #52F</t>
  </si>
  <si>
    <t>Kraken Lair - Ink Cloud 1★ #FE4</t>
  </si>
  <si>
    <t>Kraken Lair - Pearl 1★ #A99</t>
  </si>
  <si>
    <t>Kraken Lair - Pearl 1★ #54E</t>
  </si>
  <si>
    <t>Kraken Lair - Pearl 1★ #003</t>
  </si>
  <si>
    <t>Kraken Lair - Pearl 1★ #AB8</t>
  </si>
  <si>
    <t>Kraken Lair - Pearl 1★ #56D</t>
  </si>
  <si>
    <t>Kraken Lair - Pearl 1★ #022</t>
  </si>
  <si>
    <t>Kraken Lair - Pearl 1★ #AD7</t>
  </si>
  <si>
    <t>Kraken Lair - Pearl 1★ #58C</t>
  </si>
  <si>
    <t>Kraken Lair - Pearl 1★ #041</t>
  </si>
  <si>
    <t>Kraken Lair - Pearl 1★ #AF6</t>
  </si>
  <si>
    <t>Kraken Lair - Pearl 1★ #5AB</t>
  </si>
  <si>
    <t>Kraken Lair - Pearl 1★ #060</t>
  </si>
  <si>
    <t>Kraken Lair - Pearl 1★ #B15</t>
  </si>
  <si>
    <t>Kraken Lair - Pearl 1★ #5CA</t>
  </si>
  <si>
    <t>Kraken Lair - Trident 1★ #07F</t>
  </si>
  <si>
    <t>Kraken Lair - Trident 1★ #B34</t>
  </si>
  <si>
    <t>Kraken Lair - Trident 1★ #5E9</t>
  </si>
  <si>
    <t>Kraken Lair - Trident 1★ #09E</t>
  </si>
  <si>
    <t>Kraken Lair - Trident 1★ #B53</t>
  </si>
  <si>
    <t>Kraken Lair - Trident 1★ #608</t>
  </si>
  <si>
    <t>Kraken Lair - Trident 1★ #0BD</t>
  </si>
  <si>
    <t>Kraken Lair - Trident 1★ #B72</t>
  </si>
  <si>
    <t>Kraken Lair - Trident 1★ #627</t>
  </si>
  <si>
    <t>Kraken Lair - Trident 1★ #0DC</t>
  </si>
  <si>
    <t>Kraken Lair - Trident 1★ #B91</t>
  </si>
  <si>
    <t>Kraken Lair - Trident 1★ #646</t>
  </si>
  <si>
    <t>Kraken Lair - Trident 1★ #0FB</t>
  </si>
  <si>
    <t>Kraken Lair - Trident 1★ #BB0</t>
  </si>
  <si>
    <t>Kraken Lair - Shell 2★ #665</t>
  </si>
  <si>
    <t>Kraken Lair - Shell 2★ #11A</t>
  </si>
  <si>
    <t>Kraken Lair - Shell 2★ #BCF</t>
  </si>
  <si>
    <t>Kraken Lair - Shell 2★ #684</t>
  </si>
  <si>
    <t>Kraken Lair - Shell 2★ #139</t>
  </si>
  <si>
    <t>Kraken Lair - Shell 2★ #BEE</t>
  </si>
  <si>
    <t>Kraken Lair - Shell 2★ #6A3</t>
  </si>
  <si>
    <t>Kraken Lair - Shell 2★ #158</t>
  </si>
  <si>
    <t>Kraken Lair - Shell 2★ #C0D</t>
  </si>
  <si>
    <t>Kraken Lair - Shell 2★ #6C2</t>
  </si>
  <si>
    <t>Kraken Lair - Shell 2★ #177</t>
  </si>
  <si>
    <t>Kraken Lair - Shell 2★ #C2C</t>
  </si>
  <si>
    <t>Kraken Lair - Shell 2★ #6E1</t>
  </si>
  <si>
    <t>Kraken Lair - Coral 2★ #196</t>
  </si>
  <si>
    <t>Kraken Lair - Coral 2★ #C4B</t>
  </si>
  <si>
    <t>Kraken Lair - Coral 2★ #700</t>
  </si>
  <si>
    <t>Kraken Lair - Coral 2★ #1B5</t>
  </si>
  <si>
    <t>Kraken Lair - Coral 2★ #C6A</t>
  </si>
  <si>
    <t>Kraken Lair - Coral 2★ #71F</t>
  </si>
  <si>
    <t>Kraken Lair - Coral 2★ #1D4</t>
  </si>
  <si>
    <t>Kraken Lair - Coral 2★ #C89</t>
  </si>
  <si>
    <t>Kraken Lair - Coral 2★ #73E</t>
  </si>
  <si>
    <t>Kraken Lair - Coral 2★ #1F3</t>
  </si>
  <si>
    <t>Kraken Lair - Coral 2★ #CA8</t>
  </si>
  <si>
    <t>Kraken Lair - Coral 2★ #75D</t>
  </si>
  <si>
    <t>Kraken Lair - Coral 2★ #212</t>
  </si>
  <si>
    <t>Kraken Lair - Lantern 3★ #CC7</t>
  </si>
  <si>
    <t>Kraken Lair - Lantern 3★ #77C</t>
  </si>
  <si>
    <t>Kraken Lair - Lantern 3★ #231</t>
  </si>
  <si>
    <t>Kraken Lair - Lantern 3★ #CE6</t>
  </si>
  <si>
    <t>Kraken Lair - Lantern 3★ #79B</t>
  </si>
  <si>
    <t>Kraken Lair - Lantern 3★ #250</t>
  </si>
  <si>
    <t>Kraken Lair - Lantern 3★ #D05</t>
  </si>
  <si>
    <t>Kraken Lair - Lantern 3★ #7BA</t>
  </si>
  <si>
    <t>Kraken Lair - Lantern 3★ #26F</t>
  </si>
  <si>
    <t>Kraken Lair - Lantern 3★ #D24</t>
  </si>
  <si>
    <t>Kraken Lair - Lantern 3★ #7D9</t>
  </si>
  <si>
    <t>Kraken Lair - Lantern 3★ #28E</t>
  </si>
  <si>
    <t>Kraken Lair - Lantern 3★ #D43</t>
  </si>
  <si>
    <t>Kraken Lair - Hook 3★ #7F8</t>
  </si>
  <si>
    <t>Kraken Lair - Hook 3★ #2AD</t>
  </si>
  <si>
    <t>Kraken Lair - Hook 3★ #D62</t>
  </si>
  <si>
    <t>Kraken Lair - Hook 3★ #817</t>
  </si>
  <si>
    <t>Kraken Lair - Hook 3★ #2CC</t>
  </si>
  <si>
    <t>Kraken Lair - Hook 3★ #D81</t>
  </si>
  <si>
    <t>Kraken Lair - Hook 3★ #836</t>
  </si>
  <si>
    <t>Kraken Lair - Hook 3★ #2EB</t>
  </si>
  <si>
    <t>Kraken Lair - Hook 3★ #DA0</t>
  </si>
  <si>
    <t>Kraken Lair - Hook 3★ #855</t>
  </si>
  <si>
    <t>Kraken Lair - Hook 3★ #30A</t>
  </si>
  <si>
    <t>Kraken Lair - Hook 3★ #DBF</t>
  </si>
  <si>
    <t>Kraken Lair - Hook 3★ #874</t>
  </si>
  <si>
    <t>Kraken Lair - Eyepatch 4★ #329</t>
  </si>
  <si>
    <t>Kraken Lair - Eyepatch 4★ #DDE</t>
  </si>
  <si>
    <t>Kraken Lair - Eyepatch 4★ #893</t>
  </si>
  <si>
    <t>Kraken Lair - Eyepatch 4★ #348</t>
  </si>
  <si>
    <t>Kraken Lair - Eyepatch 4★ #DFD</t>
  </si>
  <si>
    <t>Kraken Lair - Eyepatch 4★ #8B2</t>
  </si>
  <si>
    <t>Kraken Lair - Eyepatch 4★ #367</t>
  </si>
  <si>
    <t>Kraken Lair - Eyepatch 4★ #E1C</t>
  </si>
  <si>
    <t>Kraken Lair - Eyepatch 4★ #8D1</t>
  </si>
  <si>
    <t>Kraken Lair - Eyepatch 4★ #386</t>
  </si>
  <si>
    <t>Kraken Lair - Eyepatch 4★ #E3B</t>
  </si>
  <si>
    <t>Kraken Lair - Eyepatch 4★ #8F0</t>
  </si>
  <si>
    <t>Gold Cove - Doubloon 1★ #3A5</t>
  </si>
  <si>
    <t>Gold Cove - Doubloon 1★ #E5A</t>
  </si>
  <si>
    <t>Gold Cove - Doubloon 1★ #90F</t>
  </si>
  <si>
    <t>Gold Cove - Doubloon 1★ #3C4</t>
  </si>
  <si>
    <t>Gold Cove - Doubloon 1★ #E79</t>
  </si>
  <si>
    <t>Gold Cove - Doubloon 1★ #92E</t>
  </si>
  <si>
    <t>Gold Cove - Doubloon 1★ #3E3</t>
  </si>
  <si>
    <t>Gold Cove - Doubloon 1★ #E98</t>
  </si>
  <si>
    <t>Gold Cove - Doubloon 1★ #94D</t>
  </si>
  <si>
    <t>Gold Cove - Doubloon 1★ #402</t>
  </si>
  <si>
    <t>Gold Cove - Doubloon 1★ #EB7</t>
  </si>
  <si>
    <t>Gold Cove - Doubloon 1★ #96C</t>
  </si>
  <si>
    <t>Gold Cove - Doubloon 1★ #421</t>
  </si>
  <si>
    <t>Gold Cove - Ruby 1★ #ED6</t>
  </si>
  <si>
    <t>Gold Cove - Ruby 1★ #98B</t>
  </si>
  <si>
    <t>Gold Cove - Ruby 1★ #440</t>
  </si>
  <si>
    <t>Gold Cove - Ruby 1★ #EF5</t>
  </si>
  <si>
    <t>Gold Cove - Ruby 1★ #9AA</t>
  </si>
  <si>
    <t>Gold Cove - Ruby 1★ #45F</t>
  </si>
  <si>
    <t>Gold Cove - Ruby 1★ #F14</t>
  </si>
  <si>
    <t>Gold Cove - Ruby 1★ #9C9</t>
  </si>
  <si>
    <t>Gold Cove - Ruby 1★ #47E</t>
  </si>
  <si>
    <t>Gold Cove - Ruby 1★ #F33</t>
  </si>
  <si>
    <t>Gold Cove - Ruby 1★ #9E8</t>
  </si>
  <si>
    <t>Gold Cove - Ruby 1★ #49D</t>
  </si>
  <si>
    <t>Gold Cove - Ruby 1★ #F52</t>
  </si>
  <si>
    <t>Gold Cove - Emerald 1★ #A07</t>
  </si>
  <si>
    <t>Gold Cove - Emerald 1★ #4BC</t>
  </si>
  <si>
    <t>Gold Cove - Emerald 1★ #F71</t>
  </si>
  <si>
    <t>Gold Cove - Emerald 1★ #A26</t>
  </si>
  <si>
    <t>Gold Cove - Emerald 1★ #4DB</t>
  </si>
  <si>
    <t>Gold Cove - Emerald 1★ #F90</t>
  </si>
  <si>
    <t>Gold Cove - Emerald 1★ #A45</t>
  </si>
  <si>
    <t>Gold Cove - Emerald 1★ #4FA</t>
  </si>
  <si>
    <t>Gold Cove - Emerald 1★ #FAF</t>
  </si>
  <si>
    <t>Gold Cove - Emerald 1★ #A64</t>
  </si>
  <si>
    <t>Gold Cove - Emerald 1★ #519</t>
  </si>
  <si>
    <t>Gold Cove - Emerald 1★ #FCE</t>
  </si>
  <si>
    <t>Gold Cove - Emerald 1★ #A83</t>
  </si>
  <si>
    <t>Gold Cove - Diamond 2★ #538</t>
  </si>
  <si>
    <t>Gold Cove - Diamond 2★ #FED</t>
  </si>
  <si>
    <t>Gold Cove - Diamond 2★ #AA2</t>
  </si>
  <si>
    <t>Gold Cove - Diamond 2★ #557</t>
  </si>
  <si>
    <t>Gold Cove - Diamond 2★ #00C</t>
  </si>
  <si>
    <t>Gold Cove - Diamond 2★ #AC1</t>
  </si>
  <si>
    <t>Gold Cove - Diamond 2★ #576</t>
  </si>
  <si>
    <t>Gold Cove - Diamond 2★ #02B</t>
  </si>
  <si>
    <t>Gold Cove - Diamond 2★ #AE0</t>
  </si>
  <si>
    <t>Gold Cove - Diamond 2★ #595</t>
  </si>
  <si>
    <t>Gold Cove - Diamond 2★ #04A</t>
  </si>
  <si>
    <t>Gold Cove - Diamond 2★ #AFF</t>
  </si>
  <si>
    <t>Gold Cove - Diamond 2★ #5B4</t>
  </si>
  <si>
    <t>Gold Cove - Crown 2★ #069</t>
  </si>
  <si>
    <t>Gold Cove - Crown 2★ #B1E</t>
  </si>
  <si>
    <t>Gold Cove - Crown 2★ #5D3</t>
  </si>
  <si>
    <t>Gold Cove - Crown 2★ #088</t>
  </si>
  <si>
    <t>Gold Cove - Crown 2★ #B3D</t>
  </si>
  <si>
    <t>Gold Cove - Crown 2★ #5F2</t>
  </si>
  <si>
    <t>Gold Cove - Crown 2★ #0A7</t>
  </si>
  <si>
    <t>Gold Cove - Crown 2★ #B5C</t>
  </si>
  <si>
    <t>Gold Cove - Crown 2★ #611</t>
  </si>
  <si>
    <t>Gold Cove - Crown 2★ #0C6</t>
  </si>
  <si>
    <t>Gold Cove - Crown 2★ #B7B</t>
  </si>
  <si>
    <t>Gold Cove - Crown 2★ #630</t>
  </si>
  <si>
    <t>Gold Cove - Crown 2★ #0E5</t>
  </si>
  <si>
    <t>Gold Cove - Goblet 3★ #B9A</t>
  </si>
  <si>
    <t>Gold Cove - Goblet 3★ #64F</t>
  </si>
  <si>
    <t>Gold Cove - Goblet 3★ #104</t>
  </si>
  <si>
    <t>Gold Cove - Goblet 3★ #BB9</t>
  </si>
  <si>
    <t>Gold Cove - Goblet 3★ #66E</t>
  </si>
  <si>
    <t>Gold Cove - Goblet 3★ #123</t>
  </si>
  <si>
    <t>Gold Cove - Goblet 3★ #BD8</t>
  </si>
  <si>
    <t>Gold Cove - Goblet 3★ #68D</t>
  </si>
  <si>
    <t>Gold Cove - Goblet 3★ #142</t>
  </si>
  <si>
    <t>Gold Cove - Goblet 3★ #BF7</t>
  </si>
  <si>
    <t>Gold Cove - Goblet 3★ #6AC</t>
  </si>
  <si>
    <t>Gold Cove - Goblet 3★ #161</t>
  </si>
  <si>
    <t>Gold Cove - Goblet 3★ #C16</t>
  </si>
  <si>
    <t>Gold Cove - Necklace 4★ #6CB</t>
  </si>
  <si>
    <t>Gold Cove - Necklace 4★ #180</t>
  </si>
  <si>
    <t>Gold Cove - Necklace 4★ #C35</t>
  </si>
  <si>
    <t>Gold Cove - Necklace 4★ #6EA</t>
  </si>
  <si>
    <t>Gold Cove - Necklace 4★ #19F</t>
  </si>
  <si>
    <t>Gold Cove - Necklace 4★ #C54</t>
  </si>
  <si>
    <t>Gold Cove - Necklace 4★ #709</t>
  </si>
  <si>
    <t>Gold Cove - Necklace 4★ #1BE</t>
  </si>
  <si>
    <t>Gold Cove - Necklace 4★ #C73</t>
  </si>
  <si>
    <t>Gold Cove - Necklace 4★ #728</t>
  </si>
  <si>
    <t>Gold Cove - Necklace 4★ #1DD</t>
  </si>
  <si>
    <t>Gold Cove - Necklace 4★ #C92</t>
  </si>
  <si>
    <t>Gold Cove - Ring 4★ #747</t>
  </si>
  <si>
    <t>Gold Cove - Ring 4★ #1FC</t>
  </si>
  <si>
    <t>Gold Cove - Ring 4★ #CB1</t>
  </si>
  <si>
    <t>Gold Cove - Ring 4★ #766</t>
  </si>
  <si>
    <t>Gold Cove - Ring 4★ #21B</t>
  </si>
  <si>
    <t>Gold Cove - Ring 4★ #CD0</t>
  </si>
  <si>
    <t>Gold Cove - Ring 4★ #785</t>
  </si>
  <si>
    <t>Gold Cove - Ring 4★ #23A</t>
  </si>
  <si>
    <t>Gold Cove - Ring 4★ #CEF</t>
  </si>
  <si>
    <t>Gold Cove - Ring 4★ #7A4</t>
  </si>
  <si>
    <t>Gold Cove - Ring 4★ #259</t>
  </si>
  <si>
    <t>Gold Cove - Scepter 5★ #D0E</t>
  </si>
  <si>
    <t>Gold Cove - Scepter 5★ #7C3</t>
  </si>
  <si>
    <t>Gold Cove - Scepter 5★ #278</t>
  </si>
  <si>
    <t>Gold Cove - Scepter 5★ #D2D</t>
  </si>
  <si>
    <t>Gold Cove - Scepter 5★ #7E2</t>
  </si>
  <si>
    <t>Gold Cove - Scepter 5★ #297</t>
  </si>
  <si>
    <t>Ghost Ship - Fog Horn 1★ #D4C</t>
  </si>
  <si>
    <t>Ghost Ship - Fog Horn 1★ #801</t>
  </si>
  <si>
    <t>Ghost Ship - Fog Horn 1★ #2B6</t>
  </si>
  <si>
    <t>Ghost Ship - Fog Horn 1★ #D6B</t>
  </si>
  <si>
    <t>Ghost Ship - Fog Horn 1★ #820</t>
  </si>
  <si>
    <t>Ghost Ship - Fog Horn 1★ #2D5</t>
  </si>
  <si>
    <t>Ghost Ship - Fog Horn 1★ #D8A</t>
  </si>
  <si>
    <t>Ghost Ship - Fog Horn 1★ #83F</t>
  </si>
  <si>
    <t>Ghost Ship - Fog Horn 1★ #2F4</t>
  </si>
  <si>
    <t>Ghost Ship - Fog Horn 1★ #DA9</t>
  </si>
  <si>
    <t>Ghost Ship - Fog Horn 1★ #85E</t>
  </si>
  <si>
    <t>Ghost Ship - Fog Horn 1★ #313</t>
  </si>
  <si>
    <t>Ghost Ship - Fog Horn 1★ #DC8</t>
  </si>
  <si>
    <t>Ghost Ship - Sail 1★ #87D</t>
  </si>
  <si>
    <t>Ghost Ship - Sail 1★ #332</t>
  </si>
  <si>
    <t>Ghost Ship - Sail 1★ #DE7</t>
  </si>
  <si>
    <t>Ghost Ship - Sail 1★ #89C</t>
  </si>
  <si>
    <t>Ghost Ship - Sail 1★ #351</t>
  </si>
  <si>
    <t>Ghost Ship - Sail 1★ #E06</t>
  </si>
  <si>
    <t>Ghost Ship - Sail 1★ #8BB</t>
  </si>
  <si>
    <t>Ghost Ship - Sail 1★ #370</t>
  </si>
  <si>
    <t>Ghost Ship - Sail 1★ #E25</t>
  </si>
  <si>
    <t>Ghost Ship - Sail 1★ #8DA</t>
  </si>
  <si>
    <t>Ghost Ship - Sail 1★ #38F</t>
  </si>
  <si>
    <t>Ghost Ship - Sail 1★ #E44</t>
  </si>
  <si>
    <t>Ghost Ship - Sail 1★ #8F9</t>
  </si>
  <si>
    <t>Ghost Ship - Ghost Lamp 2★ #3AE</t>
  </si>
  <si>
    <t>Ghost Ship - Ghost Lamp 2★ #E63</t>
  </si>
  <si>
    <t>Ghost Ship - Ghost Lamp 2★ #918</t>
  </si>
  <si>
    <t>Ghost Ship - Ghost Lamp 2★ #3CD</t>
  </si>
  <si>
    <t>Ghost Ship - Ghost Lamp 2★ #E82</t>
  </si>
  <si>
    <t>Ghost Ship - Ghost Lamp 2★ #937</t>
  </si>
  <si>
    <t>Ghost Ship - Ghost Lamp 2★ #3EC</t>
  </si>
  <si>
    <t>Ghost Ship - Ghost Lamp 2★ #EA1</t>
  </si>
  <si>
    <t>Ghost Ship - Ghost Lamp 2★ #956</t>
  </si>
  <si>
    <t>Ghost Ship - Ghost Lamp 2★ #40B</t>
  </si>
  <si>
    <t>Ghost Ship - Ghost Lamp 2★ #EC0</t>
  </si>
  <si>
    <t>Ghost Ship - Ghost Lamp 2★ #975</t>
  </si>
  <si>
    <t>Ghost Ship - Ghost Lamp 2★ #42A</t>
  </si>
  <si>
    <t>Ghost Ship - Key 2★ #EDF</t>
  </si>
  <si>
    <t>Ghost Ship - Key 2★ #994</t>
  </si>
  <si>
    <t>Ghost Ship - Key 2★ #449</t>
  </si>
  <si>
    <t>Ghost Ship - Key 2★ #EFE</t>
  </si>
  <si>
    <t>Ghost Ship - Key 2★ #9B3</t>
  </si>
  <si>
    <t>Ghost Ship - Key 2★ #468</t>
  </si>
  <si>
    <t>Ghost Ship - Key 2★ #F1D</t>
  </si>
  <si>
    <t>Ghost Ship - Key 2★ #9D2</t>
  </si>
  <si>
    <t>Ghost Ship - Key 2★ #487</t>
  </si>
  <si>
    <t>Ghost Ship - Key 2★ #F3C</t>
  </si>
  <si>
    <t>Ghost Ship - Key 2★ #9F1</t>
  </si>
  <si>
    <t>Ghost Ship - Key 2★ #4A6</t>
  </si>
  <si>
    <t>Ghost Ship - Key 2★ #F5B</t>
  </si>
  <si>
    <t>Ghost Ship - Plank 3★ #A10</t>
  </si>
  <si>
    <t>Ghost Ship - Plank 3★ #4C5</t>
  </si>
  <si>
    <t>Ghost Ship - Plank 3★ #F7A</t>
  </si>
  <si>
    <t>Ghost Ship - Plank 3★ #A2F</t>
  </si>
  <si>
    <t>Ghost Ship - Plank 3★ #4E4</t>
  </si>
  <si>
    <t>Ghost Ship - Plank 3★ #F99</t>
  </si>
  <si>
    <t>Ghost Ship - Plank 3★ #A4E</t>
  </si>
  <si>
    <t>Ghost Ship - Plank 3★ #503</t>
  </si>
  <si>
    <t>Ghost Ship - Plank 3★ #FB8</t>
  </si>
  <si>
    <t>Ghost Ship - Plank 3★ #A6D</t>
  </si>
  <si>
    <t>Ghost Ship - Plank 3★ #522</t>
  </si>
  <si>
    <t>Ghost Ship - Plank 3★ #FD7</t>
  </si>
  <si>
    <t>Ghost Ship - Plank 3★ #A8C</t>
  </si>
  <si>
    <t>Ghost Ship - Nest 3★ #541</t>
  </si>
  <si>
    <t>Ghost Ship - Nest 3★ #FF6</t>
  </si>
  <si>
    <t>Ghost Ship - Nest 3★ #AAB</t>
  </si>
  <si>
    <t>Ghost Ship - Nest 3★ #560</t>
  </si>
  <si>
    <t>Ghost Ship - Nest 3★ #015</t>
  </si>
  <si>
    <t>Ghost Ship - Nest 3★ #ACA</t>
  </si>
  <si>
    <t>Ghost Ship - Nest 3★ #57F</t>
  </si>
  <si>
    <t>Ghost Ship - Nest 3★ #034</t>
  </si>
  <si>
    <t>Ghost Ship - Nest 3★ #AE9</t>
  </si>
  <si>
    <t>Ghost Ship - Nest 3★ #59E</t>
  </si>
  <si>
    <t>Ghost Ship - Nest 3★ #053</t>
  </si>
  <si>
    <t>Ghost Ship - Nest 3★ #B08</t>
  </si>
  <si>
    <t>Ghost Ship - Nest 3★ #5BD</t>
  </si>
  <si>
    <t>Ghost Ship - Flag 4★ #072</t>
  </si>
  <si>
    <t>Ghost Ship - Flag 4★ #B27</t>
  </si>
  <si>
    <t>Ghost Ship - Flag 4★ #5DC</t>
  </si>
  <si>
    <t>Ghost Ship - Flag 4★ #091</t>
  </si>
  <si>
    <t>Ghost Ship - Flag 4★ #B46</t>
  </si>
  <si>
    <t>Ghost Ship - Flag 4★ #5FB</t>
  </si>
  <si>
    <t>Ghost Ship - Flag 4★ #0B0</t>
  </si>
  <si>
    <t>Ghost Ship - Flag 4★ #B65</t>
  </si>
  <si>
    <t>Ghost Ship - Flag 4★ #61A</t>
  </si>
  <si>
    <t>Ghost Ship - Flag 4★ #0CF</t>
  </si>
  <si>
    <t>Ghost Ship - Flag 4★ #B84</t>
  </si>
  <si>
    <t>Ghost Ship - Chain 4★ #639</t>
  </si>
  <si>
    <t>Ghost Ship - Chain 4★ #0EE</t>
  </si>
  <si>
    <t>Ghost Ship - Chain 4★ #BA3</t>
  </si>
  <si>
    <t>Ghost Ship - Chain 4★ #658</t>
  </si>
  <si>
    <t>Ghost Ship - Chain 4★ #10D</t>
  </si>
  <si>
    <t>Ghost Ship - Chain 4★ #BC2</t>
  </si>
  <si>
    <t>Ghost Ship - Chain 4★ #677</t>
  </si>
  <si>
    <t>Ghost Ship - Chain 4★ #12C</t>
  </si>
  <si>
    <t>Ghost Ship - Chain 4★ #BE1</t>
  </si>
  <si>
    <t>Ghost Ship - Chain 4★ #696</t>
  </si>
  <si>
    <t>Ghost Ship - Chain 4★ #14B</t>
  </si>
  <si>
    <t>Ghost Ship - Log 5★ #C00</t>
  </si>
  <si>
    <t>Ghost Ship - Log 5★ #6B5</t>
  </si>
  <si>
    <t>Ghost Ship - Log 5★ #16A</t>
  </si>
  <si>
    <t>Ghost Ship - Log 5★ #C1F</t>
  </si>
  <si>
    <t>Ghost Ship - Log 5★ #6D4</t>
  </si>
  <si>
    <t>Storm Port - Lightning 1★ #189</t>
  </si>
  <si>
    <t>Storm Port - Lightning 1★ #C3E</t>
  </si>
  <si>
    <t>Storm Port - Lightning 1★ #6F3</t>
  </si>
  <si>
    <t>Storm Port - Lightning 1★ #1A8</t>
  </si>
  <si>
    <t>Storm Port - Lightning 1★ #C5D</t>
  </si>
  <si>
    <t>Storm Port - Lightning 1★ #712</t>
  </si>
  <si>
    <t>Storm Port - Lightning 1★ #1C7</t>
  </si>
  <si>
    <t>Storm Port - Lightning 1★ #C7C</t>
  </si>
  <si>
    <t>Storm Port - Lightning 1★ #731</t>
  </si>
  <si>
    <t>Storm Port - Lightning 1★ #1E6</t>
  </si>
  <si>
    <t>Storm Port - Lightning 1★ #C9B</t>
  </si>
  <si>
    <t>Storm Port - Lightning 1★ #750</t>
  </si>
  <si>
    <t>Storm Port - Lightning 1★ #205</t>
  </si>
  <si>
    <t>Storm Port - Barrel 1★ #CBA</t>
  </si>
  <si>
    <t>Storm Port - Barrel 1★ #76F</t>
  </si>
  <si>
    <t>Storm Port - Barrel 1★ #224</t>
  </si>
  <si>
    <t>Storm Port - Barrel 1★ #CD9</t>
  </si>
  <si>
    <t>Storm Port - Barrel 1★ #78E</t>
  </si>
  <si>
    <t>Storm Port - Barrel 1★ #243</t>
  </si>
  <si>
    <t>Storm Port - Barrel 1★ #CF8</t>
  </si>
  <si>
    <t>Storm Port - Barrel 1★ #7AD</t>
  </si>
  <si>
    <t>Storm Port - Barrel 1★ #262</t>
  </si>
  <si>
    <t>Storm Port - Barrel 1★ #D17</t>
  </si>
  <si>
    <t>Storm Port - Barrel 1★ #7CC</t>
  </si>
  <si>
    <t>Storm Port - Barrel 1★ #281</t>
  </si>
  <si>
    <t>Storm Port - Barrel 1★ #D36</t>
  </si>
  <si>
    <t>Storm Port - Rope 2★ #7EB</t>
  </si>
  <si>
    <t>Storm Port - Rope 2★ #2A0</t>
  </si>
  <si>
    <t>Storm Port - Rope 2★ #D55</t>
  </si>
  <si>
    <t>Storm Port - Rope 2★ #80A</t>
  </si>
  <si>
    <t>Storm Port - Rope 2★ #2BF</t>
  </si>
  <si>
    <t>Storm Port - Rope 2★ #D74</t>
  </si>
  <si>
    <t>Storm Port - Rope 2★ #829</t>
  </si>
  <si>
    <t>Storm Port - Rope 2★ #2DE</t>
  </si>
  <si>
    <t>Storm Port - Rope 2★ #D93</t>
  </si>
  <si>
    <t>Storm Port - Rope 2★ #848</t>
  </si>
  <si>
    <t>Storm Port - Rope 2★ #2FD</t>
  </si>
  <si>
    <t>Storm Port - Rope 2★ #DB2</t>
  </si>
  <si>
    <t>Storm Port - Rope 2★ #867</t>
  </si>
  <si>
    <t>Storm Port - Cleat 2★ #31C</t>
  </si>
  <si>
    <t>Storm Port - Cleat 2★ #DD1</t>
  </si>
  <si>
    <t>Storm Port - Cleat 2★ #886</t>
  </si>
  <si>
    <t>Storm Port - Cleat 2★ #33B</t>
  </si>
  <si>
    <t>Storm Port - Cleat 2★ #DF0</t>
  </si>
  <si>
    <t>Storm Port - Cleat 2★ #8A5</t>
  </si>
  <si>
    <t>Storm Port - Cleat 2★ #35A</t>
  </si>
  <si>
    <t>Storm Port - Cleat 2★ #E0F</t>
  </si>
  <si>
    <t>Storm Port - Cleat 2★ #8C4</t>
  </si>
  <si>
    <t>Storm Port - Cleat 2★ #379</t>
  </si>
  <si>
    <t>Storm Port - Cleat 2★ #E2E</t>
  </si>
  <si>
    <t>Storm Port - Cleat 2★ #8E3</t>
  </si>
  <si>
    <t>Storm Port - Cleat 2★ #398</t>
  </si>
  <si>
    <t>Storm Port - Flare 3★ #E4D</t>
  </si>
  <si>
    <t>Storm Port - Flare 3★ #902</t>
  </si>
  <si>
    <t>Storm Port - Flare 3★ #3B7</t>
  </si>
  <si>
    <t>Storm Port - Flare 3★ #E6C</t>
  </si>
  <si>
    <t>Storm Port - Flare 3★ #921</t>
  </si>
  <si>
    <t>Storm Port - Flare 3★ #3D6</t>
  </si>
  <si>
    <t>Storm Port - Flare 3★ #E8B</t>
  </si>
  <si>
    <t>Storm Port - Flare 3★ #940</t>
  </si>
  <si>
    <t>Storm Port - Flare 3★ #3F5</t>
  </si>
  <si>
    <t>Storm Port - Flare 3★ #EAA</t>
  </si>
  <si>
    <t>Storm Port - Flare 3★ #95F</t>
  </si>
  <si>
    <t>Storm Port - Flare 3★ #414</t>
  </si>
  <si>
    <t>Storm Port - Flare 3★ #EC9</t>
  </si>
  <si>
    <t>Storm Port - Bucket 4★ #97E</t>
  </si>
  <si>
    <t>Storm Port - Bucket 4★ #433</t>
  </si>
  <si>
    <t>Storm Port - Bucket 4★ #EE8</t>
  </si>
  <si>
    <t>Storm Port - Bucket 4★ #99D</t>
  </si>
  <si>
    <t>Storm Port - Bucket 4★ #452</t>
  </si>
  <si>
    <t>Storm Port - Bucket 4★ #F07</t>
  </si>
  <si>
    <t>Storm Port - Bucket 4★ #9BC</t>
  </si>
  <si>
    <t>Storm Port - Bucket 4★ #471</t>
  </si>
  <si>
    <t>Storm Port - Bucket 4★ #F26</t>
  </si>
  <si>
    <t>Storm Port - Bucket 4★ #9DB</t>
  </si>
  <si>
    <t>Storm Port - Bucket 4★ #490</t>
  </si>
  <si>
    <t>Storm Port - Windmill 4★ #F45</t>
  </si>
  <si>
    <t>Storm Port - Windmill 4★ #9FA</t>
  </si>
  <si>
    <t>Storm Port - Windmill 4★ #4AF</t>
  </si>
  <si>
    <t>Storm Port - Windmill 4★ #F64</t>
  </si>
  <si>
    <t>Storm Port - Windmill 4★ #A19</t>
  </si>
  <si>
    <t>Storm Port - Windmill 4★ #4CE</t>
  </si>
  <si>
    <t>Storm Port - Windmill 4★ #F83</t>
  </si>
  <si>
    <t>Storm Port - Windmill 4★ #A38</t>
  </si>
  <si>
    <t>Storm Port - Windmill 4★ #4ED</t>
  </si>
  <si>
    <t>Storm Port - Windmill 4★ #FA2</t>
  </si>
  <si>
    <t>Storm Port - Windmill 4★ #A57</t>
  </si>
  <si>
    <t>Storm Port - Lighthouse 5★ #50C</t>
  </si>
  <si>
    <t>Storm Port - Lighthouse 5★ #FC1</t>
  </si>
  <si>
    <t>Storm Port - Lighthouse 5★ #A76</t>
  </si>
  <si>
    <t>Storm Port - Lighthouse 5★ #52B</t>
  </si>
  <si>
    <t>Storm Port - Lighthouse 5★ #FE0</t>
  </si>
  <si>
    <t>Storm Port - Drum 5★ #A95</t>
  </si>
  <si>
    <t>Storm Port - Drum 5★ #54A</t>
  </si>
  <si>
    <t>Storm Port - Drum 5★ #FFF</t>
  </si>
  <si>
    <t>Storm Port - Drum 5★ #AB4</t>
  </si>
  <si>
    <t>Storm Port - Drum 5★ #569</t>
  </si>
  <si>
    <t>Cannon Fort - Cannonball 1★ #01E</t>
  </si>
  <si>
    <t>Cannon Fort - Cannonball 1★ #AD3</t>
  </si>
  <si>
    <t>Cannon Fort - Cannonball 1★ #588</t>
  </si>
  <si>
    <t>Cannon Fort - Cannonball 1★ #03D</t>
  </si>
  <si>
    <t>Cannon Fort - Cannonball 1★ #AF2</t>
  </si>
  <si>
    <t>Cannon Fort - Cannonball 1★ #5A7</t>
  </si>
  <si>
    <t>Cannon Fort - Cannonball 1★ #05C</t>
  </si>
  <si>
    <t>Cannon Fort - Cannonball 1★ #B11</t>
  </si>
  <si>
    <t>Cannon Fort - Cannonball 1★ #5C6</t>
  </si>
  <si>
    <t>Cannon Fort - Cannonball 1★ #07B</t>
  </si>
  <si>
    <t>Cannon Fort - Cannonball 1★ #B30</t>
  </si>
  <si>
    <t>Cannon Fort - Cannonball 1★ #5E5</t>
  </si>
  <si>
    <t>Cannon Fort - Cannonball 1★ #09A</t>
  </si>
  <si>
    <t>Cannon Fort - Powder 1★ #B4F</t>
  </si>
  <si>
    <t>Cannon Fort - Powder 1★ #604</t>
  </si>
  <si>
    <t>Cannon Fort - Powder 1★ #0B9</t>
  </si>
  <si>
    <t>Cannon Fort - Powder 1★ #B6E</t>
  </si>
  <si>
    <t>Cannon Fort - Powder 1★ #623</t>
  </si>
  <si>
    <t>Cannon Fort - Powder 1★ #0D8</t>
  </si>
  <si>
    <t>Cannon Fort - Powder 1★ #B8D</t>
  </si>
  <si>
    <t>Cannon Fort - Powder 1★ #642</t>
  </si>
  <si>
    <t>Cannon Fort - Powder 1★ #0F7</t>
  </si>
  <si>
    <t>Cannon Fort - Powder 1★ #BAC</t>
  </si>
  <si>
    <t>Cannon Fort - Powder 1★ #661</t>
  </si>
  <si>
    <t>Cannon Fort - Powder 1★ #116</t>
  </si>
  <si>
    <t>Cannon Fort - Powder 1★ #BCB</t>
  </si>
  <si>
    <t>Cannon Fort - Fuse 2★ #680</t>
  </si>
  <si>
    <t>Cannon Fort - Fuse 2★ #135</t>
  </si>
  <si>
    <t>Cannon Fort - Fuse 2★ #BEA</t>
  </si>
  <si>
    <t>Cannon Fort - Fuse 2★ #69F</t>
  </si>
  <si>
    <t>Cannon Fort - Fuse 2★ #154</t>
  </si>
  <si>
    <t>Cannon Fort - Fuse 2★ #C09</t>
  </si>
  <si>
    <t>Cannon Fort - Fuse 2★ #6BE</t>
  </si>
  <si>
    <t>Cannon Fort - Fuse 2★ #173</t>
  </si>
  <si>
    <t>Cannon Fort - Fuse 2★ #C28</t>
  </si>
  <si>
    <t>Cannon Fort - Fuse 2★ #6DD</t>
  </si>
  <si>
    <t>Cannon Fort - Fuse 2★ #192</t>
  </si>
  <si>
    <t>Cannon Fort - Fuse 2★ #C47</t>
  </si>
  <si>
    <t>Cannon Fort - Ramrod 2★ #6FC</t>
  </si>
  <si>
    <t>Cannon Fort - Ramrod 2★ #1B1</t>
  </si>
  <si>
    <t>Cannon Fort - Ramrod 2★ #C66</t>
  </si>
  <si>
    <t>Cannon Fort - Ramrod 2★ #71B</t>
  </si>
  <si>
    <t>Cannon Fort - Ramrod 2★ #1D0</t>
  </si>
  <si>
    <t>Cannon Fort - Ramrod 2★ #C85</t>
  </si>
  <si>
    <t>Cannon Fort - Ramrod 2★ #73A</t>
  </si>
  <si>
    <t>Cannon Fort - Ramrod 2★ #1EF</t>
  </si>
  <si>
    <t>Cannon Fort - Ramrod 2★ #CA4</t>
  </si>
  <si>
    <t>Cannon Fort - Ramrod 2★ #759</t>
  </si>
  <si>
    <t>Cannon Fort - Ramrod 2★ #20E</t>
  </si>
  <si>
    <t>Cannon Fort - Ramrod 2★ #CC3</t>
  </si>
  <si>
    <t>Cannon Fort - War Flag 3★ #778</t>
  </si>
  <si>
    <t>Cannon Fort - War Flag 3★ #22D</t>
  </si>
  <si>
    <t>Cannon Fort - War Flag 3★ #CE2</t>
  </si>
  <si>
    <t>Cannon Fort - War Flag 3★ #797</t>
  </si>
  <si>
    <t>Cannon Fort - War Flag 3★ #24C</t>
  </si>
  <si>
    <t>Cannon Fort - War Flag 3★ #D01</t>
  </si>
  <si>
    <t>Cannon Fort - War Flag 3★ #7B6</t>
  </si>
  <si>
    <t>Cannon Fort - War Flag 3★ #26B</t>
  </si>
  <si>
    <t>Cannon Fort - War Flag 3★ #D20</t>
  </si>
  <si>
    <t>Cannon Fort - War Flag 3★ #7D5</t>
  </si>
  <si>
    <t>Cannon Fort - War Flag 3★ #28A</t>
  </si>
  <si>
    <t>Cannon Fort - War Flag 3★ #D3F</t>
  </si>
  <si>
    <t>Cannon Fort - War Flag 3★ #7F4</t>
  </si>
  <si>
    <t>Cannon Fort - Tower 4★ #2A9</t>
  </si>
  <si>
    <t>Cannon Fort - Tower 4★ #D5E</t>
  </si>
  <si>
    <t>Cannon Fort - Tower 4★ #813</t>
  </si>
  <si>
    <t>Cannon Fort - Tower 4★ #2C8</t>
  </si>
  <si>
    <t>Cannon Fort - Tower 4★ #D7D</t>
  </si>
  <si>
    <t>Cannon Fort - Tower 4★ #832</t>
  </si>
  <si>
    <t>Cannon Fort - Tower 4★ #2E7</t>
  </si>
  <si>
    <t>Cannon Fort - Tower 4★ #D9C</t>
  </si>
  <si>
    <t>Cannon Fort - Tower 4★ #851</t>
  </si>
  <si>
    <t>Cannon Fort - Tower 4★ #306</t>
  </si>
  <si>
    <t>Cannon Fort - Tower 4★ #DBB</t>
  </si>
  <si>
    <t>Cannon Fort - Bridge 5★ #870</t>
  </si>
  <si>
    <t>Cannon Fort - Bridge 5★ #325</t>
  </si>
  <si>
    <t>Cannon Fort - Bridge 5★ #DDA</t>
  </si>
  <si>
    <t>Cannon Fort - Bridge 5★ #88F</t>
  </si>
  <si>
    <t>Cannon Fort - Bridge 5★ #344</t>
  </si>
  <si>
    <t>Cannon Fort - Catapult 5★ #DF9</t>
  </si>
  <si>
    <t>Cannon Fort - Catapult 5★ #8AE</t>
  </si>
  <si>
    <t>Cannon Fort - Catapult 5★ #363</t>
  </si>
  <si>
    <t>Cannon Fort - Catapult 5★ #E18</t>
  </si>
  <si>
    <t>Cannon Fort - Catapult 5★ #8CD</t>
  </si>
  <si>
    <t>Cannon Fort - Horn 5★ #382</t>
  </si>
  <si>
    <t>Cannon Fort - Horn 5★ #E37</t>
  </si>
  <si>
    <t>Cannon Fort - Horn 5★ #8EC</t>
  </si>
  <si>
    <t>Cannon Fort - Horn 5★ #3A1</t>
  </si>
  <si>
    <t>Cannon Fort - Horn 5★ #E56</t>
  </si>
  <si>
    <t>Siren Reef - Harp 1★ #90B</t>
  </si>
  <si>
    <t>Siren Reef - Harp 1★ #3C0</t>
  </si>
  <si>
    <t>Siren Reef - Harp 1★ #E75</t>
  </si>
  <si>
    <t>Siren Reef - Harp 1★ #92A</t>
  </si>
  <si>
    <t>Siren Reef - Harp 1★ #3DF</t>
  </si>
  <si>
    <t>Siren Reef - Harp 1★ #E94</t>
  </si>
  <si>
    <t>Siren Reef - Harp 1★ #949</t>
  </si>
  <si>
    <t>Siren Reef - Harp 1★ #3FE</t>
  </si>
  <si>
    <t>Siren Reef - Harp 1★ #EB3</t>
  </si>
  <si>
    <t>Siren Reef - Harp 1★ #968</t>
  </si>
  <si>
    <t>Siren Reef - Harp 1★ #41D</t>
  </si>
  <si>
    <t>Siren Reef - Harp 1★ #ED2</t>
  </si>
  <si>
    <t>Siren Reef - Harp 1★ #987</t>
  </si>
  <si>
    <t>Siren Reef - Mirror 1★ #43C</t>
  </si>
  <si>
    <t>Siren Reef - Mirror 1★ #EF1</t>
  </si>
  <si>
    <t>Siren Reef - Mirror 1★ #9A6</t>
  </si>
  <si>
    <t>Siren Reef - Mirror 1★ #45B</t>
  </si>
  <si>
    <t>Siren Reef - Mirror 1★ #F10</t>
  </si>
  <si>
    <t>Siren Reef - Mirror 1★ #9C5</t>
  </si>
  <si>
    <t>Siren Reef - Mirror 1★ #47A</t>
  </si>
  <si>
    <t>Siren Reef - Mirror 1★ #F2F</t>
  </si>
  <si>
    <t>Siren Reef - Mirror 1★ #9E4</t>
  </si>
  <si>
    <t>Siren Reef - Mirror 1★ #499</t>
  </si>
  <si>
    <t>Siren Reef - Mirror 1★ #F4E</t>
  </si>
  <si>
    <t>Siren Reef - Mirror 1★ #A03</t>
  </si>
  <si>
    <t>Siren Reef - Mirror 1★ #4B8</t>
  </si>
  <si>
    <t>Siren Reef - Comb 2★ #F6D</t>
  </si>
  <si>
    <t>Siren Reef - Comb 2★ #A22</t>
  </si>
  <si>
    <t>Siren Reef - Comb 2★ #4D7</t>
  </si>
  <si>
    <t>Siren Reef - Comb 2★ #F8C</t>
  </si>
  <si>
    <t>Siren Reef - Comb 2★ #A41</t>
  </si>
  <si>
    <t>Siren Reef - Comb 2★ #4F6</t>
  </si>
  <si>
    <t>Siren Reef - Comb 2★ #FAB</t>
  </si>
  <si>
    <t>Siren Reef - Comb 2★ #A60</t>
  </si>
  <si>
    <t>Siren Reef - Comb 2★ #515</t>
  </si>
  <si>
    <t>Siren Reef - Comb 2★ #FCA</t>
  </si>
  <si>
    <t>Siren Reef - Comb 2★ #A7F</t>
  </si>
  <si>
    <t>Siren Reef - Comb 2★ #534</t>
  </si>
  <si>
    <t>Siren Reef - Witch 2★ #FE9</t>
  </si>
  <si>
    <t>Siren Reef - Witch 2★ #A9E</t>
  </si>
  <si>
    <t>Siren Reef - Witch 2★ #553</t>
  </si>
  <si>
    <t>Siren Reef - Witch 2★ #008</t>
  </si>
  <si>
    <t>Siren Reef - Witch 2★ #ABD</t>
  </si>
  <si>
    <t>Siren Reef - Witch 2★ #572</t>
  </si>
  <si>
    <t>Siren Reef - Witch 2★ #027</t>
  </si>
  <si>
    <t>Siren Reef - Witch 2★ #ADC</t>
  </si>
  <si>
    <t>Siren Reef - Witch 2★ #591</t>
  </si>
  <si>
    <t>Siren Reef - Witch 2★ #046</t>
  </si>
  <si>
    <t>Siren Reef - Witch 2★ #AFB</t>
  </si>
  <si>
    <t>Siren Reef - Witch 2★ #5B0</t>
  </si>
  <si>
    <t>Siren Reef - Starfish 3★ #065</t>
  </si>
  <si>
    <t>Siren Reef - Starfish 3★ #B1A</t>
  </si>
  <si>
    <t>Siren Reef - Starfish 3★ #5CF</t>
  </si>
  <si>
    <t>Siren Reef - Starfish 3★ #084</t>
  </si>
  <si>
    <t>Siren Reef - Starfish 3★ #B39</t>
  </si>
  <si>
    <t>Siren Reef - Starfish 3★ #5EE</t>
  </si>
  <si>
    <t>Siren Reef - Starfish 3★ #0A3</t>
  </si>
  <si>
    <t>Siren Reef - Starfish 3★ #B58</t>
  </si>
  <si>
    <t>Siren Reef - Starfish 3★ #60D</t>
  </si>
  <si>
    <t>Siren Reef - Starfish 3★ #0C2</t>
  </si>
  <si>
    <t>Siren Reef - Starfish 3★ #B77</t>
  </si>
  <si>
    <t>Siren Reef - Starfish 3★ #62C</t>
  </si>
  <si>
    <t>Siren Reef - Starfish 3★ #0E1</t>
  </si>
  <si>
    <t>Siren Reef - Moonstone 4★ #B96</t>
  </si>
  <si>
    <t>Siren Reef - Moonstone 4★ #64B</t>
  </si>
  <si>
    <t>Siren Reef - Moonstone 4★ #100</t>
  </si>
  <si>
    <t>Siren Reef - Moonstone 4★ #BB5</t>
  </si>
  <si>
    <t>Siren Reef - Moonstone 4★ #66A</t>
  </si>
  <si>
    <t>Siren Reef - Moonstone 4★ #11F</t>
  </si>
  <si>
    <t>Siren Reef - Moonstone 4★ #BD4</t>
  </si>
  <si>
    <t>Siren Reef - Moonstone 4★ #689</t>
  </si>
  <si>
    <t>Siren Reef - Moonstone 4★ #13E</t>
  </si>
  <si>
    <t>Siren Reef - Moonstone 4★ #BF3</t>
  </si>
  <si>
    <t>Siren Reef - Moonstone 4★ #6A8</t>
  </si>
  <si>
    <t>Siren Reef - Wave 5★ #15D</t>
  </si>
  <si>
    <t>Siren Reef - Wave 5★ #C12</t>
  </si>
  <si>
    <t>Siren Reef - Wave 5★ #6C7</t>
  </si>
  <si>
    <t>Siren Reef - Wave 5★ #17C</t>
  </si>
  <si>
    <t>Siren Reef - Wave 5★ #C31</t>
  </si>
  <si>
    <t>Siren Reef - Driftwood 5★ #6E6</t>
  </si>
  <si>
    <t>Siren Reef - Driftwood 5★ #19B</t>
  </si>
  <si>
    <t>Siren Reef - Driftwood 5★ #C50</t>
  </si>
  <si>
    <t>Siren Reef - Driftwood 5★ #705</t>
  </si>
  <si>
    <t>Siren Reef - Driftwood 5★ #1BA</t>
  </si>
  <si>
    <t>Siren Reef - Conch 5★ #C6F</t>
  </si>
  <si>
    <t>Siren Reef - Conch 5★ #724</t>
  </si>
  <si>
    <t>Siren Reef - Conch 5★ #1D9</t>
  </si>
  <si>
    <t>Siren Reef - Conch 5★ #C8E</t>
  </si>
  <si>
    <t>Siren Reef - Conch 5★ #743</t>
  </si>
  <si>
    <t>Dead Man Bay - Pistol 1★ #1F8</t>
  </si>
  <si>
    <t>Dead Man Bay - Pistol 1★ #CAD</t>
  </si>
  <si>
    <t>Dead Man Bay - Pistol 1★ #762</t>
  </si>
  <si>
    <t>Dead Man Bay - Pistol 1★ #217</t>
  </si>
  <si>
    <t>Dead Man Bay - Pistol 1★ #CCC</t>
  </si>
  <si>
    <t>Dead Man Bay - Pistol 1★ #781</t>
  </si>
  <si>
    <t>Dead Man Bay - Pistol 1★ #236</t>
  </si>
  <si>
    <t>Dead Man Bay - Pistol 1★ #CEB</t>
  </si>
  <si>
    <t>Dead Man Bay - Pistol 1★ #7A0</t>
  </si>
  <si>
    <t>Dead Man Bay - Pistol 1★ #255</t>
  </si>
  <si>
    <t>Dead Man Bay - Pistol 1★ #D0A</t>
  </si>
  <si>
    <t>Dead Man Bay - Pistol 1★ #7BF</t>
  </si>
  <si>
    <t>Dead Man Bay - Pistol 1★ #274</t>
  </si>
  <si>
    <t>Dead Man Bay - Rum 1★ #D29</t>
  </si>
  <si>
    <t>Dead Man Bay - Rum 1★ #7DE</t>
  </si>
  <si>
    <t>Dead Man Bay - Rum 1★ #293</t>
  </si>
  <si>
    <t>Dead Man Bay - Rum 1★ #D48</t>
  </si>
  <si>
    <t>Dead Man Bay - Rum 1★ #7FD</t>
  </si>
  <si>
    <t>Dead Man Bay - Rum 1★ #2B2</t>
  </si>
  <si>
    <t>Dead Man Bay - Rum 1★ #D67</t>
  </si>
  <si>
    <t>Dead Man Bay - Rum 1★ #81C</t>
  </si>
  <si>
    <t>Dead Man Bay - Rum 1★ #2D1</t>
  </si>
  <si>
    <t>Dead Man Bay - Rum 1★ #D86</t>
  </si>
  <si>
    <t>Dead Man Bay - Rum 1★ #83B</t>
  </si>
  <si>
    <t>Dead Man Bay - Rum 1★ #2F0</t>
  </si>
  <si>
    <t>Dead Man Bay - Rum 1★ #DA5</t>
  </si>
  <si>
    <t>Dead Man Bay - Treasure Map 2★ #85A</t>
  </si>
  <si>
    <t>Dead Man Bay - Treasure Map 2★ #30F</t>
  </si>
  <si>
    <t>Dead Man Bay - Treasure Map 2★ #DC4</t>
  </si>
  <si>
    <t>Dead Man Bay - Treasure Map 2★ #879</t>
  </si>
  <si>
    <t>Dead Man Bay - Treasure Map 2★ #32E</t>
  </si>
  <si>
    <t>Dead Man Bay - Treasure Map 2★ #DE3</t>
  </si>
  <si>
    <t>Dead Man Bay - Treasure Map 2★ #898</t>
  </si>
  <si>
    <t>Dead Man Bay - Treasure Map 2★ #34D</t>
  </si>
  <si>
    <t>Dead Man Bay - Treasure Map 2★ #E02</t>
  </si>
  <si>
    <t>Dead Man Bay - Treasure Map 2★ #8B7</t>
  </si>
  <si>
    <t>Dead Man Bay - Treasure Map 2★ #36C</t>
  </si>
  <si>
    <t>Dead Man Bay - Treasure Map 2★ #E21</t>
  </si>
  <si>
    <t>Dead Man Bay - Jolly Roger 2★ #8D6</t>
  </si>
  <si>
    <t>Dead Man Bay - Jolly Roger 2★ #38B</t>
  </si>
  <si>
    <t>Dead Man Bay - Jolly Roger 2★ #E40</t>
  </si>
  <si>
    <t>Dead Man Bay - Jolly Roger 2★ #8F5</t>
  </si>
  <si>
    <t>Dead Man Bay - Jolly Roger 2★ #3AA</t>
  </si>
  <si>
    <t>Dead Man Bay - Jolly Roger 2★ #E5F</t>
  </si>
  <si>
    <t>Dead Man Bay - Jolly Roger 2★ #914</t>
  </si>
  <si>
    <t>Dead Man Bay - Jolly Roger 2★ #3C9</t>
  </si>
  <si>
    <t>Dead Man Bay - Jolly Roger 2★ #E7E</t>
  </si>
  <si>
    <t>Dead Man Bay - Jolly Roger 2★ #933</t>
  </si>
  <si>
    <t>Dead Man Bay - Jolly Roger 2★ #3E8</t>
  </si>
  <si>
    <t>Dead Man Bay - Jolly Roger 2★ #E9D</t>
  </si>
  <si>
    <t>Dead Man Bay - Gold Tooth 3★ #952</t>
  </si>
  <si>
    <t>Dead Man Bay - Gold Tooth 3★ #407</t>
  </si>
  <si>
    <t>Dead Man Bay - Gold Tooth 3★ #EBC</t>
  </si>
  <si>
    <t>Dead Man Bay - Gold Tooth 3★ #971</t>
  </si>
  <si>
    <t>Dead Man Bay - Gold Tooth 3★ #426</t>
  </si>
  <si>
    <t>Dead Man Bay - Gold Tooth 3★ #EDB</t>
  </si>
  <si>
    <t>Dead Man Bay - Gold Tooth 3★ #990</t>
  </si>
  <si>
    <t>Dead Man Bay - Gold Tooth 3★ #445</t>
  </si>
  <si>
    <t>Dead Man Bay - Gold Tooth 3★ #EFA</t>
  </si>
  <si>
    <t>Dead Man Bay - Gold Tooth 3★ #9AF</t>
  </si>
  <si>
    <t>Dead Man Bay - Gold Tooth 3★ #464</t>
  </si>
  <si>
    <t>Dead Man Bay - Gold Tooth 3★ #F19</t>
  </si>
  <si>
    <t>Dead Man Bay - Gold Tooth 3★ #9CE</t>
  </si>
  <si>
    <t>Dead Man Bay - Dagger 4★ #483</t>
  </si>
  <si>
    <t>Dead Man Bay - Dagger 4★ #F38</t>
  </si>
  <si>
    <t>Dead Man Bay - Dagger 4★ #9ED</t>
  </si>
  <si>
    <t>Dead Man Bay - Dagger 4★ #4A2</t>
  </si>
  <si>
    <t>Dead Man Bay - Dagger 4★ #F57</t>
  </si>
  <si>
    <t>Dead Man Bay - Dagger 4★ #A0C</t>
  </si>
  <si>
    <t>Dead Man Bay - Dagger 4★ #4C1</t>
  </si>
  <si>
    <t>Dead Man Bay - Dagger 4★ #F76</t>
  </si>
  <si>
    <t>Dead Man Bay - Dagger 4★ #A2B</t>
  </si>
  <si>
    <t>Dead Man Bay - Dagger 4★ #4E0</t>
  </si>
  <si>
    <t>Dead Man Bay - Dagger 4★ #F95</t>
  </si>
  <si>
    <t>Dead Man Bay - Bandana 5★ #A4A</t>
  </si>
  <si>
    <t>Dead Man Bay - Bandana 5★ #4FF</t>
  </si>
  <si>
    <t>Dead Man Bay - Bandana 5★ #FB4</t>
  </si>
  <si>
    <t>Dead Man Bay - Bandana 5★ #A69</t>
  </si>
  <si>
    <t>Dead Man Bay - Bandana 5★ #51E</t>
  </si>
  <si>
    <t>Dead Man Bay - Boots 5★ #FD3</t>
  </si>
  <si>
    <t>Dead Man Bay - Boots 5★ #A88</t>
  </si>
  <si>
    <t>Dead Man Bay - Boots 5★ #53D</t>
  </si>
  <si>
    <t>Dead Man Bay - Boots 5★ #FF2</t>
  </si>
  <si>
    <t>Dead Man Bay - Boots 5★ #AA7</t>
  </si>
  <si>
    <t>Dead Man Bay - Beard 5★ #55C</t>
  </si>
  <si>
    <t>Dead Man Bay - Beard 5★ #011</t>
  </si>
  <si>
    <t>Dead Man Bay - Beard 5★ #AC6</t>
  </si>
  <si>
    <t>Dead Man Bay - Beard 5★ #57B</t>
  </si>
  <si>
    <t>Dead Man Bay - Beard 5★ #030</t>
  </si>
  <si>
    <t>ENGAGEMENT GROUPS</t>
  </si>
  <si>
    <t>Group Name</t>
  </si>
  <si>
    <t>Payer?</t>
  </si>
  <si>
    <t>Min Levels/day</t>
  </si>
  <si>
    <t>Max Levels/day</t>
  </si>
  <si>
    <t>Rep. Levels</t>
  </si>
  <si>
    <t>Attendance Days</t>
  </si>
  <si>
    <t>Weekday preference weights</t>
  </si>
  <si>
    <t>No</t>
  </si>
  <si>
    <t>30</t>
  </si>
  <si>
    <t>2/2/2/10/10/25/25</t>
  </si>
  <si>
    <t>Yes</t>
  </si>
  <si>
    <t>300</t>
  </si>
  <si>
    <t>STAR CHEST PURCHASING BEHAVIOR</t>
  </si>
  <si>
    <t>Description</t>
  </si>
  <si>
    <t>Min Stars to Consider Buying</t>
  </si>
  <si>
    <t>Will not purchase below this star balance</t>
  </si>
  <si>
    <t>Urgency Start Day</t>
  </si>
  <si>
    <t>Before this day, buy probability is 0%</t>
  </si>
  <si>
    <t>End-of-Season Buy Probability</t>
  </si>
  <si>
    <t>Probability of buying on Day 28; ramps from 0% at Start Day</t>
  </si>
  <si>
    <t>ATTENDANCE</t>
  </si>
  <si>
    <t>Attendance Array (lvl played)</t>
  </si>
  <si>
    <t>28-DAY SIMULATION SUMMARY (Monte Carlo)</t>
  </si>
  <si>
    <t>KPI</t>
  </si>
  <si>
    <t>Total Packs Opened</t>
  </si>
  <si>
    <t>Total Cards Drawn</t>
  </si>
  <si>
    <t>Unique Cards Collected</t>
  </si>
  <si>
    <t>Duplicate Cards Drawn</t>
  </si>
  <si>
    <t>Stars Earned (duplicates)</t>
  </si>
  <si>
    <t>Stars Spent (chests)</t>
  </si>
  <si>
    <t>Star Balance (end)</t>
  </si>
  <si>
    <t>Bronze Chests Purchased</t>
  </si>
  <si>
    <t>Silver Chests Purchased</t>
  </si>
  <si>
    <t>Gold Chests Purchased</t>
  </si>
  <si>
    <t>Sets Completed (of 8)</t>
  </si>
  <si>
    <t>Dream Album Completed?</t>
  </si>
  <si>
    <t>Day of Dream Album Completion</t>
  </si>
  <si>
    <t>Grand Album Completed?</t>
  </si>
  <si>
    <t>Day of Grand Album Completion</t>
  </si>
  <si>
    <t>Superior Album Completed?</t>
  </si>
  <si>
    <t>Cards Missing (end)</t>
  </si>
  <si>
    <t>Final Collection %</t>
  </si>
  <si>
    <t>SET COMPLETION TRACKER</t>
  </si>
  <si>
    <t>Skull Isle - Day Completed</t>
  </si>
  <si>
    <t>Skull Isle - Cards (X/9)</t>
  </si>
  <si>
    <t>Kraken Lair - Day Completed</t>
  </si>
  <si>
    <t>Kraken Lair - Cards (X/9)</t>
  </si>
  <si>
    <t>Gold Cove - Day Completed</t>
  </si>
  <si>
    <t>Gold Cove - Cards (X/9)</t>
  </si>
  <si>
    <t>Ghost Ship - Day Completed</t>
  </si>
  <si>
    <t>Ghost Ship - Cards (X/9)</t>
  </si>
  <si>
    <t>Storm Port - Day Completed</t>
  </si>
  <si>
    <t>Storm Port - Cards (X/9)</t>
  </si>
  <si>
    <t>Cannon Fort - Day Completed</t>
  </si>
  <si>
    <t>Cannon Fort - Cards (X/9)</t>
  </si>
  <si>
    <t>Siren Reef - Day Completed</t>
  </si>
  <si>
    <t>Siren Reef - Cards (X/9)</t>
  </si>
  <si>
    <t>Dead Man Bay - Day Completed</t>
  </si>
  <si>
    <t>Dead Man Bay - Cards (X/9)</t>
  </si>
  <si>
    <t>ALBUM TIER TRACKER</t>
  </si>
  <si>
    <t>Dream Album - Day Reached</t>
  </si>
  <si>
    <t>Dream Album - Total Cards Drawn</t>
  </si>
  <si>
    <t>Grand Album - Day Reached</t>
  </si>
  <si>
    <t>Grand Album - Total Cards Drawn</t>
  </si>
  <si>
    <t>Superior Album - Day Reached</t>
  </si>
  <si>
    <t>Superior Album - Total Cards Drawn</t>
  </si>
  <si>
    <t>All cells populated by Monte Carlo simulation (Apps Script).</t>
  </si>
  <si>
    <t>INDIVIDUAL SIMULATION LOG</t>
  </si>
  <si>
    <t>Selected Group:</t>
  </si>
  <si>
    <t>Sim Seed:</t>
  </si>
  <si>
    <t>RUNNING TOTALS (per day)</t>
  </si>
  <si>
    <t>Star Balance</t>
  </si>
  <si>
    <t>% Complete</t>
  </si>
  <si>
    <t>Sets Done</t>
  </si>
  <si>
    <t>SIMULATION TALLY</t>
  </si>
  <si>
    <t>Metric</t>
  </si>
  <si>
    <t>Duplicate Cards</t>
  </si>
  <si>
    <t>Stars Earned</t>
  </si>
  <si>
    <t>Stars Spent on Chests</t>
  </si>
  <si>
    <t>Final Star Balance</t>
  </si>
  <si>
    <t>Sets Completed</t>
  </si>
  <si>
    <t>Album Tier Reached</t>
  </si>
  <si>
    <t>Day Album Completed</t>
  </si>
  <si>
    <t>DAY-BY-DAY PACK LOG (OUTPUT)</t>
  </si>
  <si>
    <t>PACKS RESULT</t>
  </si>
  <si>
    <t>Pack</t>
  </si>
  <si>
    <t>Album</t>
  </si>
  <si>
    <t>Cards Drawn</t>
  </si>
  <si>
    <t>New</t>
  </si>
  <si>
    <t>Dupes</t>
  </si>
  <si>
    <t>Album #1</t>
  </si>
  <si>
    <t>album1</t>
  </si>
  <si>
    <t>album2</t>
  </si>
  <si>
    <t>album3</t>
  </si>
  <si>
    <t>(nothing)</t>
  </si>
  <si>
    <t>Main</t>
  </si>
  <si>
    <t>Set #1</t>
  </si>
  <si>
    <t>Set #2</t>
  </si>
  <si>
    <t>Set #3</t>
  </si>
  <si>
    <t>rough</t>
  </si>
  <si>
    <t>pack ★</t>
  </si>
  <si>
    <t>$</t>
  </si>
  <si>
    <t>Set #4</t>
  </si>
  <si>
    <t>Set #5</t>
  </si>
  <si>
    <t>Set #6</t>
  </si>
  <si>
    <t>Kraken Lair - Shell 2★, Skull Isle - Compass 1★</t>
  </si>
  <si>
    <t>Skull Isle - Helm 2★, Gold Cove - Scepter 5★, Cannon Fort - Tower 4★, Kraken Lair - Trident 1★</t>
  </si>
  <si>
    <t>Kraken Lair - Coral 2★, Cannon Fort - Ramrod 2★, Storm Port - Barrel 1★, Siren Reef - Driftwood 5★, Cannon Fort - Powder 1★</t>
  </si>
  <si>
    <t>Dead Man Bay - Pistol 1★, Skull Isle - Anchor 1★, Ghost Ship - Sail 1★, Kraken Lair - Pearl 1★, Skull Isle - Anchor 1★</t>
  </si>
  <si>
    <t>Dead Man Bay - Pistol 1★, Skull Isle - Anchor 1★, Ghost Ship - Sail 1★, Kraken Lair - Pearl 1★</t>
  </si>
  <si>
    <t>Skull Isle - Anchor 1★</t>
  </si>
  <si>
    <t>Skull Isle - Helm 2★, Skull Isle - Map 1★, Storm Port - Lightning 1★, Kraken Lair - Lantern 3★, Gold Cove - Doubloon 1★, Kraken Lair - Ink Cloud 1★</t>
  </si>
  <si>
    <t>Skull Isle - Map 1★, Storm Port - Lightning 1★, Kraken Lair - Lantern 3★, Gold Cove - Doubloon 1★, Kraken Lair - Ink Cloud 1★</t>
  </si>
  <si>
    <t>Skull Isle - Helm 2★</t>
  </si>
  <si>
    <t>Set #7</t>
  </si>
  <si>
    <t>Set #8</t>
  </si>
  <si>
    <t>Skull Isle - Map 1★, Storm Port - Lightning 1★</t>
  </si>
  <si>
    <t>Kraken Lair - Shell 2★, Skull Isle - Skull 3★, Gold Cove - Doubloon 1★, Kraken Lair - Ink Cloud 1★</t>
  </si>
  <si>
    <t>Skull Isle - Skull 3★</t>
  </si>
  <si>
    <t>Kraken Lair - Shell 2★, Gold Cove - Doubloon 1★, Kraken Lair - Ink Cloud 1★</t>
  </si>
  <si>
    <t>Gold Cove - Diamond 2★, Skull Isle - Cutlass 2★</t>
  </si>
  <si>
    <t>Skull Isle - Chest 3★, Kraken Lair - Ink Cloud 1★, Cannon Fort - Ramrod 2★, Cannon Fort - Powder 1★</t>
  </si>
  <si>
    <t>Skull Isle - Chest 3★</t>
  </si>
  <si>
    <t>Kraken Lair - Ink Cloud 1★, Cannon Fort - Ramrod 2★, Cannon Fort - Powder 1★</t>
  </si>
  <si>
    <t>Album #2</t>
  </si>
  <si>
    <t>Cannon Fort - Ramrod 2★, Storm Port - Lighthouse 5★</t>
  </si>
  <si>
    <t>Storm Port - Lighthouse 5★</t>
  </si>
  <si>
    <t>Cannon Fort - Ramrod 2★</t>
  </si>
  <si>
    <t>Kraken Lair - Pearl 1★, Cannon Fort - Fuse 2★</t>
  </si>
  <si>
    <t>Cannon Fort - Fuse 2★</t>
  </si>
  <si>
    <t>Kraken Lair - Pearl 1★</t>
  </si>
  <si>
    <t>Skull Isle - Anchor 1★, Gold Cove - Ruby 1★, Storm Port - Barrel 1★, Kraken Lair - Pearl 1★</t>
  </si>
  <si>
    <t>Gold Cove - Ruby 1★</t>
  </si>
  <si>
    <t>Skull Isle - Anchor 1★, Storm Port - Barrel 1★, Kraken Lair - Pearl 1★</t>
  </si>
  <si>
    <t>Skull Isle - Anchor 1★, Dead Man Bay - Treasure Map 2★, Kraken Lair - Shell 2★, Skull Isle - Anchor 1★, Kraken Lair - Trident 1★</t>
  </si>
  <si>
    <t>Dead Man Bay - Treasure Map 2★</t>
  </si>
  <si>
    <t>Skull Isle - Anchor 1★, Kraken Lair - Shell 2★, Skull Isle - Anchor 1★, Kraken Lair - Trident 1★</t>
  </si>
  <si>
    <t>Skull Isle - Map 1★, Gold Cove - Crown 2★, Siren Reef - Starfish 3★, Kraken Lair - Pearl 1★, Cannon Fort - Catapult 5★</t>
  </si>
  <si>
    <t>Gold Cove - Crown 2★, Siren Reef - Starfish 3★, Cannon Fort - Catapult 5★</t>
  </si>
  <si>
    <t>Skull Isle - Map 1★, Kraken Lair - Pearl 1★</t>
  </si>
  <si>
    <t>Skull Isle - Chest 3★, Storm Port - Barrel 1★, Gold Cove - Ruby 1★, Cannon Fort - Fuse 2★, Cannon Fort - Tower 4★, Ghost Ship - Chain 4★</t>
  </si>
  <si>
    <t>Ghost Ship - Chain 4★</t>
  </si>
  <si>
    <t>Skull Isle - Chest 3★, Storm Port - Barrel 1★, Gold Cove - Ruby 1★, Cannon Fort - Fuse 2★, Cannon Fort - Tower 4★</t>
  </si>
  <si>
    <t>Ghost Ship - Ghost Lamp 2★, Storm Port - Flare 3★</t>
  </si>
  <si>
    <t>Gold Cove - Goblet 3★, Gold Cove - Ring 4★, Skull Isle - Spyglass 1★, Skull Isle - Compass 1★</t>
  </si>
  <si>
    <t>Gold Cove - Goblet 3★, Gold Cove - Ring 4★, Skull Isle - Spyglass 1★</t>
  </si>
  <si>
    <t>Skull Isle - Compass 1★</t>
  </si>
  <si>
    <t>Kraken Lair - Hook 3★, Gold Cove - Doubloon 1★</t>
  </si>
  <si>
    <t>Kraken Lair - Hook 3★</t>
  </si>
  <si>
    <t>Gold Cove - Doubloon 1★</t>
  </si>
  <si>
    <t>Cannon Fort - War Flag 3★, Skull Isle - Cutlass 2★, Ghost Ship - Flag 4★, Storm Port - Cleat 2★</t>
  </si>
  <si>
    <t>Cannon Fort - War Flag 3★, Ghost Ship - Flag 4★, Storm Port - Cleat 2★</t>
  </si>
  <si>
    <t>Skull Isle - Cutlass 2★</t>
  </si>
  <si>
    <t>Kraken Lair - Tentacle 1★, Ghost Ship - Ghost Lamp 2★, Ghost Ship - Flag 4★</t>
  </si>
  <si>
    <t>Kraken Lair - Tentacle 1★</t>
  </si>
  <si>
    <t>Ghost Ship - Ghost Lamp 2★, Ghost Ship - Flag 4★</t>
  </si>
  <si>
    <t>Skull Isle - Anchor 1★, Dead Man Bay - Dagger 4★, Kraken Lair - Tentacle 1★, Storm Port - Lightning 1★</t>
  </si>
  <si>
    <t>Dead Man Bay - Dagger 4★</t>
  </si>
  <si>
    <t>Skull Isle - Anchor 1★, Kraken Lair - Tentacle 1★, Storm Port - Lightning 1★</t>
  </si>
  <si>
    <t>Album #3</t>
  </si>
  <si>
    <t>Skull Isle - Spyglass 1★, Ghost Ship - Sail 1★</t>
  </si>
  <si>
    <t>Gold Cove - Emerald 1★, Ghost Ship - Ghost Lamp 2★, Skull Isle - Cutlass 2★, Skull Isle - Parrot 2★</t>
  </si>
  <si>
    <t>Gold Cove - Emerald 1★, Skull Isle - Parrot 2★</t>
  </si>
  <si>
    <t>Ghost Ship - Ghost Lamp 2★, Skull Isle - Cutlass 2★</t>
  </si>
  <si>
    <t>Set 1 completed | Rewards: Coins: 300, Red: 2, Unlimited Lives: 30 | packs opened: 1★: 8, 2★: 1, 3★: 8, 4★: 4, 5★: 2</t>
  </si>
  <si>
    <t>Kraken Lair - Tentacle 1★, Ghost Ship - Nest 3★, Kraken Lair - Eyepatch 4★, Ghost Ship - Fog Horn 1★, Gold Cove - Doubloon 1★</t>
  </si>
  <si>
    <t>Ghost Ship - Nest 3★, Kraken Lair - Eyepatch 4★, Ghost Ship - Fog Horn 1★</t>
  </si>
  <si>
    <t>Kraken Lair - Tentacle 1★, Gold Cove - Doubloon 1★</t>
  </si>
  <si>
    <t>Set 2 completed | Rewards: Coins: 200, Chuck: 2 | packs opened: 1★: 8, 2★: 1, 3★: 8, 4★: 5, 5★: 2</t>
  </si>
  <si>
    <t>Ghost Ship - Sail 1★, Ghost Ship - Flag 4★, Ghost Ship - Sail 1★, Gold Cove - Doubloon 1★, Cannon Fort - Ramrod 2★</t>
  </si>
  <si>
    <t>Ghost Ship - Ghost Lamp 2★, Storm Port - Barrel 1★, Kraken Lair - Trident 1★, Gold Cove - Doubloon 1★, Skull Isle - Anchor 1★, Storm Port - Lightning 1★</t>
  </si>
  <si>
    <t>Storm Port - Rope 2★, Ghost Ship - Key 2★</t>
  </si>
  <si>
    <t>Kraken Lair - Pearl 1★, Gold Cove - Diamond 2★, Gold Cove - Diamond 2★, Gold Cove - Emerald 1★</t>
  </si>
  <si>
    <t>Skull Isle - Skull 3★, Gold Cove - Emerald 1★</t>
  </si>
  <si>
    <t>Siren Reef - Driftwood 5★, Cannon Fort - Tower 4★, Gold Cove - Necklace 4★, Skull Isle - Compass 1★</t>
  </si>
  <si>
    <t>Gold Cove - Necklace 4★</t>
  </si>
  <si>
    <t>Siren Reef - Driftwood 5★, Cannon Fort - Tower 4★, Skull Isle - Compass 1★</t>
  </si>
  <si>
    <t>Set 3 completed | Rewards: Coins: 100, Bomb: 2 | packs opened: 1★: 10, 2★: 1, 3★: 10, 4★: 6, 5★: 3</t>
  </si>
  <si>
    <t>Gold Cove - Ruby 1★, Skull Isle - Map 1★, Cannon Fort - Catapult 5★, Cannon Fort - Cannonball 1★</t>
  </si>
  <si>
    <t>Cannon Fort - Cannonball 1★</t>
  </si>
  <si>
    <t>Gold Cove - Ruby 1★, Skull Isle - Map 1★, Cannon Fort - Catapult 5★</t>
  </si>
  <si>
    <t>Dead Man Bay - Jolly Roger 2★, Cannon Fort - War Flag 3★, Kraken Lair - Tentacle 1★</t>
  </si>
  <si>
    <t>Dead Man Bay - Jolly Roger 2★</t>
  </si>
  <si>
    <t>Cannon Fort - War Flag 3★, Kraken Lair - Tentacle 1★</t>
  </si>
  <si>
    <t>Ghost Ship - Sail 1★, Kraken Lair - Eyepatch 4★, Ghost Ship - Nest 3★, Ghost Ship - Plank 3★</t>
  </si>
  <si>
    <t>Ghost Ship - Plank 3★</t>
  </si>
  <si>
    <t>Ghost Ship - Sail 1★, Kraken Lair - Eyepatch 4★, Ghost Ship - Nest 3★</t>
  </si>
  <si>
    <t>Ghost Ship - Fog Horn 1★, Kraken Lair - Tentacle 1★, Kraken Lair - Trident 1★</t>
  </si>
  <si>
    <t>Siren Reef - Mirror 1★, Kraken Lair - Coral 2★</t>
  </si>
  <si>
    <t>Siren Reef - Mirror 1★</t>
  </si>
  <si>
    <t>Kraken Lair - Coral 2★</t>
  </si>
  <si>
    <t>Storm Port - Lightning 1★, Gold Cove - Ring 4★, Cannon Fort - Cannonball 1★, Ghost Ship - Chain 4★</t>
  </si>
  <si>
    <t>Gold Cove - Ring 4★, Cannon Fort - Ramrod 2★, Siren Reef - Witch 2★, Ghost Ship - Fog Horn 1★, Siren Reef - Mirror 1★</t>
  </si>
  <si>
    <t>Siren Reef - Witch 2★</t>
  </si>
  <si>
    <t>Gold Cove - Ring 4★, Cannon Fort - Ramrod 2★, Ghost Ship - Fog Horn 1★, Siren Reef - Mirror 1★</t>
  </si>
  <si>
    <t>Storm Port - Barrel 1★, Gold Cove - Emerald 1★, Ghost Ship - Sail 1★, Cannon Fort - Tower 4★, Storm Port - Lighthouse 5★</t>
  </si>
  <si>
    <t>Gold Cove - Doubloon 1★, Cannon Fort - Powder 1★, Skull Isle - Anchor 1★, Skull Isle - Map 1★, Siren Reef - Starfish 3★, Dead Man Bay - Rum 1★</t>
  </si>
  <si>
    <t>Dead Man Bay - Rum 1★</t>
  </si>
  <si>
    <t>Gold Cove - Doubloon 1★, Cannon Fort - Powder 1★, Skull Isle - Anchor 1★, Skull Isle - Map 1★, Siren Reef - Starfish 3★</t>
  </si>
  <si>
    <t>Ghost Ship - Fog Horn 1★, Kraken Lair - Pearl 1★</t>
  </si>
  <si>
    <t>Storm Port - Flare 3★, Cannon Fort - Cannonball 1★, Ghost Ship - Flag 4★, Gold Cove - Crown 2★</t>
  </si>
  <si>
    <t>Dead Man Bay - Rum 1★, Cannon Fort - Fuse 2★</t>
  </si>
  <si>
    <t>Siren Reef - Harp 1★, Ghost Ship - Sail 1★, Ghost Ship - Ghost Lamp 2★, Gold Cove - Goblet 3★</t>
  </si>
  <si>
    <t>Siren Reef - Harp 1★</t>
  </si>
  <si>
    <t>Ghost Ship - Sail 1★, Ghost Ship - Ghost Lamp 2★, Gold Cove - Goblet 3★</t>
  </si>
  <si>
    <t>Ghost Ship - Plank 3★, Skull Isle - Spyglass 1★, Gold Cove - Emerald 1★</t>
  </si>
  <si>
    <t>Storm Port - Rope 2★, Storm Port - Rope 2★</t>
  </si>
  <si>
    <t>Skull Isle - Map 1★, Cannon Fort - Powder 1★, Skull Isle - Cutlass 2★, Gold Cove - Necklace 4★</t>
  </si>
  <si>
    <t>Storm Port - Rope 2★, Dead Man Bay - Gold Tooth 3★</t>
  </si>
  <si>
    <t>Dead Man Bay - Gold Tooth 3★</t>
  </si>
  <si>
    <t>Storm Port - Rope 2★</t>
  </si>
  <si>
    <t>Siren Reef - Harp 1★, Storm Port - Cleat 2★, Skull Isle - Compass 1★, Storm Port - Bucket 4★</t>
  </si>
  <si>
    <t>Storm Port - Bucket 4★</t>
  </si>
  <si>
    <t>Siren Reef - Harp 1★, Storm Port - Cleat 2★, Skull Isle - Compass 1★</t>
  </si>
  <si>
    <t>Ghost Ship - Key 2★, Storm Port - Rope 2★, Siren Reef - Witch 2★, Kraken Lair - Pearl 1★, Skull Isle - Anchor 1★</t>
  </si>
  <si>
    <t>Siren Reef - Starfish 3★, Kraken Lair - Trident 1★, Kraken Lair - Lantern 3★, Storm Port - Barrel 1★, Siren Reef - Witch 2★</t>
  </si>
  <si>
    <t>Cannon Fort - Cannonball 1★, Storm Port - Rope 2★, Siren Reef - Moonstone 4★, Kraken Lair - Tentacle 1★, Kraken Lair - Ink Cloud 1★, Gold Cove - Ruby 1★</t>
  </si>
  <si>
    <t>Siren Reef - Moonstone 4★</t>
  </si>
  <si>
    <t>Cannon Fort - Cannonball 1★, Storm Port - Rope 2★, Kraken Lair - Tentacle 1★, Kraken Lair - Ink Cloud 1★, Gold Cove - Ruby 1★</t>
  </si>
  <si>
    <t>Cannon Fort - Fuse 2★, Skull Isle - Spyglass 1★</t>
  </si>
  <si>
    <t>Gold Cove - Crown 2★, Dead Man Bay - Pistol 1★, Ghost Ship - Plank 3★, Storm Port - Lightning 1★</t>
  </si>
  <si>
    <t>Kraken Lair - Tentacle 1★, Dead Man Bay - Boots 5★</t>
  </si>
  <si>
    <t>Dead Man Bay - Boots 5★</t>
  </si>
  <si>
    <t>Cannon Fort - Bridge 5★, Skull Isle - Compass 1★, Kraken Lair - Eyepatch 4★, Kraken Lair - Pearl 1★</t>
  </si>
  <si>
    <t>Cannon Fort - Bridge 5★</t>
  </si>
  <si>
    <t>Skull Isle - Compass 1★, Kraken Lair - Eyepatch 4★, Kraken Lair - Pearl 1★</t>
  </si>
  <si>
    <t>Siren Reef - Mirror 1★, Ghost Ship - Key 2★</t>
  </si>
  <si>
    <t>Gold Cove - Crown 2★, Dead Man Bay - Pistol 1★, Skull Isle - Skull 3★, Kraken Lair - Trident 1★</t>
  </si>
  <si>
    <t>Storm Port - Barrel 1★, Storm Port - Lighthouse 5★, Siren Reef - Comb 2★, Ghost Ship - Key 2★, Skull Isle - Spyglass 1★</t>
  </si>
  <si>
    <t>Siren Reef - Comb 2★</t>
  </si>
  <si>
    <t>Storm Port - Barrel 1★, Storm Port - Lighthouse 5★, Ghost Ship - Key 2★, Skull Isle - Spyglass 1★</t>
  </si>
  <si>
    <t>Gold Cove - Ruby 1★, Siren Reef - Comb 2★, Ghost Ship - Sail 1★, Gold Cove - Doubloon 1★, Dead Man Bay - Treasure Map 2★</t>
  </si>
  <si>
    <t>Dead Man Bay - Treasure Map 2★, Skull Isle - Compass 1★, Kraken Lair - Tentacle 1★, Skull Isle - Map 1★, Skull Isle - Parrot 2★, Kraken Lair - Hook 3★</t>
  </si>
  <si>
    <t>Storm Port - Cleat 2★, Kraken Lair - Hook 3★</t>
  </si>
  <si>
    <t>Siren Reef - Witch 2★, Dead Man Bay - Jolly Roger 2★, Dead Man Bay - Dagger 4★, Storm Port - Windmill 4★</t>
  </si>
  <si>
    <t>Storm Port - Windmill 4★</t>
  </si>
  <si>
    <t>Siren Reef - Witch 2★, Dead Man Bay - Jolly Roger 2★, Dead Man Bay - Dagger 4★</t>
  </si>
  <si>
    <t>Storm Port - Flare 3★, Kraken Lair - Eyepatch 4★</t>
  </si>
  <si>
    <t>Skull Isle - Map 1★, Cannon Fort - War Flag 3★, Ghost Ship - Ghost Lamp 2★, Ghost Ship - Key 2★</t>
  </si>
  <si>
    <t>Dead Man Bay - Pistol 1★, Kraken Lair - Pearl 1★, Kraken Lair - Ink Cloud 1★, Skull Isle - Chest 3★</t>
  </si>
  <si>
    <t>Siren Reef - Mirror 1★, Ghost Ship - Log 5★</t>
  </si>
  <si>
    <t>Ghost Ship - Log 5★</t>
  </si>
  <si>
    <t>Set 4 completed | Rewards: Red: 1 | packs opened: 1★: 21, 2★: 4, 3★: 23, 4★: 12, 5★: 6</t>
  </si>
  <si>
    <t>Kraken Lair - Coral 2★, Gold Cove - Crown 2★, Siren Reef - Witch 2★</t>
  </si>
  <si>
    <t>Ghost Ship - Nest 3★, Skull Isle - Parrot 2★</t>
  </si>
  <si>
    <t>Bronze Chest Opened - 1-star Pack</t>
  </si>
  <si>
    <t>Skull Isle - Skull 3★, Skull Isle - Anchor 1★</t>
  </si>
  <si>
    <t>Dead Man Bay - Rum 1★, Kraken Lair - Hook 3★, Ghost Ship - Fog Horn 1★, Dead Man Bay - Bandana 5★</t>
  </si>
  <si>
    <t>Dead Man Bay - Bandana 5★</t>
  </si>
  <si>
    <t>Dead Man Bay - Rum 1★, Kraken Lair - Hook 3★, Ghost Ship - Fog Horn 1★</t>
  </si>
  <si>
    <t>Storm Port - Flare 3★, Kraken Lair - Ink Cloud 1★, Gold Cove - Emerald 1★, Kraken Lair - Lantern 3★, Skull Isle - Map 1★</t>
  </si>
  <si>
    <t>Siren Reef - Starfish 3★, Ghost Ship - Log 5★, Siren Reef - Harp 1★, Storm Port - Windmill 4★, Gold Cove - Ring 4★</t>
  </si>
  <si>
    <t>Dead Man Bay - Jolly Roger 2★, Gold Cove - Diamond 2★, Siren Reef - Comb 2★, Kraken Lair - Shell 2★, Ghost Ship - Fog Horn 1★, Gold Cove - Doubloon 1★</t>
  </si>
  <si>
    <t>Ghost Ship - Flag 4★, Siren Reef - Wave 5★</t>
  </si>
  <si>
    <t>Siren Reef - Wave 5★</t>
  </si>
  <si>
    <t>Ghost Ship - Flag 4★</t>
  </si>
  <si>
    <t>Skull Isle - Spyglass 1★, Storm Port - Cleat 2★, Storm Port - Cleat 2★, Gold Cove - Ruby 1★</t>
  </si>
  <si>
    <t>Kraken Lair - Trident 1★, Storm Port - Bucket 4★</t>
  </si>
  <si>
    <t>Cannon Fort - Cannonball 1★, Skull Isle - Compass 1★, Gold Cove - Diamond 2★, Siren Reef - Harp 1★</t>
  </si>
  <si>
    <t>Cannon Fort - Bridge 5★, Siren Reef - Comb 2★, Kraken Lair - Coral 2★, Storm Port - Drum 5★</t>
  </si>
  <si>
    <t>Storm Port - Drum 5★</t>
  </si>
  <si>
    <t>Cannon Fort - Bridge 5★, Siren Reef - Comb 2★, Kraken Lair - Coral 2★</t>
  </si>
  <si>
    <t>Set 5 completed | Rewards: Chuck: 1 | packs opened: 1★: 25, 2★: 5, 3★: 27, 4★: 14, 5★: 7</t>
  </si>
  <si>
    <t>Cannon Fort - Fuse 2★, Skull Isle - Map 1★, Gold Cove - Goblet 3★</t>
  </si>
  <si>
    <t>Dead Man Bay - Dagger 4★, Gold Cove - Ruby 1★, Cannon Fort - Ramrod 2★</t>
  </si>
  <si>
    <t>Ghost Ship - Flag 4★, Storm Port - Cleat 2★, Storm Port - Cleat 2★, Skull Isle - Helm 2★</t>
  </si>
  <si>
    <t>Cannon Fort - Ramrod 2★, Ghost Ship - Key 2★, Ghost Ship - Nest 3★, Dead Man Bay - Beard 5★</t>
  </si>
  <si>
    <t>Dead Man Bay - Beard 5★</t>
  </si>
  <si>
    <t>Cannon Fort - Ramrod 2★, Ghost Ship - Key 2★, Ghost Ship - Nest 3★</t>
  </si>
  <si>
    <t>Set 8 completed | Rewards: Shuffle: 1 | packs opened: 1★: 25, 2★: 7, 3★: 29, 4★: 14, 5★: 7</t>
  </si>
  <si>
    <t>Dead Man Bay - Rum 1★, Ghost Ship - Plank 3★, Kraken Lair - Lantern 3★, Storm Port - Barrel 1★</t>
  </si>
  <si>
    <t>Gold Cove - Doubloon 1★, Siren Reef - Starfish 3★</t>
  </si>
  <si>
    <t>Dead Man Bay - Rum 1★, Dead Man Bay - Dagger 4★, Gold Cove - Diamond 2★, Dead Man Bay - Treasure Map 2★</t>
  </si>
  <si>
    <t>Skull Isle - Cutlass 2★, Kraken Lair - Pearl 1★, Storm Port - Flare 3★, Dead Man Bay - Treasure Map 2★, Siren Reef - Conch 5★</t>
  </si>
  <si>
    <t>Siren Reef - Conch 5★</t>
  </si>
  <si>
    <t>Skull Isle - Cutlass 2★, Kraken Lair - Pearl 1★, Storm Port - Flare 3★, Dead Man Bay - Treasure Map 2★</t>
  </si>
  <si>
    <t>Set 7 completed | Rewards: Slingshot: 1 | packs opened: 1★: 26, 2★: 7, 3★: 31, 4★: 15, 5★: 7</t>
  </si>
  <si>
    <t>Kraken Lair - Trident 1★, Skull Isle - Compass 1★, Siren Reef - Starfish 3★, Cannon Fort - War Flag 3★, Storm Port - Lightning 1★</t>
  </si>
  <si>
    <t>Siren Reef - Mirror 1★, Siren Reef - Starfish 3★, Skull Isle - Spyglass 1★, Cannon Fort - Cannonball 1★, Skull Isle - Anchor 1★, Siren Reef - Mirror 1★</t>
  </si>
  <si>
    <t>Storm Port - Windmill 4★, Siren Reef - Harp 1★, Skull Isle - Helm 2★</t>
  </si>
  <si>
    <t>Dead Man Bay - Treasure Map 2★, Gold Cove - Ruby 1★, Cannon Fort - Horn 5★</t>
  </si>
  <si>
    <t>Cannon Fort - Horn 5★</t>
  </si>
  <si>
    <t>Dead Man Bay - Treasure Map 2★, Gold Cove - Ruby 1★</t>
  </si>
  <si>
    <t>Main → Super | Album rewards: Coins: 500, Red: 1 | Pool leftover: 1★=130, 2★=129, 3★=100, 4★=80, 5★=47 (486 total) ====== Set 6 completed | Rewards: Bomb: 1 | packs opened: 1★: 26, 2★: 9, 3★: 31, 4★: 16, 5★: 8</t>
  </si>
  <si>
    <t>Super</t>
  </si>
  <si>
    <t>Skull Isle - Chest 3★, Gold Cove - Diamond 2★, Cannon Fort - Powder 1★</t>
  </si>
  <si>
    <t>Skull Isle - Spyglass 1★, Ghost Ship - Sail 1★, Siren Reef - Starfish 3★</t>
  </si>
  <si>
    <t>Cannon Fort - Cannonball 1★, Ghost Ship - Plank 3★</t>
  </si>
  <si>
    <t>Cannon Fort - Catapult 5★, Skull Isle - Parrot 2★</t>
  </si>
  <si>
    <t>Kraken Lair - Ink Cloud 1★, Gold Cove - Diamond 2★, Kraken Lair - Coral 2★, Kraken Lair - Shell 2★</t>
  </si>
  <si>
    <t>Kraken Lair - Ink Cloud 1★, Kraken Lair - Coral 2★, Kraken Lair - Shell 2★</t>
  </si>
  <si>
    <t>Gold Cove - Diamond 2★</t>
  </si>
  <si>
    <t>Ghost Ship - Plank 3★, Gold Cove - Emerald 1★</t>
  </si>
  <si>
    <t>Gold Cove - Emerald 1★</t>
  </si>
  <si>
    <t>Kraken Lair - Eyepatch 4★, Skull Isle - Map 1★, Cannon Fort - Cannonball 1★, Kraken Lair - Pearl 1★</t>
  </si>
  <si>
    <t>Kraken Lair - Eyepatch 4★, Skull Isle - Map 1★, Kraken Lair - Pearl 1★</t>
  </si>
  <si>
    <t>RESOURCE GAINS + NET (33 day period)</t>
  </si>
  <si>
    <t>◆ HC</t>
  </si>
  <si>
    <t>◄ CURRENT (actuals: data + calc) ►</t>
  </si>
  <si>
    <t>◄ SIMULATED ►</t>
  </si>
  <si>
    <t>Δ</t>
  </si>
  <si>
    <t>◄ NET / active player ►</t>
  </si>
  <si>
    <t>Segment</t>
  </si>
  <si>
    <t>PAID</t>
  </si>
  <si>
    <t>ADS</t>
  </si>
  <si>
    <t>CORE</t>
  </si>
  <si>
    <t>META</t>
  </si>
  <si>
    <t>cur spend</t>
  </si>
  <si>
    <t>cur net</t>
  </si>
  <si>
    <t>new net</t>
  </si>
  <si>
    <t>net Δ</t>
  </si>
  <si>
    <t>overall</t>
  </si>
  <si>
    <t>PAYER</t>
  </si>
  <si>
    <t>◆ Slingshot</t>
  </si>
  <si>
    <t>◆ Shuffle</t>
  </si>
  <si>
    <t>◆ Comet</t>
  </si>
  <si>
    <t>◆ Red</t>
  </si>
  <si>
    <t>◆ Chuck</t>
  </si>
  <si>
    <t>◆ Bomb</t>
  </si>
  <si>
    <t>◆ UL Bomb</t>
  </si>
  <si>
    <t>◆ UL Chuck</t>
  </si>
  <si>
    <t>◆ UL Red</t>
  </si>
  <si>
    <t>◆ Unlimited Lives</t>
  </si>
  <si>
    <t>Per-earner gains over the 33-day</t>
  </si>
  <si>
    <t>◀ input (global)</t>
  </si>
  <si>
    <t>0-9 Segment - Over Time Period  (uses 1-9 gains data)</t>
  </si>
  <si>
    <t>0-9 Segment - Over Time Period - Difference</t>
  </si>
  <si>
    <t>HC</t>
  </si>
  <si>
    <t>UL Bomb</t>
  </si>
  <si>
    <t>UL Chuck</t>
  </si>
  <si>
    <t>UL Red</t>
  </si>
  <si>
    <t>10-19 Segment - Over Time Period</t>
  </si>
  <si>
    <t>10-19 Segment - Over Time Period - Difference</t>
  </si>
  <si>
    <t>20-39 Segment - Over Time Period</t>
  </si>
  <si>
    <t>20-39 Segment - Over Time Period - Difference</t>
  </si>
  <si>
    <t>40-99 Segment - Over Time Period</t>
  </si>
  <si>
    <t>40-99 Segment - Over Time Period - Difference</t>
  </si>
  <si>
    <t>100+ Segment - Over Time Period</t>
  </si>
  <si>
    <t>100+ Segment - Over Time Period - Difference</t>
  </si>
  <si>
    <t>A. 0</t>
  </si>
  <si>
    <t>A. 0 Appendix - carried &amp; annotated (not simulated)</t>
  </si>
  <si>
    <t>A. 0 Appendix - Difference (config-only changes)</t>
  </si>
  <si>
    <t>LEGEND / ASSUMPTIONS (EcoGainsSim_v4)</t>
  </si>
  <si>
    <t>Colors: blue = measured (carried) · gray = simulated · yellow label = always-on/daily sim · pink label = calendar-event sim · diff: red &lt; 0 &lt; green.</t>
  </si>
  <si>
    <t>Night Sky: SIMULATED column = bottom-up FULL-ROLLOUT value (segment ladder x survival over data_streaks max-streak p25-p90, each x 1.25 effective-streak factor, x active days). CURRENT is A/B-diluted, so the DIFF row = ROLLOUT EFFECT (not a redesign delta).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</si>
  <si>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</si>
  <si>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—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</si>
  <si>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— re-add instances and it re-prices.</t>
  </si>
  <si>
    <t>A. 0 block: no behaviour data (these players barely play) — everything carried except config-only changes: Saga HC x ratio, Daily Gift HC x ratio (0-9 streaks as PROXY, slightly overstates), River Rush -&gt; 0. RM/NS not simulated for A. 0.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</si>
  <si>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</si>
  <si>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</si>
  <si>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</si>
  <si>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Daily Resource gains over the 33-day</t>
  </si>
  <si>
    <t>ALL</t>
  </si>
  <si>
    <t>◄ CURRENT (cal_curr, measured) ►</t>
  </si>
  <si>
    <t>◄ NEW (cal_new, simulated) ►</t>
  </si>
  <si>
    <t>Δ  NEW − CURRENT (same day)</t>
  </si>
  <si>
    <t>DoW</t>
  </si>
  <si>
    <t>Wed</t>
  </si>
  <si>
    <t>Thu</t>
  </si>
  <si>
    <t>Fri</t>
  </si>
  <si>
    <t>Sat</t>
  </si>
  <si>
    <t>Sun</t>
  </si>
  <si>
    <t>Mon</t>
  </si>
  <si>
    <t>Tue</t>
  </si>
  <si>
    <t>TOTAL</t>
  </si>
  <si>
    <t>LEGEND / ALLOCATION RULES (claim-day realistic - EcoGainsSim_Daily.gs)</t>
  </si>
  <si>
    <t>Window totals are exactly the main sim’s numbers (CURRENT = measured on cal_curr, NEW = simulated on cal_new); this view only places them on days -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</si>
  <si>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</si>
  <si>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- flagged).</t>
  </si>
  <si>
    <t>Core / Saga / Daily Gift pay daily ∝ weekday/weekend active rate; Night Sky over its daily instances. Non-calendar sources (Ads, Teams, Season Pass, Other, IAPs; River Rush current side) are flat ÷33 - their DIFF is uniform.</t>
  </si>
  <si>
    <t>Weekend rows (Fri/Sat/Sun) are tinted. Filters: Payer / Segment / Source - Source=ALL sums every category; pick one to isolate its daily contribution.</t>
  </si>
  <si>
    <t>EcoGainsSim PlybyPly</t>
  </si>
  <si>
    <t>Calendar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</si>
  <si>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</si>
  <si>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</si>
  <si>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</si>
  <si>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Engagement segment: saga completions in the last 7 days (0-9 .. 100+)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</si>
  <si>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</si>
  <si>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</si>
  <si>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</si>
  <si>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</si>
  <si>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</si>
  <si>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</si>
  <si>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</si>
  <si>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</si>
  <si>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</si>
  <si>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</si>
  <si>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</si>
  <si>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</si>
  <si>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</si>
  <si>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How many level attempts this player makes on a day they play (data_streaks) = N ledger rows</t>
  </si>
  <si>
    <t>Win rate</t>
  </si>
  <si>
    <t>52.1%</t>
  </si>
  <si>
    <t>Share of attempts that complete the level (data_streaks)</t>
  </si>
  <si>
    <t>P(win | prev win)</t>
  </si>
  <si>
    <t>78.5%</t>
  </si>
  <si>
    <t>Chance to win again right after a win: streak persistence incl. OOM saves (data_streaks)</t>
  </si>
  <si>
    <t>Max win streak / day (p50)</t>
  </si>
  <si>
    <t>Median best win streak within a day (data_streaks)</t>
  </si>
  <si>
    <t>Mean streak length</t>
  </si>
  <si>
    <t>Average length of a win run; shapes the Expected-mode win layout (data_streaks)</t>
  </si>
  <si>
    <t>Login streak (p50)</t>
  </si>
  <si>
    <t>Median consecutive-day login run; sets the Daily Gift cycle day (data_seg_beh)</t>
  </si>
  <si>
    <t>NS max streak (p50)</t>
  </si>
  <si>
    <t>Median in-day saga win-streak; sets the Night Sky milestone night (data_seg_beh)</t>
  </si>
  <si>
    <t>Active Events on This Day (sim - spills one row per running event + per session-start claim)</t>
  </si>
  <si>
    <t>Ends today?</t>
  </si>
  <si>
    <t>Progress @ start</t>
  </si>
  <si>
    <t>Accrual today</t>
  </si>
  <si>
    <t>Next milestone</t>
  </si>
  <si>
    <t>End-of-day payout</t>
  </si>
  <si>
    <t>+3/5/7/10 per win (completion tier)</t>
  </si>
  <si>
    <t>m4 @ 250 -&gt; {Unlimited Lives: 30}</t>
  </si>
  <si>
    <t>target +1161</t>
  </si>
  <si>
    <t>{} (rank 27 (below ladder / pays nothing))</t>
  </si>
  <si>
    <t>target +293</t>
  </si>
  <si>
    <t>{Chuck: 1} (rank 6)</t>
  </si>
  <si>
    <t>{Coins: 50, Shuffle: 1} (rank 3)</t>
  </si>
  <si>
    <t>claim @ S</t>
  </si>
  <si>
    <t>{Slingshot: 1} (cycle day 3 (login streak p50), variant 1)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</si>
  <si>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</si>
  <si>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</si>
  <si>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</si>
  <si>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</si>
  <si>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</si>
  <si>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</si>
  <si>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</si>
  <si>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</si>
  <si>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</si>
  <si>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</si>
  <si>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Night Sky pays only on its exact milestone night. Flock Flurry opt-in = 60 min Unlimited Lives (design-PDF constant).</t>
  </si>
  <si>
    <t>11. SPT / COOP Token / Avatar / star-daily rewards are outside the 11-resource universe and are not tracked.</t>
  </si>
  <si>
    <t>Play-by-Play Sim (one row per play; extra claims spill onto their own rows; Session Summary at the end)</t>
  </si>
  <si>
    <t>Level</t>
  </si>
  <si>
    <t>Streak</t>
  </si>
  <si>
    <t>Mult</t>
  </si>
  <si>
    <t>Claims (milestones &amp; rewards landing on this play)</t>
  </si>
  <si>
    <t>Jigsaw tokens</t>
  </si>
  <si>
    <t>Kite Festival score</t>
  </si>
  <si>
    <t>Target Day score</t>
  </si>
  <si>
    <t/>
  </si>
  <si>
    <t>S</t>
  </si>
  <si>
    <t>session start</t>
  </si>
  <si>
    <t>Daily Gift cycle day 3 (login streak p50), variant 3 -&gt; {Slingshot: 1}</t>
  </si>
  <si>
    <t>LOSS</t>
  </si>
  <si>
    <t>WIN</t>
  </si>
  <si>
    <t>Kx1 Tx1</t>
  </si>
  <si>
    <t>Kx10 Tx5</t>
  </si>
  <si>
    <t>Kx100 Tx10</t>
  </si>
  <si>
    <t>Kx200 Tx20</t>
  </si>
  <si>
    <t>Kx500 Tx100</t>
  </si>
  <si>
    <t>Saga node 8 at level 280 -&gt; {Chuck: 1, Slingshot: 1, Unlimited Lives: 30}</t>
  </si>
  <si>
    <t>E</t>
  </si>
  <si>
    <t>day end (LB)</t>
  </si>
  <si>
    <t>Kite Festival rank 30 (below ladder / pays nothing) -&gt; {}</t>
  </si>
  <si>
    <t>Target Day rank 3 -&gt; {Coins: 10, Slingshot: 1}</t>
  </si>
  <si>
    <t>Flash Race rank 5 -&gt; {Shuffle: 1}</t>
  </si>
  <si>
    <t>Session Summary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</si>
  <si>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</si>
  <si>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</si>
  <si>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</si>
  <si>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</si>
  <si>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</si>
  <si>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</si>
  <si>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</si>
  <si>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</si>
  <si>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</si>
  <si>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</si>
  <si>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</si>
  <si>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</si>
  <si>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</si>
  <si>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</si>
  <si>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minutes</t>
  </si>
  <si>
    <t>B. 1-9</t>
  </si>
  <si>
    <t>C. 10-19</t>
  </si>
  <si>
    <t>D. 20-39</t>
  </si>
  <si>
    <t>E. 40-99</t>
  </si>
  <si>
    <t>F. 100+</t>
  </si>
  <si>
    <t>segment</t>
  </si>
  <si>
    <t>seg_rank</t>
  </si>
  <si>
    <t>unique_players</t>
  </si>
  <si>
    <t>player_days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</si>
  <si>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</si>
  <si>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</si>
  <si>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</si>
  <si>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</si>
  <si>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</si>
  <si>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</si>
  <si>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</si>
  <si>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</si>
  <si>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</si>
  <si>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</si>
  <si>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</si>
  <si>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</si>
  <si>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</si>
  <si>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</si>
  <si>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</si>
  <si>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</si>
  <si>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</si>
  <si>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</si>
  <si>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</si>
  <si>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</si>
  <si>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</si>
  <si>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</si>
  <si>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</si>
  <si>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</si>
  <si>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</si>
  <si>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</si>
  <si>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</si>
  <si>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</si>
  <si>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</si>
  <si>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</si>
  <si>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</si>
  <si>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</si>
  <si>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</si>
  <si>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</si>
  <si>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</si>
  <si>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</si>
  <si>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</si>
  <si>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</si>
  <si>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</si>
  <si>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</si>
  <si>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</si>
  <si>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</si>
  <si>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</si>
  <si>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</si>
  <si>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</si>
  <si>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</si>
  <si>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Bombs Ballet</t>
  </si>
  <si>
    <t>Dream Heist</t>
  </si>
  <si>
    <t>Dream Pass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</si>
  <si>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</si>
  <si>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</si>
  <si>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</si>
  <si>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</si>
  <si>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</si>
  <si>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</si>
  <si>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</si>
  <si>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</si>
  <si>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</si>
  <si>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</si>
  <si>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</si>
  <si>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</si>
  <si>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</si>
  <si>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</si>
  <si>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</si>
  <si>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</si>
  <si>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</si>
  <si>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</si>
  <si>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</si>
  <si>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</si>
  <si>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</si>
  <si>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</si>
  <si>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</si>
  <si>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</si>
  <si>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currency</t>
  </si>
  <si>
    <t>gain_per_active_player</t>
  </si>
  <si>
    <t>spend_per_active_player</t>
  </si>
  <si>
    <t>net_per_active_player</t>
  </si>
  <si>
    <t>gain_p25</t>
  </si>
  <si>
    <t>gain_p50</t>
  </si>
  <si>
    <t>gain_p75</t>
  </si>
  <si>
    <t>gain_p90</t>
  </si>
  <si>
    <t>spend_p25</t>
  </si>
  <si>
    <t>spend_p50</t>
  </si>
  <si>
    <t>spend_p75</t>
  </si>
  <si>
    <t>spend_p90</t>
  </si>
  <si>
    <t>net_p25</t>
  </si>
  <si>
    <t>net_p50</t>
  </si>
  <si>
    <t>net_p75</t>
  </si>
  <si>
    <t>net_p90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</si>
</sst>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%"/>
    <numFmt numFmtId="165" formatCode="#,##0.0"/>
    <numFmt numFmtId="166" formatCode="[$$]#,##0.00"/>
    <numFmt numFmtId="167" formatCode="+0%;-0%;0%"/>
    <numFmt numFmtId="168" formatCode="#,##0.0;[Red]-#,##0.0"/>
    <numFmt numFmtId="169" formatCode="#,##0.00;[Red]-#,##0.00"/>
    <numFmt numFmtId="170" formatCode="#,##0.00;-#,##0.00"/>
    <numFmt numFmtId="171" formatCode="0.0"/>
  </numFmts>
  <fonts count="68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71B20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color theme="1"/>
      <name val="Arial"/>
      <scheme val="minor"/>
    </font>
    <font>
      <b/>
      <sz val="14.0"/>
      <color theme="1"/>
      <name val="Arial"/>
    </font>
    <font>
      <sz val="11.0"/>
      <color theme="1"/>
      <name val="Calibri"/>
    </font>
    <font>
      <i/>
      <sz val="9.0"/>
      <color rgb="FF666666"/>
      <name val="Arial"/>
    </font>
    <font>
      <b/>
      <sz val="10.0"/>
      <color rgb="FF000000"/>
      <name val="Arial"/>
    </font>
    <font>
      <b/>
      <sz val="11.0"/>
      <color rgb="FFFFFFFF"/>
      <name val="Arial"/>
    </font>
    <font/>
    <font>
      <sz val="10.0"/>
      <color theme="1"/>
      <name val="Arial"/>
    </font>
    <font>
      <sz val="10.0"/>
      <color rgb="FF000000"/>
      <name val="Arial"/>
    </font>
    <font>
      <sz val="11.0"/>
      <color rgb="FF000000"/>
      <name val="Arial"/>
    </font>
    <font>
      <sz val="11.0"/>
      <color rgb="FF000000"/>
      <name val="Calibri"/>
    </font>
    <font>
      <b/>
      <sz val="11.0"/>
      <color rgb="FF000000"/>
      <name val="Arial"/>
    </font>
    <font>
      <b/>
      <sz val="10.0"/>
      <color theme="1"/>
      <name val="Arial"/>
    </font>
    <font>
      <color theme="1"/>
      <name val="Arial"/>
    </font>
    <font>
      <b/>
      <sz val="14.0"/>
      <color rgb="FFFF0000"/>
      <name val="Arial"/>
    </font>
    <font>
      <color rgb="FF000000"/>
      <name val="Arial"/>
      <scheme val="minor"/>
    </font>
    <font>
      <sz val="11.0"/>
      <color rgb="FFFF0000"/>
      <name val="Arial"/>
    </font>
    <font>
      <sz val="11.0"/>
      <color rgb="FFFF0000"/>
      <name val="Calibri"/>
    </font>
    <font>
      <b/>
      <sz val="11.0"/>
      <color rgb="FFFF0000"/>
      <name val="Arial"/>
    </font>
    <font>
      <color rgb="FF000000"/>
      <name val="Arial"/>
    </font>
    <font>
      <b/>
      <sz val="11.0"/>
      <color rgb="FFFF0000"/>
      <name val="Calibri"/>
    </font>
    <font>
      <b/>
      <sz val="12.0"/>
      <color rgb="FFFFFFFF"/>
      <name val="Arial"/>
    </font>
    <font>
      <b/>
      <sz val="11.0"/>
      <color theme="1"/>
      <name val="Arial"/>
    </font>
    <font>
      <sz val="11.0"/>
      <color rgb="FFBFBFBF"/>
      <name val="Arial"/>
    </font>
    <font>
      <b/>
      <sz val="12.0"/>
      <color rgb="FF000000"/>
      <name val="Arial"/>
    </font>
    <font>
      <b/>
      <sz val="10.0"/>
      <color rgb="FFFF0000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i/>
      <color theme="1"/>
      <name val="Arial"/>
      <scheme val="minor"/>
    </font>
    <font>
      <sz val="9.0"/>
      <color theme="1"/>
      <name val="Arial"/>
    </font>
    <font>
      <sz val="11.0"/>
      <color theme="1"/>
      <name val="Carlito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sz val="9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i/>
      <sz val="9.0"/>
      <color rgb="FF888888"/>
      <name val="Calibri"/>
    </font>
    <font>
      <i/>
      <sz val="10.0"/>
      <color theme="1"/>
      <name val="Calibri"/>
    </font>
    <font>
      <sz val="10.0"/>
      <color rgb="FF999999"/>
      <name val="Calibri"/>
    </font>
    <font>
      <color theme="1"/>
      <name val="Calibri"/>
    </font>
    <font>
      <i/>
      <color theme="1"/>
      <name val="Calibri"/>
    </font>
    <font>
      <color rgb="FF999999"/>
      <name val="Calibri"/>
    </font>
    <font>
      <i/>
      <color rgb="FFCCCCCC"/>
      <name val="Arial"/>
      <scheme val="minor"/>
    </font>
    <font>
      <u/>
      <color rgb="FFFF0000"/>
    </font>
    <font>
      <i/>
      <sz val="12.0"/>
      <color theme="1"/>
      <name val="Arial"/>
      <scheme val="minor"/>
    </font>
    <font>
      <color rgb="FFFF0000"/>
      <name val="Arial"/>
      <scheme val="minor"/>
    </font>
    <font>
      <i/>
      <color rgb="FFB7B7B7"/>
      <name val="Arial"/>
    </font>
    <font>
      <b/>
      <sz val="13.0"/>
      <color theme="1"/>
      <name val="Arial"/>
    </font>
    <font>
      <b/>
      <sz val="10.0"/>
      <color rgb="FFFFFFFF"/>
      <name val="Arial"/>
    </font>
    <font>
      <b/>
      <sz val="12.0"/>
      <color theme="1"/>
      <name val="Arial"/>
    </font>
    <font>
      <sz val="9.0"/>
      <color rgb="FF808080"/>
      <name val="Arial"/>
    </font>
    <font>
      <color rgb="FF990000"/>
      <name val="Arial"/>
    </font>
    <font>
      <color rgb="FF006100"/>
      <name val="Arial"/>
    </font>
    <font>
      <b/>
      <sz val="9.0"/>
      <color rgb="FF000000"/>
      <name val="Arial"/>
    </font>
    <font>
      <b/>
      <color theme="1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sz val="11.0"/>
      <color rgb="FF000000"/>
      <name val="Calibri"/>
    </font>
  </fonts>
  <fills count="41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7CB4D"/>
        <bgColor rgb="FFF7CB4D"/>
      </patternFill>
    </fill>
    <fill>
      <patternFill patternType="solid">
        <fgColor rgb="FFFFD966"/>
        <bgColor rgb="FFFFD966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D0D0D0"/>
        <bgColor rgb="FFD0D0D0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7030A0"/>
        <bgColor rgb="FF7030A0"/>
      </patternFill>
    </fill>
    <fill>
      <patternFill patternType="solid">
        <fgColor rgb="FFE2EFDA"/>
        <bgColor rgb="FFE2EFDA"/>
      </patternFill>
    </fill>
    <fill>
      <patternFill patternType="solid">
        <fgColor rgb="FFE9DEF3"/>
        <bgColor rgb="FFE9DEF3"/>
      </patternFill>
    </fill>
    <fill>
      <patternFill patternType="solid">
        <fgColor rgb="FF305496"/>
        <bgColor rgb="FF305496"/>
      </patternFill>
    </fill>
    <fill>
      <patternFill patternType="solid">
        <fgColor rgb="FFDDEBF7"/>
        <bgColor rgb="FFDDEBF7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4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/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right/>
      <top/>
      <bottom/>
    </border>
    <border>
      <left/>
      <right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top/>
    </border>
  </borders>
  <cellStyleXfs count="1">
    <xf borderId="0" fillId="0" fontId="0" numFmtId="0" applyAlignment="1" applyFont="1"/>
  </cellStyleXfs>
  <cellXfs count="49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1" fillId="2" fontId="9" numFmtId="0" xfId="0" applyAlignment="1" applyBorder="1" applyFill="1" applyFont="1">
      <alignment horizontal="center" shrinkToFit="0" vertical="bottom" wrapText="0"/>
    </xf>
    <xf borderId="0" fillId="0" fontId="7" numFmtId="0" xfId="0" applyAlignment="1" applyFont="1">
      <alignment readingOrder="0" shrinkToFit="0" vertical="bottom" wrapText="0"/>
    </xf>
    <xf borderId="2" fillId="3" fontId="10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bottom" wrapText="1"/>
    </xf>
    <xf borderId="3" fillId="0" fontId="7" numFmtId="0" xfId="0" applyAlignment="1" applyBorder="1" applyFont="1">
      <alignment horizontal="center" readingOrder="0" shrinkToFit="0" vertical="bottom" wrapText="1"/>
    </xf>
    <xf borderId="4" fillId="0" fontId="11" numFmtId="0" xfId="0" applyBorder="1" applyFont="1"/>
    <xf borderId="5" fillId="4" fontId="10" numFmtId="0" xfId="0" applyAlignment="1" applyBorder="1" applyFill="1" applyFont="1">
      <alignment horizontal="center" shrinkToFit="0" vertical="center" wrapText="1"/>
    </xf>
    <xf borderId="6" fillId="3" fontId="10" numFmtId="0" xfId="0" applyAlignment="1" applyBorder="1" applyFont="1">
      <alignment horizontal="center" shrinkToFit="0" wrapText="1"/>
    </xf>
    <xf borderId="5" fillId="3" fontId="10" numFmtId="0" xfId="0" applyAlignment="1" applyBorder="1" applyFont="1">
      <alignment horizontal="center" shrinkToFit="0" wrapText="1"/>
    </xf>
    <xf borderId="6" fillId="0" fontId="12" numFmtId="0" xfId="0" applyAlignment="1" applyBorder="1" applyFont="1">
      <alignment horizontal="center" shrinkToFit="0" vertical="center" wrapText="1"/>
    </xf>
    <xf borderId="7" fillId="5" fontId="13" numFmtId="0" xfId="0" applyAlignment="1" applyBorder="1" applyFill="1" applyFont="1">
      <alignment horizontal="center" shrinkToFit="0" vertical="center" wrapText="1"/>
    </xf>
    <xf borderId="8" fillId="5" fontId="14" numFmtId="0" xfId="0" applyAlignment="1" applyBorder="1" applyFont="1">
      <alignment horizontal="center" readingOrder="0" shrinkToFit="0" vertical="bottom" wrapText="1"/>
    </xf>
    <xf borderId="0" fillId="0" fontId="15" numFmtId="0" xfId="0" applyAlignment="1" applyFont="1">
      <alignment shrinkToFit="0" vertical="bottom" wrapText="0"/>
    </xf>
    <xf borderId="3" fillId="0" fontId="15" numFmtId="0" xfId="0" applyAlignment="1" applyBorder="1" applyFont="1">
      <alignment horizontal="right" shrinkToFit="0" vertical="bottom" wrapText="0"/>
    </xf>
    <xf borderId="0" fillId="0" fontId="15" numFmtId="0" xfId="0" applyAlignment="1" applyFont="1">
      <alignment horizontal="left" shrinkToFit="0" vertical="bottom" wrapText="0"/>
    </xf>
    <xf borderId="0" fillId="0" fontId="15" numFmtId="0" xfId="0" applyAlignment="1" applyFont="1">
      <alignment horizontal="right" shrinkToFit="0" vertical="bottom" wrapText="0"/>
    </xf>
    <xf borderId="4" fillId="0" fontId="15" numFmtId="0" xfId="0" applyAlignment="1" applyBorder="1" applyFont="1">
      <alignment horizontal="left" shrinkToFit="0" vertical="bottom" wrapText="0"/>
    </xf>
    <xf borderId="0" fillId="6" fontId="13" numFmtId="0" xfId="0" applyAlignment="1" applyFill="1" applyFont="1">
      <alignment horizontal="center" shrinkToFit="0" vertical="center" wrapText="1"/>
    </xf>
    <xf borderId="0" fillId="6" fontId="15" numFmtId="0" xfId="0" applyAlignment="1" applyFont="1">
      <alignment horizontal="center" readingOrder="0" shrinkToFit="0" vertical="bottom" wrapText="0"/>
    </xf>
    <xf borderId="9" fillId="5" fontId="14" numFmtId="0" xfId="0" applyAlignment="1" applyBorder="1" applyFont="1">
      <alignment horizontal="center" shrinkToFit="0" vertical="bottom" wrapText="1"/>
    </xf>
    <xf borderId="10" fillId="5" fontId="14" numFmtId="0" xfId="0" applyAlignment="1" applyBorder="1" applyFont="1">
      <alignment horizontal="center" readingOrder="0" shrinkToFit="0" vertical="bottom" wrapText="1"/>
    </xf>
    <xf borderId="10" fillId="5" fontId="14" numFmtId="0" xfId="0" applyAlignment="1" applyBorder="1" applyFont="1">
      <alignment horizontal="center" shrinkToFit="0" vertical="bottom" wrapText="1"/>
    </xf>
    <xf borderId="0" fillId="5" fontId="14" numFmtId="0" xfId="0" applyAlignment="1" applyFont="1">
      <alignment horizontal="center" readingOrder="0" shrinkToFit="0" vertical="bottom" wrapText="1"/>
    </xf>
    <xf borderId="11" fillId="5" fontId="14" numFmtId="0" xfId="0" applyAlignment="1" applyBorder="1" applyFont="1">
      <alignment horizontal="center" shrinkToFit="0" vertical="bottom" wrapText="1"/>
    </xf>
    <xf borderId="0" fillId="7" fontId="7" numFmtId="0" xfId="0" applyAlignment="1" applyFill="1" applyFont="1">
      <alignment horizontal="center" shrinkToFit="0" vertical="bottom" wrapText="0"/>
    </xf>
    <xf borderId="0" fillId="0" fontId="5" numFmtId="0" xfId="0" applyAlignment="1" applyFont="1">
      <alignment horizontal="right" readingOrder="0"/>
    </xf>
    <xf borderId="12" fillId="0" fontId="12" numFmtId="0" xfId="0" applyAlignment="1" applyBorder="1" applyFont="1">
      <alignment horizontal="center" shrinkToFit="0" vertical="center" wrapText="1"/>
    </xf>
    <xf borderId="13" fillId="5" fontId="13" numFmtId="0" xfId="0" applyAlignment="1" applyBorder="1" applyFont="1">
      <alignment horizontal="center" shrinkToFit="0" vertical="center" wrapText="1"/>
    </xf>
    <xf borderId="14" fillId="5" fontId="14" numFmtId="0" xfId="0" applyAlignment="1" applyBorder="1" applyFont="1">
      <alignment horizontal="center" readingOrder="0" shrinkToFit="0" vertical="bottom" wrapText="1"/>
    </xf>
    <xf borderId="3" fillId="5" fontId="14" numFmtId="0" xfId="0" applyAlignment="1" applyBorder="1" applyFont="1">
      <alignment horizontal="center" shrinkToFit="0" vertical="bottom" wrapText="1"/>
    </xf>
    <xf borderId="0" fillId="5" fontId="14" numFmtId="0" xfId="0" applyAlignment="1" applyFont="1">
      <alignment horizontal="center" shrinkToFit="0" vertical="bottom" wrapText="1"/>
    </xf>
    <xf borderId="4" fillId="5" fontId="14" numFmtId="0" xfId="0" applyAlignment="1" applyBorder="1" applyFont="1">
      <alignment horizontal="center" shrinkToFit="0" vertical="bottom" wrapText="1"/>
    </xf>
    <xf borderId="0" fillId="0" fontId="7" numFmtId="0" xfId="0" applyAlignment="1" applyFont="1">
      <alignment horizontal="right" shrinkToFit="0" vertical="bottom" wrapText="0"/>
    </xf>
    <xf borderId="15" fillId="0" fontId="12" numFmtId="0" xfId="0" applyAlignment="1" applyBorder="1" applyFont="1">
      <alignment horizontal="center" shrinkToFit="0" vertical="center" wrapText="1"/>
    </xf>
    <xf borderId="16" fillId="5" fontId="13" numFmtId="0" xfId="0" applyAlignment="1" applyBorder="1" applyFont="1">
      <alignment horizontal="center" shrinkToFit="0" vertical="center" wrapText="1"/>
    </xf>
    <xf borderId="17" fillId="5" fontId="16" numFmtId="0" xfId="0" applyAlignment="1" applyBorder="1" applyFont="1">
      <alignment horizontal="center" readingOrder="0" shrinkToFit="0" vertical="bottom" wrapText="1"/>
    </xf>
    <xf borderId="18" fillId="5" fontId="14" numFmtId="0" xfId="0" applyAlignment="1" applyBorder="1" applyFont="1">
      <alignment horizontal="center" shrinkToFit="0" vertical="bottom" wrapText="1"/>
    </xf>
    <xf borderId="19" fillId="5" fontId="14" numFmtId="0" xfId="0" applyAlignment="1" applyBorder="1" applyFont="1">
      <alignment horizontal="center" shrinkToFit="0" vertical="bottom" wrapText="1"/>
    </xf>
    <xf borderId="19" fillId="5" fontId="14" numFmtId="0" xfId="0" applyAlignment="1" applyBorder="1" applyFont="1">
      <alignment horizontal="center" readingOrder="0" shrinkToFit="0" vertical="bottom" wrapText="1"/>
    </xf>
    <xf borderId="20" fillId="5" fontId="14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center" shrinkToFit="0" wrapText="1"/>
    </xf>
    <xf borderId="5" fillId="0" fontId="13" numFmtId="2" xfId="0" applyAlignment="1" applyBorder="1" applyFont="1" applyNumberFormat="1">
      <alignment horizontal="center" shrinkToFit="0" vertical="center" wrapText="1"/>
    </xf>
    <xf borderId="5" fillId="0" fontId="18" numFmtId="2" xfId="0" applyAlignment="1" applyBorder="1" applyFont="1" applyNumberFormat="1">
      <alignment horizontal="center" shrinkToFit="0" wrapText="1"/>
    </xf>
    <xf borderId="0" fillId="0" fontId="7" numFmtId="0" xfId="0" applyAlignment="1" applyFont="1">
      <alignment vertical="bottom"/>
    </xf>
    <xf borderId="5" fillId="0" fontId="18" numFmtId="164" xfId="0" applyAlignment="1" applyBorder="1" applyFont="1" applyNumberFormat="1">
      <alignment horizontal="center" shrinkToFit="0" wrapText="1"/>
    </xf>
    <xf borderId="0" fillId="0" fontId="19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1"/>
    </xf>
    <xf borderId="3" fillId="0" fontId="15" numFmtId="0" xfId="0" applyAlignment="1" applyBorder="1" applyFont="1">
      <alignment horizontal="center" readingOrder="0" shrinkToFit="0" vertical="bottom" wrapText="1"/>
    </xf>
    <xf borderId="6" fillId="0" fontId="13" numFmtId="0" xfId="0" applyAlignment="1" applyBorder="1" applyFont="1">
      <alignment horizontal="center" shrinkToFit="0" vertical="center" wrapText="1"/>
    </xf>
    <xf borderId="10" fillId="5" fontId="16" numFmtId="0" xfId="0" applyAlignment="1" applyBorder="1" applyFont="1">
      <alignment horizontal="center" shrinkToFit="0" vertical="bottom" wrapText="1"/>
    </xf>
    <xf borderId="0" fillId="5" fontId="16" numFmtId="0" xfId="0" applyAlignment="1" applyFont="1">
      <alignment horizontal="center" shrinkToFit="0" vertical="bottom" wrapText="1"/>
    </xf>
    <xf borderId="0" fillId="7" fontId="15" numFmtId="0" xfId="0" applyAlignment="1" applyFont="1">
      <alignment horizontal="center" shrinkToFit="0" vertical="bottom" wrapText="0"/>
    </xf>
    <xf borderId="0" fillId="0" fontId="20" numFmtId="0" xfId="0" applyAlignment="1" applyFont="1">
      <alignment horizontal="right" readingOrder="0"/>
    </xf>
    <xf borderId="12" fillId="0" fontId="13" numFmtId="0" xfId="0" applyAlignment="1" applyBorder="1" applyFont="1">
      <alignment horizontal="center" shrinkToFit="0" vertical="center" wrapText="1"/>
    </xf>
    <xf borderId="14" fillId="5" fontId="21" numFmtId="0" xfId="0" applyAlignment="1" applyBorder="1" applyFont="1">
      <alignment horizontal="center" readingOrder="0" shrinkToFit="0" vertical="bottom" wrapText="1"/>
    </xf>
    <xf borderId="0" fillId="0" fontId="22" numFmtId="0" xfId="0" applyAlignment="1" applyFont="1">
      <alignment horizontal="left" shrinkToFit="0" vertical="bottom" wrapText="0"/>
    </xf>
    <xf borderId="0" fillId="5" fontId="23" numFmtId="0" xfId="0" applyAlignment="1" applyFont="1">
      <alignment horizontal="center" shrinkToFit="0" vertical="bottom" wrapText="1"/>
    </xf>
    <xf borderId="15" fillId="0" fontId="13" numFmtId="0" xfId="0" applyAlignment="1" applyBorder="1" applyFont="1">
      <alignment horizontal="center" shrinkToFit="0" vertical="center" wrapText="1"/>
    </xf>
    <xf borderId="17" fillId="5" fontId="23" numFmtId="0" xfId="0" applyAlignment="1" applyBorder="1" applyFont="1">
      <alignment horizontal="center" readingOrder="0" shrinkToFit="0" vertical="bottom" wrapText="1"/>
    </xf>
    <xf borderId="19" fillId="5" fontId="16" numFmtId="0" xfId="0" applyAlignment="1" applyBorder="1" applyFont="1">
      <alignment horizontal="center" shrinkToFit="0" vertical="bottom" wrapText="1"/>
    </xf>
    <xf borderId="5" fillId="0" fontId="9" numFmtId="0" xfId="0" applyAlignment="1" applyBorder="1" applyFont="1">
      <alignment horizontal="center" shrinkToFit="0" vertical="center" wrapText="1"/>
    </xf>
    <xf borderId="5" fillId="0" fontId="24" numFmtId="0" xfId="0" applyAlignment="1" applyBorder="1" applyFont="1">
      <alignment horizontal="center" shrinkToFit="0" wrapText="1"/>
    </xf>
    <xf borderId="5" fillId="0" fontId="24" numFmtId="2" xfId="0" applyAlignment="1" applyBorder="1" applyFont="1" applyNumberFormat="1">
      <alignment horizontal="center" shrinkToFit="0" wrapText="1"/>
    </xf>
    <xf borderId="0" fillId="0" fontId="15" numFmtId="0" xfId="0" applyAlignment="1" applyFont="1">
      <alignment vertical="bottom"/>
    </xf>
    <xf borderId="5" fillId="0" fontId="24" numFmtId="164" xfId="0" applyAlignment="1" applyBorder="1" applyFont="1" applyNumberFormat="1">
      <alignment horizontal="center" shrinkToFit="0" wrapText="1"/>
    </xf>
    <xf borderId="0" fillId="0" fontId="2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center" readingOrder="0" shrinkToFit="0" vertical="bottom" wrapText="1"/>
    </xf>
    <xf borderId="0" fillId="3" fontId="26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3" fontId="7" numFmtId="0" xfId="0" applyAlignment="1" applyFont="1">
      <alignment vertical="bottom"/>
    </xf>
    <xf borderId="9" fillId="0" fontId="12" numFmtId="0" xfId="0" applyAlignment="1" applyBorder="1" applyFont="1">
      <alignment horizontal="center" shrinkToFit="0" vertical="center" wrapText="1"/>
    </xf>
    <xf borderId="2" fillId="8" fontId="13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left" shrinkToFit="0" vertical="bottom" wrapText="0"/>
    </xf>
    <xf borderId="1" fillId="9" fontId="27" numFmtId="0" xfId="0" applyAlignment="1" applyBorder="1" applyFill="1" applyFont="1">
      <alignment horizontal="center" vertical="bottom"/>
    </xf>
    <xf borderId="3" fillId="0" fontId="12" numFmtId="0" xfId="0" applyAlignment="1" applyBorder="1" applyFont="1">
      <alignment horizontal="center" shrinkToFit="0" vertical="center" wrapText="1"/>
    </xf>
    <xf borderId="21" fillId="8" fontId="13" numFmtId="0" xfId="0" applyAlignment="1" applyBorder="1" applyFont="1">
      <alignment horizontal="center" shrinkToFit="0" vertical="center" wrapText="1"/>
    </xf>
    <xf borderId="1" fillId="10" fontId="27" numFmtId="0" xfId="0" applyAlignment="1" applyBorder="1" applyFill="1" applyFont="1">
      <alignment horizontal="center" vertical="bottom"/>
    </xf>
    <xf borderId="1" fillId="0" fontId="27" numFmtId="0" xfId="0" applyAlignment="1" applyBorder="1" applyFont="1">
      <alignment horizontal="center" vertical="bottom"/>
    </xf>
    <xf borderId="1" fillId="0" fontId="28" numFmtId="0" xfId="0" applyAlignment="1" applyBorder="1" applyFont="1">
      <alignment horizontal="center" vertical="bottom"/>
    </xf>
    <xf borderId="18" fillId="0" fontId="12" numFmtId="0" xfId="0" applyAlignment="1" applyBorder="1" applyFont="1">
      <alignment horizontal="center" shrinkToFit="0" vertical="center" wrapText="1"/>
    </xf>
    <xf borderId="22" fillId="8" fontId="13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center" readingOrder="0" shrinkToFit="0" vertical="bottom" wrapText="1"/>
    </xf>
    <xf borderId="0" fillId="3" fontId="15" numFmtId="0" xfId="0" applyAlignment="1" applyFont="1">
      <alignment vertical="bottom"/>
    </xf>
    <xf borderId="2" fillId="10" fontId="13" numFmtId="0" xfId="0" applyAlignment="1" applyBorder="1" applyFont="1">
      <alignment horizontal="center" shrinkToFit="0" vertical="center" wrapText="1"/>
    </xf>
    <xf borderId="0" fillId="0" fontId="20" numFmtId="0" xfId="0" applyFont="1"/>
    <xf borderId="1" fillId="9" fontId="16" numFmtId="0" xfId="0" applyAlignment="1" applyBorder="1" applyFont="1">
      <alignment horizontal="center" vertical="bottom"/>
    </xf>
    <xf borderId="21" fillId="10" fontId="13" numFmtId="0" xfId="0" applyAlignment="1" applyBorder="1" applyFont="1">
      <alignment horizontal="center" shrinkToFit="0" vertical="center" wrapText="1"/>
    </xf>
    <xf borderId="1" fillId="10" fontId="16" numFmtId="0" xfId="0" applyAlignment="1" applyBorder="1" applyFont="1">
      <alignment horizontal="center" vertical="bottom"/>
    </xf>
    <xf borderId="1" fillId="0" fontId="21" numFmtId="0" xfId="0" applyAlignment="1" applyBorder="1" applyFont="1">
      <alignment horizontal="center" vertical="bottom"/>
    </xf>
    <xf borderId="1" fillId="0" fontId="14" numFmtId="0" xfId="0" applyAlignment="1" applyBorder="1" applyFont="1">
      <alignment horizontal="center" vertical="bottom"/>
    </xf>
    <xf borderId="22" fillId="10" fontId="13" numFmtId="0" xfId="0" applyAlignment="1" applyBorder="1" applyFont="1">
      <alignment horizontal="center" shrinkToFit="0" vertical="center" wrapText="1"/>
    </xf>
    <xf borderId="0" fillId="3" fontId="29" numFmtId="0" xfId="0" applyAlignment="1" applyFont="1">
      <alignment vertical="bottom"/>
    </xf>
    <xf borderId="5" fillId="0" fontId="30" numFmtId="0" xfId="0" applyAlignment="1" applyBorder="1" applyFont="1">
      <alignment horizontal="center" shrinkToFit="0" vertical="center" wrapText="1"/>
    </xf>
    <xf borderId="5" fillId="0" fontId="13" numFmtId="164" xfId="0" applyAlignment="1" applyBorder="1" applyFont="1" applyNumberFormat="1">
      <alignment horizontal="center" shrinkToFit="0" vertical="center" wrapText="1"/>
    </xf>
    <xf borderId="1" fillId="0" fontId="16" numFmtId="0" xfId="0" applyAlignment="1" applyBorder="1" applyFont="1">
      <alignment horizontal="center" vertical="bottom"/>
    </xf>
    <xf borderId="13" fillId="11" fontId="10" numFmtId="0" xfId="0" applyAlignment="1" applyBorder="1" applyFill="1" applyFont="1">
      <alignment horizontal="left" readingOrder="0" shrinkToFit="0" vertical="center" wrapText="0"/>
    </xf>
    <xf borderId="13" fillId="11" fontId="10" numFmtId="0" xfId="0" applyAlignment="1" applyBorder="1" applyFont="1">
      <alignment horizontal="left" shrinkToFit="0" vertical="center" wrapText="0"/>
    </xf>
    <xf borderId="13" fillId="5" fontId="27" numFmtId="0" xfId="0" applyAlignment="1" applyBorder="1" applyFont="1">
      <alignment horizontal="left" shrinkToFit="0" vertical="center" wrapText="0"/>
    </xf>
    <xf borderId="23" fillId="5" fontId="27" numFmtId="0" xfId="0" applyAlignment="1" applyBorder="1" applyFont="1">
      <alignment horizontal="left" shrinkToFit="0" vertical="center" wrapText="0"/>
    </xf>
    <xf borderId="24" fillId="5" fontId="27" numFmtId="0" xfId="0" applyAlignment="1" applyBorder="1" applyFont="1">
      <alignment horizontal="left" shrinkToFit="0" vertical="center" wrapText="0"/>
    </xf>
    <xf borderId="25" fillId="12" fontId="27" numFmtId="0" xfId="0" applyAlignment="1" applyBorder="1" applyFill="1" applyFont="1">
      <alignment horizontal="center" shrinkToFit="0" vertical="bottom" wrapText="1"/>
    </xf>
    <xf borderId="26" fillId="12" fontId="27" numFmtId="0" xfId="0" applyAlignment="1" applyBorder="1" applyFont="1">
      <alignment horizontal="center" shrinkToFit="0" vertical="bottom" wrapText="1"/>
    </xf>
    <xf borderId="27" fillId="12" fontId="27" numFmtId="0" xfId="0" applyAlignment="1" applyBorder="1" applyFont="1">
      <alignment horizontal="center" shrinkToFit="0" textRotation="180" vertical="bottom" wrapText="0"/>
    </xf>
    <xf borderId="25" fillId="12" fontId="27" numFmtId="0" xfId="0" applyAlignment="1" applyBorder="1" applyFont="1">
      <alignment horizontal="center" shrinkToFit="0" textRotation="180" vertical="bottom" wrapText="0"/>
    </xf>
    <xf borderId="26" fillId="12" fontId="27" numFmtId="0" xfId="0" applyAlignment="1" applyBorder="1" applyFont="1">
      <alignment horizontal="center" shrinkToFit="0" textRotation="180" vertical="bottom" wrapText="0"/>
    </xf>
    <xf borderId="25" fillId="0" fontId="31" numFmtId="0" xfId="0" applyAlignment="1" applyBorder="1" applyFont="1">
      <alignment horizontal="center" shrinkToFit="0" vertical="center" wrapText="0"/>
    </xf>
    <xf borderId="26" fillId="0" fontId="31" numFmtId="0" xfId="0" applyAlignment="1" applyBorder="1" applyFont="1">
      <alignment horizontal="center" shrinkToFit="0" vertical="center" wrapText="0"/>
    </xf>
    <xf borderId="28" fillId="0" fontId="31" numFmtId="0" xfId="0" applyAlignment="1" applyBorder="1" applyFont="1">
      <alignment horizontal="center" shrinkToFit="0" vertical="center" wrapText="0"/>
    </xf>
    <xf borderId="0" fillId="0" fontId="31" numFmtId="0" xfId="0" applyAlignment="1" applyFont="1">
      <alignment horizontal="center" shrinkToFit="0" vertical="center" wrapText="0"/>
    </xf>
    <xf borderId="25" fillId="13" fontId="27" numFmtId="0" xfId="0" applyAlignment="1" applyBorder="1" applyFill="1" applyFont="1">
      <alignment horizontal="left" shrinkToFit="0" vertical="center" wrapText="0"/>
    </xf>
    <xf borderId="25" fillId="13" fontId="27" numFmtId="0" xfId="0" applyAlignment="1" applyBorder="1" applyFont="1">
      <alignment horizontal="center" shrinkToFit="0" vertical="center" wrapText="0"/>
    </xf>
    <xf borderId="26" fillId="13" fontId="27" numFmtId="0" xfId="0" applyAlignment="1" applyBorder="1" applyFont="1">
      <alignment horizontal="center" shrinkToFit="0" vertical="center" wrapText="0"/>
    </xf>
    <xf borderId="27" fillId="13" fontId="27" numFmtId="0" xfId="0" applyAlignment="1" applyBorder="1" applyFont="1">
      <alignment horizontal="center" shrinkToFit="0" vertical="center" wrapText="0"/>
    </xf>
    <xf borderId="0" fillId="0" fontId="24" numFmtId="0" xfId="0" applyAlignment="1" applyFont="1">
      <alignment shrinkToFit="0" vertical="bottom" wrapText="0"/>
    </xf>
    <xf borderId="0" fillId="11" fontId="10" numFmtId="0" xfId="0" applyAlignment="1" applyFont="1">
      <alignment horizontal="left" readingOrder="0" shrinkToFit="0" wrapText="0"/>
    </xf>
    <xf borderId="0" fillId="11" fontId="10" numFmtId="0" xfId="0" applyAlignment="1" applyFont="1">
      <alignment horizontal="left" shrinkToFit="0" wrapText="0"/>
    </xf>
    <xf borderId="0" fillId="13" fontId="27" numFmtId="0" xfId="0" applyAlignment="1" applyFont="1">
      <alignment horizontal="left" readingOrder="0" shrinkToFit="0" wrapText="0"/>
    </xf>
    <xf borderId="0" fillId="5" fontId="31" numFmtId="0" xfId="0" applyAlignment="1" applyFont="1">
      <alignment horizontal="center" readingOrder="0" shrinkToFit="0" wrapText="0"/>
    </xf>
    <xf borderId="26" fillId="12" fontId="27" numFmtId="0" xfId="0" applyAlignment="1" applyBorder="1" applyFont="1">
      <alignment horizontal="center" readingOrder="0" vertical="bottom"/>
    </xf>
    <xf borderId="27" fillId="12" fontId="27" numFmtId="0" xfId="0" applyAlignment="1" applyBorder="1" applyFont="1">
      <alignment horizontal="center" readingOrder="0" shrinkToFit="0" textRotation="180" vertical="bottom" wrapText="0"/>
    </xf>
    <xf borderId="25" fillId="12" fontId="27" numFmtId="0" xfId="0" applyAlignment="1" applyBorder="1" applyFont="1">
      <alignment horizontal="center" readingOrder="0" shrinkToFit="0" textRotation="180" vertical="bottom" wrapText="0"/>
    </xf>
    <xf borderId="26" fillId="0" fontId="31" numFmtId="0" xfId="0" applyAlignment="1" applyBorder="1" applyFont="1">
      <alignment horizontal="left" readingOrder="0" shrinkToFit="0" wrapText="0"/>
    </xf>
    <xf borderId="27" fillId="14" fontId="31" numFmtId="0" xfId="0" applyAlignment="1" applyBorder="1" applyFill="1" applyFont="1">
      <alignment horizontal="center" readingOrder="0" shrinkToFit="0" wrapText="0"/>
    </xf>
    <xf borderId="25" fillId="0" fontId="31" numFmtId="0" xfId="0" applyAlignment="1" applyBorder="1" applyFont="1">
      <alignment horizontal="center" readingOrder="0" shrinkToFit="0" wrapText="0"/>
    </xf>
    <xf borderId="25" fillId="14" fontId="31" numFmtId="0" xfId="0" applyAlignment="1" applyBorder="1" applyFont="1">
      <alignment horizontal="center" readingOrder="0" shrinkToFit="0" wrapText="0"/>
    </xf>
    <xf borderId="26" fillId="15" fontId="31" numFmtId="0" xfId="0" applyAlignment="1" applyBorder="1" applyFill="1" applyFont="1">
      <alignment horizontal="left" readingOrder="0" shrinkToFit="0" wrapText="0"/>
    </xf>
    <xf borderId="25" fillId="15" fontId="31" numFmtId="0" xfId="0" applyAlignment="1" applyBorder="1" applyFont="1">
      <alignment horizontal="center" readingOrder="0" shrinkToFit="0" wrapText="0"/>
    </xf>
    <xf borderId="27" fillId="0" fontId="31" numFmtId="0" xfId="0" applyAlignment="1" applyBorder="1" applyFont="1">
      <alignment horizontal="center" readingOrder="0" shrinkToFit="0" wrapText="0"/>
    </xf>
    <xf borderId="27" fillId="15" fontId="31" numFmtId="0" xfId="0" applyAlignment="1" applyBorder="1" applyFont="1">
      <alignment horizontal="center" readingOrder="0" shrinkToFit="0" wrapText="0"/>
    </xf>
    <xf borderId="13" fillId="13" fontId="27" numFmtId="0" xfId="0" applyAlignment="1" applyBorder="1" applyFont="1">
      <alignment horizontal="left" shrinkToFit="0" vertical="center" wrapText="0"/>
    </xf>
    <xf borderId="13" fillId="5" fontId="31" numFmtId="0" xfId="0" applyAlignment="1" applyBorder="1" applyFont="1">
      <alignment horizontal="center" shrinkToFit="0" vertical="center" wrapText="0"/>
    </xf>
    <xf borderId="25" fillId="12" fontId="27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vertical="bottom"/>
    </xf>
    <xf borderId="27" fillId="0" fontId="31" numFmtId="0" xfId="0" applyAlignment="1" applyBorder="1" applyFont="1">
      <alignment horizontal="center" shrinkToFit="0" vertical="center" wrapText="0"/>
    </xf>
    <xf borderId="0" fillId="0" fontId="32" numFmtId="0" xfId="0" applyAlignment="1" applyFont="1">
      <alignment shrinkToFit="0" vertical="bottom" wrapText="0"/>
    </xf>
    <xf borderId="0" fillId="0" fontId="27" numFmtId="0" xfId="0" applyAlignment="1" applyFont="1">
      <alignment readingOrder="0"/>
    </xf>
    <xf borderId="0" fillId="0" fontId="33" numFmtId="0" xfId="0" applyFont="1"/>
    <xf borderId="5" fillId="5" fontId="33" numFmtId="0" xfId="0" applyAlignment="1" applyBorder="1" applyFont="1">
      <alignment horizontal="center" readingOrder="0"/>
    </xf>
    <xf borderId="13" fillId="13" fontId="16" numFmtId="0" xfId="0" applyAlignment="1" applyBorder="1" applyFont="1">
      <alignment horizontal="left" shrinkToFit="0" vertical="center" wrapText="0"/>
    </xf>
    <xf borderId="13" fillId="5" fontId="21" numFmtId="0" xfId="0" applyAlignment="1" applyBorder="1" applyFont="1">
      <alignment horizontal="center" readingOrder="0" shrinkToFit="0" vertical="center" wrapText="0"/>
    </xf>
    <xf borderId="13" fillId="5" fontId="14" numFmtId="0" xfId="0" applyAlignment="1" applyBorder="1" applyFont="1">
      <alignment horizontal="center" shrinkToFit="0" vertical="center" wrapText="0"/>
    </xf>
    <xf borderId="5" fillId="7" fontId="33" numFmtId="0" xfId="0" applyAlignment="1" applyBorder="1" applyFont="1">
      <alignment horizontal="center"/>
    </xf>
    <xf borderId="5" fillId="10" fontId="7" numFmtId="0" xfId="0" applyAlignment="1" applyBorder="1" applyFont="1">
      <alignment horizontal="center"/>
    </xf>
    <xf borderId="5" fillId="10" fontId="7" numFmtId="1" xfId="0" applyAlignment="1" applyBorder="1" applyFont="1" applyNumberFormat="1">
      <alignment horizontal="center"/>
    </xf>
    <xf borderId="5" fillId="10" fontId="7" numFmtId="0" xfId="0" applyAlignment="1" applyBorder="1" applyFont="1">
      <alignment horizontal="left"/>
    </xf>
    <xf borderId="25" fillId="12" fontId="16" numFmtId="0" xfId="0" applyAlignment="1" applyBorder="1" applyFont="1">
      <alignment horizontal="center" shrinkToFit="0" vertical="bottom" wrapText="1"/>
    </xf>
    <xf borderId="26" fillId="12" fontId="16" numFmtId="0" xfId="0" applyAlignment="1" applyBorder="1" applyFont="1">
      <alignment horizontal="center" shrinkToFit="0" vertical="bottom" wrapText="1"/>
    </xf>
    <xf borderId="27" fillId="12" fontId="16" numFmtId="0" xfId="0" applyAlignment="1" applyBorder="1" applyFont="1">
      <alignment horizontal="center" shrinkToFit="0" textRotation="180" vertical="bottom" wrapText="0"/>
    </xf>
    <xf borderId="25" fillId="12" fontId="16" numFmtId="0" xfId="0" applyAlignment="1" applyBorder="1" applyFont="1">
      <alignment horizontal="center" shrinkToFit="0" textRotation="180" vertical="bottom" wrapText="0"/>
    </xf>
    <xf borderId="25" fillId="0" fontId="14" numFmtId="0" xfId="0" applyAlignment="1" applyBorder="1" applyFont="1">
      <alignment horizontal="center" shrinkToFit="0" vertical="center" wrapText="0"/>
    </xf>
    <xf borderId="26" fillId="0" fontId="14" numFmtId="0" xfId="0" applyAlignment="1" applyBorder="1" applyFont="1">
      <alignment horizontal="center" shrinkToFit="0" vertical="center" wrapText="0"/>
    </xf>
    <xf borderId="27" fillId="0" fontId="14" numFmtId="0" xfId="0" applyAlignment="1" applyBorder="1" applyFont="1">
      <alignment horizontal="center" shrinkToFit="0" vertical="center" wrapText="0"/>
    </xf>
    <xf borderId="26" fillId="0" fontId="31" numFmtId="0" xfId="0" applyAlignment="1" applyBorder="1" applyFont="1">
      <alignment horizontal="left" shrinkToFit="0" vertical="center" wrapText="0"/>
    </xf>
    <xf borderId="25" fillId="0" fontId="31" numFmtId="0" xfId="0" applyAlignment="1" applyBorder="1" applyFont="1">
      <alignment horizontal="center" readingOrder="0" shrinkToFit="0" vertical="center" wrapText="0"/>
    </xf>
    <xf borderId="5" fillId="5" fontId="33" numFmtId="0" xfId="0" applyAlignment="1" applyBorder="1" applyFont="1">
      <alignment horizontal="center"/>
    </xf>
    <xf borderId="5" fillId="5" fontId="33" numFmtId="9" xfId="0" applyBorder="1" applyFont="1" applyNumberFormat="1"/>
    <xf borderId="5" fillId="7" fontId="33" numFmtId="0" xfId="0" applyBorder="1" applyFont="1"/>
    <xf borderId="5" fillId="0" fontId="7" numFmtId="0" xfId="0" applyBorder="1" applyFont="1"/>
    <xf borderId="5" fillId="5" fontId="7" numFmtId="0" xfId="0" applyBorder="1" applyFont="1"/>
    <xf borderId="5" fillId="10" fontId="7" numFmtId="165" xfId="0" applyBorder="1" applyFont="1" applyNumberFormat="1"/>
    <xf borderId="0" fillId="0" fontId="34" numFmtId="0" xfId="0" applyFont="1"/>
    <xf borderId="26" fillId="0" fontId="14" numFmtId="0" xfId="0" applyAlignment="1" applyBorder="1" applyFont="1">
      <alignment horizontal="left" shrinkToFit="0" vertical="center" wrapText="0"/>
    </xf>
    <xf borderId="25" fillId="0" fontId="14" numFmtId="0" xfId="0" applyAlignment="1" applyBorder="1" applyFont="1">
      <alignment horizontal="center" readingOrder="0" shrinkToFit="0" vertical="center" wrapText="0"/>
    </xf>
    <xf borderId="27" fillId="0" fontId="14" numFmtId="0" xfId="0" applyAlignment="1" applyBorder="1" applyFont="1">
      <alignment horizontal="center" readingOrder="0" shrinkToFit="0" vertical="center" wrapText="0"/>
    </xf>
    <xf borderId="13" fillId="5" fontId="31" numFmtId="0" xfId="0" applyAlignment="1" applyBorder="1" applyFont="1">
      <alignment horizontal="center" readingOrder="0" shrinkToFit="0" vertical="center" wrapText="0"/>
    </xf>
    <xf borderId="25" fillId="0" fontId="31" numFmtId="0" xfId="0" applyAlignment="1" applyBorder="1" applyFont="1">
      <alignment horizontal="left" shrinkToFit="0" vertical="center" wrapText="0"/>
    </xf>
    <xf borderId="25" fillId="0" fontId="14" numFmtId="0" xfId="0" applyAlignment="1" applyBorder="1" applyFont="1">
      <alignment horizontal="left" shrinkToFit="0" vertical="center" wrapText="0"/>
    </xf>
    <xf borderId="0" fillId="0" fontId="6" numFmtId="0" xfId="0" applyFont="1"/>
    <xf borderId="13" fillId="11" fontId="10" numFmtId="0" xfId="0" applyAlignment="1" applyBorder="1" applyFont="1">
      <alignment horizontal="left" vertical="center"/>
    </xf>
    <xf borderId="13" fillId="13" fontId="27" numFmtId="0" xfId="0" applyAlignment="1" applyBorder="1" applyFont="1">
      <alignment horizontal="left" vertical="center"/>
    </xf>
    <xf borderId="13" fillId="5" fontId="31" numFmtId="0" xfId="0" applyAlignment="1" applyBorder="1" applyFont="1">
      <alignment horizontal="center" vertical="center"/>
    </xf>
    <xf borderId="25" fillId="0" fontId="31" numFmtId="0" xfId="0" applyAlignment="1" applyBorder="1" applyFont="1">
      <alignment horizontal="center" vertical="center"/>
    </xf>
    <xf borderId="25" fillId="5" fontId="31" numFmtId="0" xfId="0" applyAlignment="1" applyBorder="1" applyFont="1">
      <alignment horizontal="center" vertical="center"/>
    </xf>
    <xf borderId="25" fillId="12" fontId="27" numFmtId="0" xfId="0" applyAlignment="1" applyBorder="1" applyFont="1">
      <alignment horizontal="center" textRotation="180" vertical="bottom"/>
    </xf>
    <xf borderId="0" fillId="0" fontId="5" numFmtId="0" xfId="0" applyFont="1"/>
    <xf borderId="0" fillId="0" fontId="32" numFmtId="0" xfId="0" applyFont="1"/>
    <xf borderId="13" fillId="13" fontId="16" numFmtId="0" xfId="0" applyAlignment="1" applyBorder="1" applyFont="1">
      <alignment horizontal="left" vertical="center"/>
    </xf>
    <xf borderId="13" fillId="5" fontId="14" numFmtId="0" xfId="0" applyAlignment="1" applyBorder="1" applyFont="1">
      <alignment horizontal="center" vertical="center"/>
    </xf>
    <xf borderId="13" fillId="5" fontId="21" numFmtId="0" xfId="0" applyAlignment="1" applyBorder="1" applyFont="1">
      <alignment horizontal="center" readingOrder="0" vertical="center"/>
    </xf>
    <xf borderId="25" fillId="0" fontId="14" numFmtId="0" xfId="0" applyAlignment="1" applyBorder="1" applyFont="1">
      <alignment horizontal="center" vertical="center"/>
    </xf>
    <xf borderId="25" fillId="5" fontId="14" numFmtId="0" xfId="0" applyAlignment="1" applyBorder="1" applyFont="1">
      <alignment horizontal="center" vertical="center"/>
    </xf>
    <xf borderId="25" fillId="12" fontId="16" numFmtId="0" xfId="0" applyAlignment="1" applyBorder="1" applyFont="1">
      <alignment horizontal="center" textRotation="180" vertical="bottom"/>
    </xf>
    <xf borderId="25" fillId="0" fontId="21" numFmtId="0" xfId="0" applyAlignment="1" applyBorder="1" applyFont="1">
      <alignment horizontal="center" vertical="center"/>
    </xf>
    <xf borderId="25" fillId="0" fontId="21" numFmtId="0" xfId="0" applyAlignment="1" applyBorder="1" applyFont="1">
      <alignment horizontal="center" readingOrder="0" vertical="center"/>
    </xf>
    <xf borderId="25" fillId="0" fontId="14" numFmtId="0" xfId="0" applyAlignment="1" applyBorder="1" applyFont="1">
      <alignment horizontal="center" vertical="center"/>
    </xf>
    <xf borderId="0" fillId="0" fontId="5" numFmtId="2" xfId="0" applyFont="1" applyNumberFormat="1"/>
    <xf borderId="13" fillId="11" fontId="10" numFmtId="2" xfId="0" applyAlignment="1" applyBorder="1" applyFont="1" applyNumberFormat="1">
      <alignment horizontal="left" shrinkToFit="0" vertical="center" wrapText="0"/>
    </xf>
    <xf borderId="29" fillId="11" fontId="10" numFmtId="0" xfId="0" applyAlignment="1" applyBorder="1" applyFont="1">
      <alignment horizontal="left" shrinkToFit="0" vertical="center" wrapText="0"/>
    </xf>
    <xf borderId="29" fillId="11" fontId="10" numFmtId="2" xfId="0" applyAlignment="1" applyBorder="1" applyFont="1" applyNumberFormat="1">
      <alignment horizontal="left" shrinkToFit="0" vertical="center" wrapText="0"/>
    </xf>
    <xf borderId="0" fillId="16" fontId="27" numFmtId="0" xfId="0" applyAlignment="1" applyFill="1" applyFont="1">
      <alignment horizontal="left" shrinkToFit="0" vertical="center" wrapText="0"/>
    </xf>
    <xf borderId="0" fillId="0" fontId="27" numFmtId="0" xfId="0" applyAlignment="1" applyFont="1">
      <alignment horizontal="left" shrinkToFit="0" vertical="center" wrapText="0"/>
    </xf>
    <xf borderId="0" fillId="0" fontId="27" numFmtId="2" xfId="0" applyAlignment="1" applyFont="1" applyNumberFormat="1">
      <alignment horizontal="left" shrinkToFit="0" vertical="center" wrapText="0"/>
    </xf>
    <xf borderId="30" fillId="12" fontId="27" numFmtId="0" xfId="0" applyAlignment="1" applyBorder="1" applyFont="1">
      <alignment horizontal="center" shrinkToFit="0" vertical="bottom" wrapText="1"/>
    </xf>
    <xf borderId="30" fillId="12" fontId="27" numFmtId="0" xfId="0" applyAlignment="1" applyBorder="1" applyFont="1">
      <alignment horizontal="center" readingOrder="0" shrinkToFit="0" vertical="bottom" wrapText="1"/>
    </xf>
    <xf borderId="30" fillId="12" fontId="27" numFmtId="2" xfId="0" applyAlignment="1" applyBorder="1" applyFont="1" applyNumberFormat="1">
      <alignment horizontal="center" shrinkToFit="0" vertical="bottom" wrapText="1"/>
    </xf>
    <xf borderId="30" fillId="12" fontId="27" numFmtId="0" xfId="0" applyAlignment="1" applyBorder="1" applyFont="1">
      <alignment horizontal="center" readingOrder="0" shrinkToFit="0" textRotation="180" vertical="bottom" wrapText="0"/>
    </xf>
    <xf borderId="30" fillId="12" fontId="27" numFmtId="0" xfId="0" applyAlignment="1" applyBorder="1" applyFont="1">
      <alignment horizontal="center" shrinkToFit="0" textRotation="180" vertical="bottom" wrapText="0"/>
    </xf>
    <xf borderId="25" fillId="0" fontId="31" numFmtId="2" xfId="0" applyAlignment="1" applyBorder="1" applyFont="1" applyNumberFormat="1">
      <alignment horizontal="center" shrinkToFit="0" vertical="center" wrapText="0"/>
    </xf>
    <xf borderId="25" fillId="12" fontId="27" numFmtId="0" xfId="0" applyAlignment="1" applyBorder="1" applyFont="1">
      <alignment horizontal="center" readingOrder="0" shrinkToFit="0" vertical="bottom" wrapText="1"/>
    </xf>
    <xf borderId="25" fillId="12" fontId="27" numFmtId="2" xfId="0" applyAlignment="1" applyBorder="1" applyFont="1" applyNumberFormat="1">
      <alignment horizontal="center" shrinkToFit="0" vertical="bottom" wrapText="1"/>
    </xf>
    <xf borderId="13" fillId="5" fontId="31" numFmtId="0" xfId="0" applyAlignment="1" applyBorder="1" applyFont="1">
      <alignment horizontal="center" shrinkToFit="0" vertical="center" wrapText="1"/>
    </xf>
    <xf borderId="31" fillId="12" fontId="27" numFmtId="0" xfId="0" applyAlignment="1" applyBorder="1" applyFont="1">
      <alignment horizontal="center" shrinkToFit="0" textRotation="180" vertical="bottom" wrapText="0"/>
    </xf>
    <xf borderId="31" fillId="0" fontId="31" numFmtId="0" xfId="0" applyAlignment="1" applyBorder="1" applyFont="1">
      <alignment horizontal="center" shrinkToFit="0" vertical="center" wrapText="0"/>
    </xf>
    <xf borderId="0" fillId="0" fontId="32" numFmtId="0" xfId="0" applyAlignment="1" applyFont="1">
      <alignment vertical="bottom"/>
    </xf>
    <xf borderId="0" fillId="0" fontId="13" numFmtId="0" xfId="0" applyFont="1"/>
    <xf borderId="0" fillId="0" fontId="27" numFmtId="0" xfId="0" applyFont="1"/>
    <xf borderId="13" fillId="5" fontId="21" numFmtId="0" xfId="0" applyAlignment="1" applyBorder="1" applyFont="1">
      <alignment horizontal="center" vertical="center"/>
    </xf>
    <xf borderId="5" fillId="10" fontId="7" numFmtId="3" xfId="0" applyBorder="1" applyFont="1" applyNumberFormat="1"/>
    <xf borderId="13" fillId="5" fontId="14" numFmtId="0" xfId="0" applyAlignment="1" applyBorder="1" applyFont="1">
      <alignment horizontal="center" shrinkToFit="0" vertical="center" wrapText="1"/>
    </xf>
    <xf borderId="0" fillId="0" fontId="35" numFmtId="0" xfId="0" applyFont="1"/>
    <xf borderId="31" fillId="12" fontId="16" numFmtId="0" xfId="0" applyAlignment="1" applyBorder="1" applyFont="1">
      <alignment horizontal="center" textRotation="180" vertical="bottom"/>
    </xf>
    <xf borderId="25" fillId="0" fontId="14" numFmtId="0" xfId="0" applyAlignment="1" applyBorder="1" applyFont="1">
      <alignment horizontal="left" vertical="center"/>
    </xf>
    <xf borderId="26" fillId="0" fontId="14" numFmtId="0" xfId="0" applyAlignment="1" applyBorder="1" applyFont="1">
      <alignment horizontal="center" vertical="center"/>
    </xf>
    <xf borderId="31" fillId="0" fontId="14" numFmtId="0" xfId="0" applyAlignment="1" applyBorder="1" applyFont="1">
      <alignment horizontal="center" vertical="center"/>
    </xf>
    <xf borderId="0" fillId="0" fontId="24" numFmtId="0" xfId="0" applyFont="1"/>
    <xf borderId="5" fillId="10" fontId="36" numFmtId="0" xfId="0" applyBorder="1" applyFont="1"/>
    <xf borderId="0" fillId="0" fontId="34" numFmtId="0" xfId="0" applyAlignment="1" applyFont="1">
      <alignment readingOrder="0"/>
    </xf>
    <xf borderId="31" fillId="12" fontId="16" numFmtId="0" xfId="0" applyAlignment="1" applyBorder="1" applyFont="1">
      <alignment horizontal="center" shrinkToFit="0" textRotation="180" vertical="bottom" wrapText="0"/>
    </xf>
    <xf borderId="31" fillId="0" fontId="14" numFmtId="0" xfId="0" applyAlignment="1" applyBorder="1" applyFont="1">
      <alignment horizontal="center" shrinkToFit="0" vertical="center" wrapText="0"/>
    </xf>
    <xf borderId="13" fillId="5" fontId="14" numFmtId="0" xfId="0" applyAlignment="1" applyBorder="1" applyFont="1">
      <alignment horizontal="center" readingOrder="0" shrinkToFit="0" vertical="center" wrapText="0"/>
    </xf>
    <xf borderId="13" fillId="13" fontId="27" numFmtId="0" xfId="0" applyAlignment="1" applyBorder="1" applyFont="1">
      <alignment horizontal="left" readingOrder="0" shrinkToFit="0" vertical="center" wrapText="0"/>
    </xf>
    <xf borderId="29" fillId="11" fontId="10" numFmtId="0" xfId="0" applyAlignment="1" applyBorder="1" applyFont="1">
      <alignment horizontal="left" readingOrder="0" shrinkToFit="0" vertical="center" wrapText="0"/>
    </xf>
    <xf borderId="0" fillId="12" fontId="27" numFmtId="0" xfId="0" applyAlignment="1" applyFont="1">
      <alignment horizontal="center" readingOrder="0" shrinkToFit="0" vertical="bottom" wrapText="1"/>
    </xf>
    <xf borderId="3" fillId="12" fontId="27" numFmtId="0" xfId="0" applyAlignment="1" applyBorder="1" applyFont="1">
      <alignment horizontal="center" readingOrder="0" shrinkToFit="0" textRotation="180" vertical="bottom" wrapText="0"/>
    </xf>
    <xf borderId="0" fillId="12" fontId="27" numFmtId="0" xfId="0" applyAlignment="1" applyFont="1">
      <alignment horizontal="center" readingOrder="0" shrinkToFit="0" textRotation="180" vertical="bottom" wrapText="0"/>
    </xf>
    <xf borderId="32" fillId="12" fontId="27" numFmtId="0" xfId="0" applyAlignment="1" applyBorder="1" applyFont="1">
      <alignment horizontal="center" readingOrder="0" shrinkToFit="0" textRotation="180" vertical="bottom" wrapText="0"/>
    </xf>
    <xf borderId="0" fillId="0" fontId="31" numFmtId="0" xfId="0" applyAlignment="1" applyFont="1">
      <alignment horizontal="center" readingOrder="0" shrinkToFit="0" vertical="center" wrapText="0"/>
    </xf>
    <xf borderId="3" fillId="0" fontId="31" numFmtId="0" xfId="0" applyAlignment="1" applyBorder="1" applyFont="1">
      <alignment horizontal="center" readingOrder="0" shrinkToFit="0" vertical="center" wrapText="0"/>
    </xf>
    <xf borderId="32" fillId="0" fontId="31" numFmtId="0" xfId="0" applyAlignment="1" applyBorder="1" applyFont="1">
      <alignment horizontal="center" readingOrder="0" shrinkToFit="0" vertical="center" wrapText="0"/>
    </xf>
    <xf borderId="26" fillId="12" fontId="27" numFmtId="0" xfId="0" applyAlignment="1" applyBorder="1" applyFont="1">
      <alignment horizontal="center" readingOrder="0" shrinkToFit="0" vertical="bottom" wrapText="1"/>
    </xf>
    <xf borderId="31" fillId="12" fontId="27" numFmtId="0" xfId="0" applyAlignment="1" applyBorder="1" applyFont="1">
      <alignment horizontal="center" readingOrder="0" shrinkToFit="0" textRotation="180" vertical="bottom" wrapText="0"/>
    </xf>
    <xf borderId="26" fillId="0" fontId="31" numFmtId="0" xfId="0" applyAlignment="1" applyBorder="1" applyFont="1">
      <alignment horizontal="center" readingOrder="0" shrinkToFit="0" vertical="center" wrapText="0"/>
    </xf>
    <xf borderId="31" fillId="0" fontId="31" numFmtId="0" xfId="0" applyAlignment="1" applyBorder="1" applyFont="1">
      <alignment horizontal="center" readingOrder="0" shrinkToFit="0" vertical="center" wrapText="0"/>
    </xf>
    <xf borderId="0" fillId="0" fontId="32" numFmtId="0" xfId="0" applyAlignment="1" applyFont="1">
      <alignment readingOrder="0" shrinkToFit="0" vertical="bottom" wrapText="0"/>
    </xf>
    <xf borderId="13" fillId="13" fontId="16" numFmtId="0" xfId="0" applyAlignment="1" applyBorder="1" applyFont="1">
      <alignment horizontal="left" readingOrder="0" shrinkToFit="0" vertical="center" wrapText="0"/>
    </xf>
    <xf borderId="0" fillId="12" fontId="16" numFmtId="0" xfId="0" applyAlignment="1" applyFont="1">
      <alignment horizontal="center" readingOrder="0" shrinkToFit="0" vertical="bottom" wrapText="1"/>
    </xf>
    <xf borderId="3" fillId="12" fontId="16" numFmtId="0" xfId="0" applyAlignment="1" applyBorder="1" applyFont="1">
      <alignment horizontal="center" readingOrder="0" shrinkToFit="0" textRotation="180" vertical="bottom" wrapText="0"/>
    </xf>
    <xf borderId="0" fillId="12" fontId="16" numFmtId="0" xfId="0" applyAlignment="1" applyFont="1">
      <alignment horizontal="center" readingOrder="0" shrinkToFit="0" textRotation="180" vertical="bottom" wrapText="0"/>
    </xf>
    <xf borderId="32" fillId="12" fontId="16" numFmtId="0" xfId="0" applyAlignment="1" applyBorder="1" applyFont="1">
      <alignment horizontal="center" readingOrder="0" shrinkToFit="0" textRotation="180" vertical="bottom" wrapText="0"/>
    </xf>
    <xf borderId="25" fillId="12" fontId="16" numFmtId="0" xfId="0" applyAlignment="1" applyBorder="1" applyFont="1">
      <alignment horizontal="center" readingOrder="0" shrinkToFit="0" textRotation="180" vertical="bottom" wrapText="0"/>
    </xf>
    <xf borderId="0" fillId="0" fontId="14" numFmtId="0" xfId="0" applyAlignment="1" applyFont="1">
      <alignment horizontal="center" readingOrder="0" shrinkToFit="0" vertical="center" wrapText="0"/>
    </xf>
    <xf borderId="3" fillId="0" fontId="14" numFmtId="0" xfId="0" applyAlignment="1" applyBorder="1" applyFont="1">
      <alignment horizontal="center" readingOrder="0" shrinkToFit="0" vertical="center" wrapText="0"/>
    </xf>
    <xf borderId="32" fillId="0" fontId="14" numFmtId="0" xfId="0" applyAlignment="1" applyBorder="1" applyFont="1">
      <alignment horizontal="center" readingOrder="0" shrinkToFit="0" vertical="center" wrapText="0"/>
    </xf>
    <xf borderId="26" fillId="12" fontId="16" numFmtId="0" xfId="0" applyAlignment="1" applyBorder="1" applyFont="1">
      <alignment horizontal="center" readingOrder="0" shrinkToFit="0" vertical="bottom" wrapText="1"/>
    </xf>
    <xf borderId="31" fillId="12" fontId="16" numFmtId="0" xfId="0" applyAlignment="1" applyBorder="1" applyFont="1">
      <alignment horizontal="center" readingOrder="0" shrinkToFit="0" textRotation="180" vertical="bottom" wrapText="0"/>
    </xf>
    <xf borderId="26" fillId="0" fontId="14" numFmtId="0" xfId="0" applyAlignment="1" applyBorder="1" applyFont="1">
      <alignment horizontal="center" readingOrder="0" shrinkToFit="0" vertical="center" wrapText="0"/>
    </xf>
    <xf borderId="31" fillId="0" fontId="21" numFmtId="0" xfId="0" applyAlignment="1" applyBorder="1" applyFont="1">
      <alignment horizontal="center" readingOrder="0" shrinkToFit="0" vertical="center" wrapText="0"/>
    </xf>
    <xf borderId="31" fillId="0" fontId="14" numFmtId="0" xfId="0" applyAlignment="1" applyBorder="1" applyFont="1">
      <alignment horizontal="center" readingOrder="0" shrinkToFit="0" vertical="center" wrapText="0"/>
    </xf>
    <xf borderId="25" fillId="0" fontId="21" numFmtId="0" xfId="0" applyAlignment="1" applyBorder="1" applyFont="1">
      <alignment horizontal="center" readingOrder="0" shrinkToFit="0" vertical="center" wrapText="0"/>
    </xf>
    <xf borderId="0" fillId="11" fontId="10" numFmtId="0" xfId="0" applyAlignment="1" applyFont="1">
      <alignment horizontal="left" vertical="center"/>
    </xf>
    <xf borderId="0" fillId="13" fontId="27" numFmtId="0" xfId="0" applyAlignment="1" applyFont="1">
      <alignment horizontal="left" vertical="center"/>
    </xf>
    <xf borderId="0" fillId="5" fontId="31" numFmtId="0" xfId="0" applyAlignment="1" applyFont="1">
      <alignment horizontal="left" vertical="center"/>
    </xf>
    <xf borderId="0" fillId="5" fontId="31" numFmtId="0" xfId="0" applyAlignment="1" applyFont="1">
      <alignment horizontal="center" vertical="center"/>
    </xf>
    <xf borderId="26" fillId="12" fontId="27" numFmtId="0" xfId="0" applyAlignment="1" applyBorder="1" applyFont="1">
      <alignment horizontal="center" vertical="bottom"/>
    </xf>
    <xf borderId="31" fillId="12" fontId="27" numFmtId="0" xfId="0" applyAlignment="1" applyBorder="1" applyFont="1">
      <alignment horizontal="center" textRotation="180" vertical="bottom"/>
    </xf>
    <xf borderId="26" fillId="0" fontId="31" numFmtId="0" xfId="0" applyAlignment="1" applyBorder="1" applyFont="1">
      <alignment horizontal="center" vertical="center"/>
    </xf>
    <xf borderId="31" fillId="0" fontId="31" numFmtId="0" xfId="0" applyAlignment="1" applyBorder="1" applyFont="1">
      <alignment horizontal="center" vertical="center"/>
    </xf>
    <xf borderId="0" fillId="0" fontId="6" numFmtId="0" xfId="0" applyAlignment="1" applyFont="1">
      <alignment readingOrder="0"/>
    </xf>
    <xf borderId="0" fillId="11" fontId="10" numFmtId="0" xfId="0" applyAlignment="1" applyFont="1">
      <alignment horizontal="left" readingOrder="0" vertical="center"/>
    </xf>
    <xf borderId="0" fillId="0" fontId="5" numFmtId="0" xfId="0" applyFont="1"/>
    <xf borderId="31" fillId="0" fontId="31" numFmtId="0" xfId="0" applyAlignment="1" applyBorder="1" applyFont="1">
      <alignment horizontal="center" readingOrder="0" vertical="center"/>
    </xf>
    <xf borderId="25" fillId="0" fontId="31" numFmtId="0" xfId="0" applyAlignment="1" applyBorder="1" applyFont="1">
      <alignment horizontal="center" readingOrder="0" vertical="center"/>
    </xf>
    <xf borderId="33" fillId="17" fontId="37" numFmtId="0" xfId="0" applyBorder="1" applyFill="1" applyFont="1"/>
    <xf borderId="34" fillId="18" fontId="38" numFmtId="0" xfId="0" applyAlignment="1" applyBorder="1" applyFill="1" applyFont="1">
      <alignment horizontal="center" shrinkToFit="0" wrapText="1"/>
    </xf>
    <xf borderId="35" fillId="0" fontId="11" numFmtId="0" xfId="0" applyBorder="1" applyFont="1"/>
    <xf borderId="36" fillId="0" fontId="11" numFmtId="0" xfId="0" applyBorder="1" applyFont="1"/>
    <xf borderId="33" fillId="19" fontId="39" numFmtId="0" xfId="0" applyAlignment="1" applyBorder="1" applyFill="1" applyFont="1">
      <alignment horizontal="center" shrinkToFit="0" wrapText="1"/>
    </xf>
    <xf borderId="33" fillId="19" fontId="40" numFmtId="0" xfId="0" applyAlignment="1" applyBorder="1" applyFont="1">
      <alignment horizontal="center" shrinkToFit="0" wrapText="1"/>
    </xf>
    <xf borderId="34" fillId="20" fontId="40" numFmtId="0" xfId="0" applyAlignment="1" applyBorder="1" applyFill="1" applyFont="1">
      <alignment horizontal="center" shrinkToFit="0" wrapText="1"/>
    </xf>
    <xf borderId="33" fillId="21" fontId="40" numFmtId="0" xfId="0" applyAlignment="1" applyBorder="1" applyFill="1" applyFont="1">
      <alignment horizontal="center" shrinkToFit="0" wrapText="1"/>
    </xf>
    <xf borderId="33" fillId="21" fontId="40" numFmtId="0" xfId="0" applyAlignment="1" applyBorder="1" applyFont="1">
      <alignment horizontal="center" shrinkToFit="0" vertical="bottom" wrapText="1"/>
    </xf>
    <xf borderId="33" fillId="17" fontId="18" numFmtId="0" xfId="0" applyAlignment="1" applyBorder="1" applyFont="1">
      <alignment vertical="bottom"/>
    </xf>
    <xf borderId="34" fillId="21" fontId="40" numFmtId="0" xfId="0" applyAlignment="1" applyBorder="1" applyFont="1">
      <alignment horizontal="center" shrinkToFit="0" wrapText="1"/>
    </xf>
    <xf borderId="33" fillId="22" fontId="40" numFmtId="0" xfId="0" applyAlignment="1" applyBorder="1" applyFill="1" applyFont="1">
      <alignment horizontal="center" shrinkToFit="0" wrapText="1"/>
    </xf>
    <xf borderId="34" fillId="23" fontId="40" numFmtId="0" xfId="0" applyAlignment="1" applyBorder="1" applyFill="1" applyFont="1">
      <alignment horizontal="center" shrinkToFit="0" wrapText="1"/>
    </xf>
    <xf borderId="34" fillId="24" fontId="40" numFmtId="0" xfId="0" applyAlignment="1" applyBorder="1" applyFill="1" applyFont="1">
      <alignment horizontal="center" shrinkToFit="0" wrapText="1"/>
    </xf>
    <xf borderId="33" fillId="23" fontId="40" numFmtId="0" xfId="0" applyAlignment="1" applyBorder="1" applyFont="1">
      <alignment horizontal="center" shrinkToFit="0" wrapText="1"/>
    </xf>
    <xf borderId="34" fillId="17" fontId="40" numFmtId="0" xfId="0" applyAlignment="1" applyBorder="1" applyFont="1">
      <alignment horizontal="center" shrinkToFit="0" wrapText="1"/>
    </xf>
    <xf borderId="33" fillId="17" fontId="40" numFmtId="0" xfId="0" applyAlignment="1" applyBorder="1" applyFont="1">
      <alignment horizontal="center" shrinkToFit="0" wrapText="1"/>
    </xf>
    <xf borderId="0" fillId="0" fontId="35" numFmtId="0" xfId="0" applyAlignment="1" applyFont="1">
      <alignment horizontal="right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41" numFmtId="164" xfId="0" applyAlignment="1" applyFont="1" applyNumberFormat="1">
      <alignment horizontal="center" readingOrder="0"/>
    </xf>
    <xf borderId="0" fillId="0" fontId="42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5" numFmtId="0" xfId="0" applyAlignment="1" applyFont="1">
      <alignment horizontal="center" shrinkToFit="0" wrapText="1"/>
    </xf>
    <xf borderId="32" fillId="12" fontId="27" numFmtId="0" xfId="0" applyAlignment="1" applyBorder="1" applyFont="1">
      <alignment horizontal="center" readingOrder="0" shrinkToFit="0" textRotation="0" vertical="bottom" wrapText="1"/>
    </xf>
    <xf borderId="0" fillId="0" fontId="31" numFmtId="0" xfId="0" applyAlignment="1" applyFont="1">
      <alignment horizontal="right" readingOrder="0" shrinkToFit="0" vertical="center" wrapText="0"/>
    </xf>
    <xf borderId="0" fillId="0" fontId="31" numFmtId="9" xfId="0" applyAlignment="1" applyFont="1" applyNumberFormat="1">
      <alignment horizontal="center" readingOrder="0" shrinkToFit="0" vertical="center" wrapText="0"/>
    </xf>
    <xf borderId="0" fillId="13" fontId="27" numFmtId="0" xfId="0" applyAlignment="1" applyFont="1">
      <alignment horizontal="right" readingOrder="0" vertical="center"/>
    </xf>
    <xf borderId="0" fillId="7" fontId="5" numFmtId="0" xfId="0" applyFont="1"/>
    <xf borderId="26" fillId="12" fontId="27" numFmtId="0" xfId="0" applyAlignment="1" applyBorder="1" applyFont="1">
      <alignment horizontal="center" textRotation="180" vertical="bottom"/>
    </xf>
    <xf borderId="0" fillId="0" fontId="5" numFmtId="0" xfId="0" applyAlignment="1" applyFont="1">
      <alignment horizontal="left" readingOrder="0"/>
    </xf>
    <xf borderId="23" fillId="25" fontId="38" numFmtId="0" xfId="0" applyAlignment="1" applyBorder="1" applyFill="1" applyFont="1">
      <alignment shrinkToFit="0" vertical="center" wrapText="0"/>
    </xf>
    <xf borderId="37" fillId="0" fontId="11" numFmtId="0" xfId="0" applyBorder="1" applyFont="1"/>
    <xf borderId="38" fillId="0" fontId="11" numFmtId="0" xfId="0" applyBorder="1" applyFont="1"/>
    <xf borderId="19" fillId="0" fontId="43" numFmtId="0" xfId="0" applyAlignment="1" applyBorder="1" applyFont="1">
      <alignment shrinkToFit="0" vertical="center" wrapText="1"/>
    </xf>
    <xf borderId="19" fillId="0" fontId="43" numFmtId="0" xfId="0" applyAlignment="1" applyBorder="1" applyFont="1">
      <alignment horizontal="center" shrinkToFit="0" vertical="center" wrapText="1"/>
    </xf>
    <xf borderId="19" fillId="0" fontId="43" numFmtId="0" xfId="0" applyAlignment="1" applyBorder="1" applyFont="1">
      <alignment horizontal="center" readingOrder="0" shrinkToFit="0" vertical="center" wrapText="1"/>
    </xf>
    <xf borderId="0" fillId="0" fontId="44" numFmtId="0" xfId="0" applyAlignment="1" applyFont="1">
      <alignment shrinkToFit="0" vertical="center" wrapText="1"/>
    </xf>
    <xf borderId="13" fillId="26" fontId="44" numFmtId="0" xfId="0" applyAlignment="1" applyBorder="1" applyFill="1" applyFont="1">
      <alignment horizontal="center" readingOrder="0" shrinkToFit="0" vertical="center" wrapText="0"/>
    </xf>
    <xf borderId="0" fillId="0" fontId="45" numFmtId="0" xfId="0" applyAlignment="1" applyFont="1">
      <alignment shrinkToFit="0" vertical="center" wrapText="1"/>
    </xf>
    <xf borderId="39" fillId="27" fontId="46" numFmtId="0" xfId="0" applyAlignment="1" applyBorder="1" applyFill="1" applyFont="1">
      <alignment horizontal="left" shrinkToFit="0" vertical="center" wrapText="0"/>
    </xf>
    <xf borderId="0" fillId="0" fontId="45" numFmtId="0" xfId="0" applyAlignment="1" applyFont="1">
      <alignment readingOrder="0" shrinkToFit="0" vertical="center" wrapText="1"/>
    </xf>
    <xf borderId="0" fillId="0" fontId="44" numFmtId="0" xfId="0" applyAlignment="1" applyFont="1">
      <alignment readingOrder="0" shrinkToFit="0" vertical="center" wrapText="1"/>
    </xf>
    <xf borderId="13" fillId="27" fontId="46" numFmtId="0" xfId="0" applyAlignment="1" applyBorder="1" applyFont="1">
      <alignment horizontal="center" readingOrder="0" shrinkToFit="0" vertical="center" wrapText="0"/>
    </xf>
    <xf borderId="13" fillId="27" fontId="46" numFmtId="0" xfId="0" applyAlignment="1" applyBorder="1" applyFont="1">
      <alignment horizontal="left" shrinkToFit="0" vertical="center" wrapText="0"/>
    </xf>
    <xf borderId="40" fillId="25" fontId="38" numFmtId="0" xfId="0" applyAlignment="1" applyBorder="1" applyFont="1">
      <alignment readingOrder="0" shrinkToFit="0" vertical="center" wrapText="0"/>
    </xf>
    <xf borderId="41" fillId="25" fontId="38" numFmtId="0" xfId="0" applyAlignment="1" applyBorder="1" applyFont="1">
      <alignment readingOrder="0" shrinkToFit="0" vertical="center" wrapText="0"/>
    </xf>
    <xf borderId="42" fillId="25" fontId="38" numFmtId="0" xfId="0" applyAlignment="1" applyBorder="1" applyFont="1">
      <alignment readingOrder="0" shrinkToFit="0" vertical="center" wrapText="0"/>
    </xf>
    <xf borderId="19" fillId="0" fontId="43" numFmtId="0" xfId="0" applyAlignment="1" applyBorder="1" applyFont="1">
      <alignment readingOrder="0" shrinkToFit="0" vertical="center" wrapText="1"/>
    </xf>
    <xf borderId="39" fillId="28" fontId="47" numFmtId="0" xfId="0" applyAlignment="1" applyBorder="1" applyFill="1" applyFont="1">
      <alignment horizontal="center" readingOrder="0" shrinkToFit="0" vertical="center" wrapText="0"/>
    </xf>
    <xf borderId="39" fillId="26" fontId="48" numFmtId="2" xfId="0" applyAlignment="1" applyBorder="1" applyFont="1" applyNumberFormat="1">
      <alignment horizontal="center" readingOrder="0"/>
    </xf>
    <xf borderId="13" fillId="27" fontId="49" numFmtId="2" xfId="0" applyAlignment="1" applyBorder="1" applyFont="1" applyNumberFormat="1">
      <alignment horizontal="center"/>
    </xf>
    <xf borderId="13" fillId="27" fontId="46" numFmtId="2" xfId="0" applyAlignment="1" applyBorder="1" applyFont="1" applyNumberFormat="1">
      <alignment horizontal="center" shrinkToFit="0" vertical="center" wrapText="0"/>
    </xf>
    <xf borderId="13" fillId="28" fontId="47" numFmtId="0" xfId="0" applyAlignment="1" applyBorder="1" applyFont="1">
      <alignment horizontal="center" readingOrder="0" shrinkToFit="0" vertical="center" wrapText="0"/>
    </xf>
    <xf borderId="13" fillId="26" fontId="48" numFmtId="2" xfId="0" applyAlignment="1" applyBorder="1" applyFont="1" applyNumberFormat="1">
      <alignment horizontal="center" readingOrder="0"/>
    </xf>
    <xf borderId="0" fillId="0" fontId="48" numFmtId="0" xfId="0" applyAlignment="1" applyFont="1">
      <alignment shrinkToFit="0" wrapText="1"/>
    </xf>
    <xf borderId="13" fillId="28" fontId="50" numFmtId="2" xfId="0" applyAlignment="1" applyBorder="1" applyFont="1" applyNumberFormat="1">
      <alignment horizontal="center" readingOrder="0"/>
    </xf>
    <xf borderId="0" fillId="0" fontId="18" numFmtId="0" xfId="0" applyAlignment="1" applyFont="1">
      <alignment vertical="bottom"/>
    </xf>
    <xf borderId="19" fillId="0" fontId="44" numFmtId="0" xfId="0" applyAlignment="1" applyBorder="1" applyFont="1">
      <alignment readingOrder="0" shrinkToFit="0" vertical="center" wrapText="1"/>
    </xf>
    <xf borderId="16" fillId="28" fontId="47" numFmtId="0" xfId="0" applyAlignment="1" applyBorder="1" applyFont="1">
      <alignment horizontal="center" readingOrder="0" shrinkToFit="0" vertical="center" wrapText="0"/>
    </xf>
    <xf borderId="16" fillId="27" fontId="49" numFmtId="2" xfId="0" applyAlignment="1" applyBorder="1" applyFont="1" applyNumberFormat="1">
      <alignment horizontal="center"/>
    </xf>
    <xf borderId="16" fillId="27" fontId="46" numFmtId="2" xfId="0" applyAlignment="1" applyBorder="1" applyFont="1" applyNumberFormat="1">
      <alignment horizontal="center" shrinkToFit="0" vertical="center" wrapText="0"/>
    </xf>
    <xf borderId="39" fillId="27" fontId="46" numFmtId="2" xfId="0" applyAlignment="1" applyBorder="1" applyFont="1" applyNumberFormat="1">
      <alignment horizontal="center" shrinkToFit="0" vertical="center" wrapText="0"/>
    </xf>
    <xf borderId="13" fillId="26" fontId="44" numFmtId="0" xfId="0" applyAlignment="1" applyBorder="1" applyFont="1">
      <alignment horizontal="center" shrinkToFit="0" vertical="center" wrapText="0"/>
    </xf>
    <xf borderId="0" fillId="0" fontId="51" numFmtId="0" xfId="0" applyAlignment="1" applyFont="1">
      <alignment readingOrder="0"/>
    </xf>
    <xf borderId="13" fillId="26" fontId="44" numFmtId="164" xfId="0" applyAlignment="1" applyBorder="1" applyFont="1" applyNumberFormat="1">
      <alignment horizontal="center" readingOrder="0" shrinkToFit="0" vertical="center" wrapText="0"/>
    </xf>
    <xf borderId="13" fillId="26" fontId="44" numFmtId="164" xfId="0" applyAlignment="1" applyBorder="1" applyFont="1" applyNumberFormat="1">
      <alignment horizontal="center" shrinkToFit="0" vertical="center" wrapText="0"/>
    </xf>
    <xf borderId="13" fillId="27" fontId="46" numFmtId="164" xfId="0" applyAlignment="1" applyBorder="1" applyFont="1" applyNumberFormat="1">
      <alignment horizontal="center" shrinkToFit="0" vertical="center" wrapText="0"/>
    </xf>
    <xf borderId="0" fillId="0" fontId="52" numFmtId="0" xfId="0" applyAlignment="1" applyFont="1">
      <alignment readingOrder="0"/>
    </xf>
    <xf borderId="23" fillId="25" fontId="38" numFmtId="0" xfId="0" applyAlignment="1" applyBorder="1" applyFont="1">
      <alignment readingOrder="0" shrinkToFit="0" vertical="center" wrapText="0"/>
    </xf>
    <xf borderId="0" fillId="0" fontId="44" numFmtId="0" xfId="0" applyAlignment="1" applyFont="1">
      <alignment horizontal="right" shrinkToFit="0" vertical="center" wrapText="1"/>
    </xf>
    <xf borderId="0" fillId="0" fontId="53" numFmtId="0" xfId="0" applyAlignment="1" applyFont="1">
      <alignment readingOrder="0"/>
    </xf>
    <xf borderId="0" fillId="0" fontId="54" numFmtId="0" xfId="0" applyAlignment="1" applyFont="1">
      <alignment readingOrder="0"/>
    </xf>
    <xf borderId="0" fillId="0" fontId="42" numFmtId="0" xfId="0" applyAlignment="1" applyFont="1">
      <alignment horizontal="center" readingOrder="0"/>
    </xf>
    <xf borderId="3" fillId="0" fontId="42" numFmtId="0" xfId="0" applyAlignment="1" applyBorder="1" applyFont="1">
      <alignment horizontal="center" readingOrder="0"/>
    </xf>
    <xf borderId="4" fillId="0" fontId="5" numFmtId="10" xfId="0" applyAlignment="1" applyBorder="1" applyFont="1" applyNumberFormat="1">
      <alignment horizontal="center"/>
    </xf>
    <xf borderId="3" fillId="0" fontId="5" numFmtId="0" xfId="0" applyAlignment="1" applyBorder="1" applyFont="1">
      <alignment horizontal="right"/>
    </xf>
    <xf borderId="4" fillId="0" fontId="5" numFmtId="0" xfId="0" applyBorder="1" applyFont="1"/>
    <xf borderId="4" fillId="0" fontId="42" numFmtId="10" xfId="0" applyAlignment="1" applyBorder="1" applyFont="1" applyNumberFormat="1">
      <alignment horizontal="center"/>
    </xf>
    <xf borderId="4" fillId="0" fontId="42" numFmtId="0" xfId="0" applyAlignment="1" applyBorder="1" applyFont="1">
      <alignment horizontal="center" readingOrder="0"/>
    </xf>
    <xf borderId="13" fillId="26" fontId="44" numFmtId="0" xfId="0" applyAlignment="1" applyBorder="1" applyFont="1">
      <alignment readingOrder="0" shrinkToFit="0" vertical="center" wrapText="0"/>
    </xf>
    <xf borderId="13" fillId="27" fontId="46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right"/>
    </xf>
    <xf borderId="0" fillId="5" fontId="5" numFmtId="0" xfId="0" applyAlignment="1" applyFont="1">
      <alignment horizontal="center" readingOrder="0"/>
    </xf>
    <xf borderId="3" fillId="0" fontId="5" numFmtId="0" xfId="0" applyAlignment="1" applyBorder="1" applyFont="1">
      <alignment horizontal="right" readingOrder="0"/>
    </xf>
    <xf borderId="4" fillId="5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right"/>
    </xf>
    <xf borderId="4" fillId="0" fontId="5" numFmtId="10" xfId="0" applyBorder="1" applyFont="1" applyNumberFormat="1"/>
    <xf borderId="3" fillId="0" fontId="5" numFmtId="0" xfId="0" applyBorder="1" applyFont="1"/>
    <xf borderId="4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37" fillId="25" fontId="38" numFmtId="0" xfId="0" applyAlignment="1" applyBorder="1" applyFont="1">
      <alignment shrinkToFit="0" vertical="center" wrapText="0"/>
    </xf>
    <xf borderId="18" fillId="0" fontId="43" numFmtId="0" xfId="0" applyAlignment="1" applyBorder="1" applyFont="1">
      <alignment horizontal="right" shrinkToFit="0" vertical="center" wrapText="1"/>
    </xf>
    <xf borderId="23" fillId="26" fontId="44" numFmtId="0" xfId="0" applyAlignment="1" applyBorder="1" applyFont="1">
      <alignment horizontal="center" shrinkToFit="0" vertical="center" wrapText="0"/>
    </xf>
    <xf borderId="43" fillId="26" fontId="44" numFmtId="0" xfId="0" applyAlignment="1" applyBorder="1" applyFont="1">
      <alignment horizontal="right" shrinkToFit="0" vertical="center" wrapText="0"/>
    </xf>
    <xf borderId="37" fillId="26" fontId="44" numFmtId="0" xfId="0" applyAlignment="1" applyBorder="1" applyFont="1">
      <alignment horizontal="center" shrinkToFit="0" vertical="center" wrapText="0"/>
    </xf>
    <xf borderId="0" fillId="0" fontId="5" numFmtId="10" xfId="0" applyAlignment="1" applyFont="1" applyNumberFormat="1">
      <alignment horizontal="center"/>
    </xf>
    <xf borderId="19" fillId="0" fontId="42" numFmtId="0" xfId="0" applyAlignment="1" applyBorder="1" applyFont="1">
      <alignment horizontal="center" readingOrder="0"/>
    </xf>
    <xf borderId="0" fillId="0" fontId="5" numFmtId="0" xfId="0" applyAlignment="1" applyFont="1">
      <alignment horizontal="right"/>
    </xf>
    <xf borderId="0" fillId="10" fontId="5" numFmtId="0" xfId="0" applyAlignment="1" applyFont="1">
      <alignment horizontal="center" readingOrder="0"/>
    </xf>
    <xf borderId="0" fillId="5" fontId="5" numFmtId="0" xfId="0" applyAlignment="1" applyFont="1">
      <alignment horizontal="center"/>
    </xf>
    <xf borderId="0" fillId="10" fontId="5" numFmtId="10" xfId="0" applyAlignment="1" applyFont="1" applyNumberFormat="1">
      <alignment horizontal="center"/>
    </xf>
    <xf borderId="0" fillId="0" fontId="42" numFmtId="1" xfId="0" applyAlignment="1" applyFont="1" applyNumberFormat="1">
      <alignment horizontal="center" readingOrder="0"/>
    </xf>
    <xf borderId="18" fillId="0" fontId="42" numFmtId="0" xfId="0" applyAlignment="1" applyBorder="1" applyFont="1">
      <alignment horizontal="center" readingOrder="0"/>
    </xf>
    <xf borderId="20" fillId="0" fontId="42" numFmtId="10" xfId="0" applyAlignment="1" applyBorder="1" applyFont="1" applyNumberFormat="1">
      <alignment horizontal="center"/>
    </xf>
    <xf borderId="20" fillId="0" fontId="5" numFmtId="0" xfId="0" applyAlignment="1" applyBorder="1" applyFont="1">
      <alignment horizontal="center"/>
    </xf>
    <xf borderId="20" fillId="0" fontId="42" numFmtId="0" xfId="0" applyAlignment="1" applyBorder="1" applyFont="1">
      <alignment horizontal="center" readingOrder="0"/>
    </xf>
    <xf borderId="4" fillId="10" fontId="5" numFmtId="0" xfId="0" applyAlignment="1" applyBorder="1" applyFont="1">
      <alignment horizontal="center"/>
    </xf>
    <xf borderId="4" fillId="10" fontId="5" numFmtId="10" xfId="0" applyAlignment="1" applyBorder="1" applyFont="1" applyNumberFormat="1">
      <alignment horizontal="center"/>
    </xf>
    <xf borderId="13" fillId="26" fontId="44" numFmtId="0" xfId="0" applyAlignment="1" applyBorder="1" applyFont="1">
      <alignment shrinkToFit="0" vertical="center" wrapText="0"/>
    </xf>
    <xf borderId="19" fillId="0" fontId="11" numFmtId="0" xfId="0" applyBorder="1" applyFont="1"/>
    <xf borderId="44" fillId="25" fontId="38" numFmtId="0" xfId="0" applyAlignment="1" applyBorder="1" applyFont="1">
      <alignment readingOrder="0" shrinkToFit="0" vertical="center" wrapText="0"/>
    </xf>
    <xf borderId="19" fillId="0" fontId="42" numFmtId="0" xfId="0" applyAlignment="1" applyBorder="1" applyFont="1">
      <alignment readingOrder="0"/>
    </xf>
    <xf borderId="0" fillId="10" fontId="5" numFmtId="0" xfId="0" applyFont="1"/>
    <xf borderId="0" fillId="0" fontId="5" numFmtId="0" xfId="0" applyAlignment="1" applyFont="1">
      <alignment shrinkToFit="0" wrapText="0"/>
    </xf>
    <xf borderId="0" fillId="25" fontId="5" numFmtId="0" xfId="0" applyFont="1"/>
    <xf borderId="19" fillId="0" fontId="18" numFmtId="0" xfId="0" applyAlignment="1" applyBorder="1" applyFont="1">
      <alignment horizontal="center" vertical="bottom"/>
    </xf>
    <xf borderId="18" fillId="0" fontId="18" numFmtId="0" xfId="0" applyAlignment="1" applyBorder="1" applyFont="1">
      <alignment horizontal="center" vertical="bottom"/>
    </xf>
    <xf borderId="15" fillId="0" fontId="18" numFmtId="0" xfId="0" applyAlignment="1" applyBorder="1" applyFont="1">
      <alignment horizontal="center" vertical="bottom"/>
    </xf>
    <xf borderId="13" fillId="27" fontId="46" numFmtId="0" xfId="0" applyAlignment="1" applyBorder="1" applyFont="1">
      <alignment horizontal="center" readingOrder="0" shrinkToFit="0" vertical="center" wrapText="0"/>
    </xf>
    <xf borderId="13" fillId="27" fontId="46" numFmtId="0" xfId="0" applyAlignment="1" applyBorder="1" applyFont="1">
      <alignment horizontal="left" readingOrder="0" shrinkToFit="0" vertical="center" wrapText="0"/>
    </xf>
    <xf borderId="13" fillId="27" fontId="46" numFmtId="0" xfId="0" applyAlignment="1" applyBorder="1" applyFont="1">
      <alignment horizontal="center" readingOrder="0" shrinkToFit="0" vertical="center" wrapText="0"/>
    </xf>
    <xf borderId="0" fillId="0" fontId="18" numFmtId="0" xfId="0" applyAlignment="1" applyFont="1">
      <alignment horizontal="center" vertical="bottom"/>
    </xf>
    <xf borderId="0" fillId="0" fontId="18" numFmtId="10" xfId="0" applyAlignment="1" applyFont="1" applyNumberFormat="1">
      <alignment horizontal="center" vertical="bottom"/>
    </xf>
    <xf borderId="5" fillId="0" fontId="5" numFmtId="0" xfId="0" applyAlignment="1" applyBorder="1" applyFont="1">
      <alignment horizontal="center" readingOrder="0"/>
    </xf>
    <xf borderId="0" fillId="0" fontId="55" numFmtId="0" xfId="0" applyAlignment="1" applyFont="1">
      <alignment readingOrder="0" vertical="bottom"/>
    </xf>
    <xf borderId="0" fillId="0" fontId="18" numFmtId="0" xfId="0" applyAlignment="1" applyFont="1">
      <alignment horizontal="right" vertical="bottom"/>
    </xf>
    <xf borderId="0" fillId="0" fontId="18" numFmtId="166" xfId="0" applyAlignment="1" applyFont="1" applyNumberForma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6" numFmtId="0" xfId="0" applyFont="1"/>
    <xf borderId="13" fillId="29" fontId="10" numFmtId="0" xfId="0" applyBorder="1" applyFill="1" applyFont="1"/>
    <xf borderId="13" fillId="30" fontId="10" numFmtId="0" xfId="0" applyAlignment="1" applyBorder="1" applyFill="1" applyFont="1">
      <alignment horizontal="left"/>
    </xf>
    <xf borderId="13" fillId="30" fontId="10" numFmtId="0" xfId="0" applyAlignment="1" applyBorder="1" applyFont="1">
      <alignment horizontal="center"/>
    </xf>
    <xf borderId="13" fillId="31" fontId="10" numFmtId="0" xfId="0" applyAlignment="1" applyBorder="1" applyFill="1" applyFont="1">
      <alignment horizontal="left" readingOrder="0"/>
    </xf>
    <xf borderId="13" fillId="31" fontId="10" numFmtId="0" xfId="0" applyAlignment="1" applyBorder="1" applyFont="1">
      <alignment horizontal="center"/>
    </xf>
    <xf borderId="13" fillId="32" fontId="10" numFmtId="0" xfId="0" applyAlignment="1" applyBorder="1" applyFill="1" applyFont="1">
      <alignment horizontal="left"/>
    </xf>
    <xf borderId="13" fillId="32" fontId="10" numFmtId="0" xfId="0" applyAlignment="1" applyBorder="1" applyFont="1">
      <alignment horizontal="center"/>
    </xf>
    <xf borderId="13" fillId="33" fontId="10" numFmtId="0" xfId="0" applyAlignment="1" applyBorder="1" applyFill="1" applyFont="1">
      <alignment horizontal="left" readingOrder="0"/>
    </xf>
    <xf borderId="13" fillId="33" fontId="10" numFmtId="0" xfId="0" applyAlignment="1" applyBorder="1" applyFont="1">
      <alignment horizontal="center"/>
    </xf>
    <xf borderId="5" fillId="9" fontId="33" numFmtId="0" xfId="0" applyAlignment="1" applyBorder="1" applyFont="1">
      <alignment horizontal="center"/>
    </xf>
    <xf borderId="5" fillId="34" fontId="33" numFmtId="0" xfId="0" applyAlignment="1" applyBorder="1" applyFill="1" applyFont="1">
      <alignment horizontal="center"/>
    </xf>
    <xf borderId="5" fillId="10" fontId="33" numFmtId="0" xfId="0" applyAlignment="1" applyBorder="1" applyFont="1">
      <alignment horizontal="center"/>
    </xf>
    <xf borderId="5" fillId="35" fontId="33" numFmtId="0" xfId="0" applyAlignment="1" applyBorder="1" applyFill="1" applyFont="1">
      <alignment horizontal="center"/>
    </xf>
    <xf borderId="13" fillId="36" fontId="57" numFmtId="0" xfId="0" applyBorder="1" applyFill="1" applyFont="1"/>
    <xf borderId="0" fillId="0" fontId="31" numFmtId="0" xfId="0" applyAlignment="1" applyFont="1">
      <alignment horizontal="center"/>
    </xf>
    <xf borderId="0" fillId="0" fontId="31" numFmtId="165" xfId="0" applyAlignment="1" applyFont="1" applyNumberFormat="1">
      <alignment horizontal="center" readingOrder="0"/>
    </xf>
    <xf borderId="0" fillId="0" fontId="31" numFmtId="165" xfId="0" applyAlignment="1" applyFont="1" applyNumberFormat="1">
      <alignment horizontal="center"/>
    </xf>
    <xf borderId="0" fillId="0" fontId="31" numFmtId="167" xfId="0" applyAlignment="1" applyFont="1" applyNumberFormat="1">
      <alignment horizontal="center"/>
    </xf>
    <xf borderId="0" fillId="0" fontId="31" numFmtId="168" xfId="0" applyAlignment="1" applyFont="1" applyNumberFormat="1">
      <alignment horizontal="center" readingOrder="0"/>
    </xf>
    <xf borderId="0" fillId="0" fontId="31" numFmtId="168" xfId="0" applyAlignment="1" applyFont="1" applyNumberFormat="1">
      <alignment horizontal="center"/>
    </xf>
    <xf borderId="13" fillId="37" fontId="27" numFmtId="0" xfId="0" applyAlignment="1" applyBorder="1" applyFill="1" applyFont="1">
      <alignment horizontal="center"/>
    </xf>
    <xf borderId="13" fillId="37" fontId="31" numFmtId="165" xfId="0" applyAlignment="1" applyBorder="1" applyFont="1" applyNumberFormat="1">
      <alignment horizontal="center" readingOrder="0"/>
    </xf>
    <xf borderId="13" fillId="37" fontId="31" numFmtId="165" xfId="0" applyAlignment="1" applyBorder="1" applyFont="1" applyNumberFormat="1">
      <alignment horizontal="center"/>
    </xf>
    <xf borderId="13" fillId="37" fontId="31" numFmtId="167" xfId="0" applyAlignment="1" applyBorder="1" applyFont="1" applyNumberFormat="1">
      <alignment horizontal="center"/>
    </xf>
    <xf borderId="13" fillId="37" fontId="31" numFmtId="168" xfId="0" applyAlignment="1" applyBorder="1" applyFont="1" applyNumberFormat="1">
      <alignment horizontal="center" readingOrder="0"/>
    </xf>
    <xf borderId="13" fillId="37" fontId="31" numFmtId="168" xfId="0" applyAlignment="1" applyBorder="1" applyFont="1" applyNumberFormat="1">
      <alignment horizontal="center"/>
    </xf>
    <xf borderId="0" fillId="0" fontId="58" numFmtId="0" xfId="0" applyFont="1"/>
    <xf borderId="0" fillId="0" fontId="17" numFmtId="0" xfId="0" applyFont="1"/>
    <xf borderId="0" fillId="0" fontId="59" numFmtId="0" xfId="0" applyFont="1"/>
    <xf borderId="13" fillId="38" fontId="17" numFmtId="0" xfId="0" applyAlignment="1" applyBorder="1" applyFill="1" applyFont="1">
      <alignment horizontal="center"/>
    </xf>
    <xf borderId="13" fillId="31" fontId="10" numFmtId="0" xfId="0" applyBorder="1" applyFont="1"/>
    <xf borderId="13" fillId="32" fontId="10" numFmtId="0" xfId="0" applyBorder="1" applyFont="1"/>
    <xf borderId="5" fillId="34" fontId="33" numFmtId="0" xfId="0" applyAlignment="1" applyBorder="1" applyFont="1">
      <alignment horizontal="center" textRotation="0"/>
    </xf>
    <xf borderId="5" fillId="34" fontId="33" numFmtId="0" xfId="0" applyAlignment="1" applyBorder="1" applyFont="1">
      <alignment horizontal="center" textRotation="180"/>
    </xf>
    <xf borderId="5" fillId="10" fontId="33" numFmtId="0" xfId="0" applyAlignment="1" applyBorder="1" applyFont="1">
      <alignment horizontal="center" textRotation="180"/>
    </xf>
    <xf borderId="5" fillId="0" fontId="33" numFmtId="0" xfId="0" applyBorder="1" applyFont="1"/>
    <xf borderId="5" fillId="37" fontId="7" numFmtId="169" xfId="0" applyAlignment="1" applyBorder="1" applyFont="1" applyNumberFormat="1">
      <alignment horizontal="center" vertical="bottom"/>
    </xf>
    <xf borderId="5" fillId="37" fontId="18" numFmtId="169" xfId="0" applyAlignment="1" applyBorder="1" applyFont="1" applyNumberFormat="1">
      <alignment horizontal="right" vertical="bottom"/>
    </xf>
    <xf borderId="0" fillId="0" fontId="18" numFmtId="0" xfId="0" applyAlignment="1" applyFont="1">
      <alignment vertical="bottom"/>
    </xf>
    <xf borderId="5" fillId="0" fontId="7" numFmtId="170" xfId="0" applyAlignment="1" applyBorder="1" applyFont="1" applyNumberFormat="1">
      <alignment horizontal="center" vertical="bottom"/>
    </xf>
    <xf borderId="5" fillId="0" fontId="7" numFmtId="170" xfId="0" applyBorder="1" applyFont="1" applyNumberFormat="1"/>
    <xf borderId="5" fillId="39" fontId="33" numFmtId="0" xfId="0" applyBorder="1" applyFill="1" applyFont="1"/>
    <xf borderId="5" fillId="10" fontId="18" numFmtId="169" xfId="0" applyAlignment="1" applyBorder="1" applyFont="1" applyNumberFormat="1">
      <alignment horizontal="right" vertical="bottom"/>
    </xf>
    <xf borderId="5" fillId="39" fontId="60" numFmtId="170" xfId="0" applyAlignment="1" applyBorder="1" applyFont="1" applyNumberFormat="1">
      <alignment horizontal="right" vertical="bottom"/>
    </xf>
    <xf borderId="5" fillId="0" fontId="18" numFmtId="170" xfId="0" applyAlignment="1" applyBorder="1" applyFont="1" applyNumberFormat="1">
      <alignment horizontal="right" vertical="bottom"/>
    </xf>
    <xf borderId="5" fillId="5" fontId="33" numFmtId="0" xfId="0" applyBorder="1" applyFont="1"/>
    <xf borderId="5" fillId="40" fontId="61" numFmtId="170" xfId="0" applyAlignment="1" applyBorder="1" applyFill="1" applyFont="1" applyNumberFormat="1">
      <alignment horizontal="right" vertical="bottom"/>
    </xf>
    <xf borderId="13" fillId="31" fontId="10" numFmtId="0" xfId="0" applyAlignment="1" applyBorder="1" applyFont="1">
      <alignment vertical="bottom"/>
    </xf>
    <xf borderId="13" fillId="31" fontId="18" numFmtId="0" xfId="0" applyAlignment="1" applyBorder="1" applyFont="1">
      <alignment vertical="bottom"/>
    </xf>
    <xf borderId="13" fillId="32" fontId="10" numFmtId="0" xfId="0" applyAlignment="1" applyBorder="1" applyFont="1">
      <alignment vertical="bottom"/>
    </xf>
    <xf borderId="5" fillId="34" fontId="33" numFmtId="0" xfId="0" applyAlignment="1" applyBorder="1" applyFont="1">
      <alignment horizontal="center" textRotation="180" vertical="bottom"/>
    </xf>
    <xf borderId="5" fillId="10" fontId="33" numFmtId="0" xfId="0" applyAlignment="1" applyBorder="1" applyFont="1">
      <alignment horizontal="center" textRotation="180" vertical="bottom"/>
    </xf>
    <xf borderId="5" fillId="37" fontId="7" numFmtId="169" xfId="0" applyBorder="1" applyFont="1" applyNumberFormat="1"/>
    <xf borderId="5" fillId="10" fontId="7" numFmtId="169" xfId="0" applyBorder="1" applyFont="1" applyNumberFormat="1"/>
    <xf borderId="0" fillId="0" fontId="62" numFmtId="0" xfId="0" applyFont="1"/>
    <xf borderId="5" fillId="5" fontId="17" numFmtId="0" xfId="0" applyAlignment="1" applyBorder="1" applyFont="1">
      <alignment horizontal="center"/>
    </xf>
    <xf borderId="5" fillId="5" fontId="17" numFmtId="0" xfId="0" applyAlignment="1" applyBorder="1" applyFont="1">
      <alignment horizontal="center" readingOrder="0"/>
    </xf>
    <xf borderId="13" fillId="30" fontId="10" numFmtId="0" xfId="0" applyBorder="1" applyFont="1"/>
    <xf borderId="5" fillId="9" fontId="33" numFmtId="0" xfId="0" applyAlignment="1" applyBorder="1" applyFont="1">
      <alignment horizontal="center" textRotation="180"/>
    </xf>
    <xf borderId="0" fillId="0" fontId="12" numFmtId="0" xfId="0" applyAlignment="1" applyFont="1">
      <alignment horizontal="center"/>
    </xf>
    <xf borderId="0" fillId="0" fontId="18" numFmtId="4" xfId="0" applyAlignment="1" applyFont="1" applyNumberFormat="1">
      <alignment horizontal="center" vertical="bottom"/>
    </xf>
    <xf borderId="0" fillId="0" fontId="18" numFmtId="170" xfId="0" applyAlignment="1" applyFont="1" applyNumberFormat="1">
      <alignment horizontal="right" vertical="bottom"/>
    </xf>
    <xf borderId="0" fillId="15" fontId="18" numFmtId="4" xfId="0" applyAlignment="1" applyFont="1" applyNumberFormat="1">
      <alignment horizontal="center" vertical="bottom"/>
    </xf>
    <xf borderId="0" fillId="15" fontId="18" numFmtId="170" xfId="0" applyAlignment="1" applyFont="1" applyNumberFormat="1">
      <alignment horizontal="right" vertical="bottom"/>
    </xf>
    <xf borderId="5" fillId="7" fontId="7" numFmtId="0" xfId="0" applyBorder="1" applyFont="1"/>
    <xf borderId="5" fillId="9" fontId="63" numFmtId="4" xfId="0" applyAlignment="1" applyBorder="1" applyFont="1" applyNumberFormat="1">
      <alignment horizontal="center" vertical="bottom"/>
    </xf>
    <xf borderId="5" fillId="34" fontId="63" numFmtId="4" xfId="0" applyAlignment="1" applyBorder="1" applyFont="1" applyNumberFormat="1">
      <alignment horizontal="center" vertical="bottom"/>
    </xf>
    <xf borderId="5" fillId="10" fontId="63" numFmtId="170" xfId="0" applyAlignment="1" applyBorder="1" applyFont="1" applyNumberFormat="1">
      <alignment horizontal="center" vertical="bottom"/>
    </xf>
    <xf borderId="13" fillId="31" fontId="64" numFmtId="0" xfId="0" applyBorder="1" applyFont="1"/>
    <xf borderId="13" fillId="34" fontId="33" numFmtId="0" xfId="0" applyBorder="1" applyFont="1"/>
    <xf borderId="13" fillId="5" fontId="36" numFmtId="0" xfId="0" applyAlignment="1" applyBorder="1" applyFont="1">
      <alignment horizontal="center"/>
    </xf>
    <xf borderId="0" fillId="0" fontId="65" numFmtId="0" xfId="0" applyFont="1"/>
    <xf borderId="13" fillId="5" fontId="36" numFmtId="0" xfId="0" applyAlignment="1" applyBorder="1" applyFont="1">
      <alignment horizontal="center" readingOrder="0"/>
    </xf>
    <xf borderId="13" fillId="6" fontId="36" numFmtId="0" xfId="0" applyAlignment="1" applyBorder="1" applyFont="1">
      <alignment horizontal="center"/>
    </xf>
    <xf borderId="13" fillId="10" fontId="36" numFmtId="0" xfId="0" applyBorder="1" applyFont="1"/>
    <xf borderId="13" fillId="11" fontId="64" numFmtId="0" xfId="0" applyBorder="1" applyFont="1"/>
    <xf borderId="13" fillId="10" fontId="31" numFmtId="0" xfId="0" applyBorder="1" applyFont="1"/>
    <xf borderId="13" fillId="10" fontId="66" numFmtId="0" xfId="0" applyBorder="1" applyFont="1"/>
    <xf borderId="0" fillId="0" fontId="67" numFmtId="0" xfId="0" applyAlignment="1" applyFont="1">
      <alignment readingOrder="0" shrinkToFit="0" vertical="bottom" wrapText="1"/>
    </xf>
    <xf borderId="0" fillId="0" fontId="42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5" numFmtId="171" xfId="0" applyAlignment="1" applyFont="1" applyNumberFormat="1">
      <alignment readingOrder="0"/>
    </xf>
    <xf borderId="0" fillId="0" fontId="5" numFmtId="171" xfId="0" applyFont="1" applyNumberFormat="1"/>
    <xf borderId="0" fillId="0" fontId="42" numFmtId="0" xfId="0" applyAlignment="1" applyFont="1">
      <alignment horizontal="center" readingOrder="0" shrinkToFit="0" wrapText="1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2B628B"/>
          <bgColor rgb="FF2B628B"/>
        </patternFill>
      </fill>
      <border/>
    </dxf>
    <dxf>
      <font/>
      <fill>
        <patternFill patternType="solid">
          <fgColor rgb="FFE6E7ED"/>
          <bgColor rgb="FFE6E7E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i/>
        <color rgb="FFB7B7B7"/>
      </font>
      <fill>
        <patternFill patternType="none"/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</dxfs>
  <tableStyles count="1">
    <tableStyle count="3" pivot="0" name="conten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11" Type="http://schemas.openxmlformats.org/officeDocument/2006/relationships/image" Target="../media/image11.png"/><Relationship Id="rId10" Type="http://schemas.openxmlformats.org/officeDocument/2006/relationships/image" Target="../media/image9.png"/><Relationship Id="rId9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3.png"/><Relationship Id="rId7" Type="http://schemas.openxmlformats.org/officeDocument/2006/relationships/image" Target="../media/image5.png"/><Relationship Id="rId8" Type="http://schemas.openxmlformats.org/officeDocument/2006/relationships/image" Target="../media/image10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11" Type="http://schemas.openxmlformats.org/officeDocument/2006/relationships/image" Target="../media/image11.png"/><Relationship Id="rId10" Type="http://schemas.openxmlformats.org/officeDocument/2006/relationships/image" Target="../media/image9.png"/><Relationship Id="rId9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3.png"/><Relationship Id="rId7" Type="http://schemas.openxmlformats.org/officeDocument/2006/relationships/image" Target="../media/image5.png"/><Relationship Id="rId8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11" Type="http://schemas.openxmlformats.org/officeDocument/2006/relationships/image" Target="../media/image11.png"/><Relationship Id="rId10" Type="http://schemas.openxmlformats.org/officeDocument/2006/relationships/image" Target="../media/image9.png"/><Relationship Id="rId9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3.png"/><Relationship Id="rId7" Type="http://schemas.openxmlformats.org/officeDocument/2006/relationships/image" Target="../media/image5.png"/><Relationship Id="rId8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11" Type="http://schemas.openxmlformats.org/officeDocument/2006/relationships/image" Target="../media/image11.png"/><Relationship Id="rId10" Type="http://schemas.openxmlformats.org/officeDocument/2006/relationships/image" Target="../media/image9.png"/><Relationship Id="rId9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3.png"/><Relationship Id="rId7" Type="http://schemas.openxmlformats.org/officeDocument/2006/relationships/image" Target="../media/image5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0</xdr:colOff>
      <xdr:row>4</xdr:row>
      <xdr:rowOff>0</xdr:rowOff>
    </xdr:from>
    <xdr:ext cx="247650" cy="1905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6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7</xdr:row>
      <xdr:rowOff>0</xdr:rowOff>
    </xdr:from>
    <xdr:ext cx="171450" cy="1905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8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9</xdr:row>
      <xdr:rowOff>0</xdr:rowOff>
    </xdr:from>
    <xdr:ext cx="190500" cy="19050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10</xdr:row>
      <xdr:rowOff>0</xdr:rowOff>
    </xdr:from>
    <xdr:ext cx="190500" cy="190500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11</xdr:row>
      <xdr:rowOff>0</xdr:rowOff>
    </xdr:from>
    <xdr:ext cx="190500" cy="1905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12</xdr:row>
      <xdr:rowOff>0</xdr:rowOff>
    </xdr:from>
    <xdr:ext cx="200025" cy="19050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13</xdr:row>
      <xdr:rowOff>0</xdr:rowOff>
    </xdr:from>
    <xdr:ext cx="180975" cy="1905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14</xdr:row>
      <xdr:rowOff>0</xdr:rowOff>
    </xdr:from>
    <xdr:ext cx="180975" cy="1905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15</xdr:row>
      <xdr:rowOff>0</xdr:rowOff>
    </xdr:from>
    <xdr:ext cx="180975" cy="1905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0</xdr:colOff>
      <xdr:row>4</xdr:row>
      <xdr:rowOff>0</xdr:rowOff>
    </xdr:from>
    <xdr:ext cx="247650" cy="1905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6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7</xdr:row>
      <xdr:rowOff>0</xdr:rowOff>
    </xdr:from>
    <xdr:ext cx="171450" cy="1905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8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9</xdr:row>
      <xdr:rowOff>0</xdr:rowOff>
    </xdr:from>
    <xdr:ext cx="190500" cy="19050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10</xdr:row>
      <xdr:rowOff>0</xdr:rowOff>
    </xdr:from>
    <xdr:ext cx="190500" cy="190500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11</xdr:row>
      <xdr:rowOff>0</xdr:rowOff>
    </xdr:from>
    <xdr:ext cx="190500" cy="1905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12</xdr:row>
      <xdr:rowOff>0</xdr:rowOff>
    </xdr:from>
    <xdr:ext cx="200025" cy="19050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13</xdr:row>
      <xdr:rowOff>0</xdr:rowOff>
    </xdr:from>
    <xdr:ext cx="180975" cy="1905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14</xdr:row>
      <xdr:rowOff>0</xdr:rowOff>
    </xdr:from>
    <xdr:ext cx="180975" cy="1905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15</xdr:row>
      <xdr:rowOff>0</xdr:rowOff>
    </xdr:from>
    <xdr:ext cx="180975" cy="1905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1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1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2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1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1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1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2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1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3" displayName="Table_1" name="Table_1" id="1">
  <tableColumns count="3">
    <tableColumn name="Name" id="1"/>
    <tableColumn name="Link to old" id="2"/>
    <tableColumn name="Link to new" id="3"/>
  </tableColumns>
  <tableStyleInfo name="cont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s://royalkingdom.com/en/collection)" TargetMode="External"/><Relationship Id="rId2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2.v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5.xml"/><Relationship Id="rId3" Type="http://schemas.openxmlformats.org/officeDocument/2006/relationships/vmlDrawing" Target="../drawings/vmlDrawing3.v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6.xml"/><Relationship Id="rId3" Type="http://schemas.openxmlformats.org/officeDocument/2006/relationships/vmlDrawing" Target="../drawings/vmlDrawing4.v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7.xml"/><Relationship Id="rId3" Type="http://schemas.openxmlformats.org/officeDocument/2006/relationships/vmlDrawing" Target="../drawings/vmlDrawing5.v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8.xml"/><Relationship Id="rId3" Type="http://schemas.openxmlformats.org/officeDocument/2006/relationships/vmlDrawing" Target="../drawings/vmlDrawing6.v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49.xml"/><Relationship Id="rId3" Type="http://schemas.openxmlformats.org/officeDocument/2006/relationships/vmlDrawing" Target="../drawings/vmlDrawing7.v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1.xml"/><Relationship Id="rId3" Type="http://schemas.openxmlformats.org/officeDocument/2006/relationships/vmlDrawing" Target="../drawings/vmlDrawing8.v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2.xml"/><Relationship Id="rId3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6.88"/>
    <col customWidth="1" min="2" max="3" width="15.13"/>
  </cols>
  <sheetData>
    <row r="1">
      <c r="A1" s="1" t="s">
        <v>0</v>
      </c>
      <c r="B1" s="1" t="s">
        <v>1</v>
      </c>
      <c r="C1" s="1" t="s">
        <v>2</v>
      </c>
    </row>
    <row r="2">
      <c r="A2" s="2" t="str">
        <f>RR_v2!A1</f>
        <v>River Rush</v>
      </c>
      <c r="B2" s="3" t="s">
        <v>3</v>
      </c>
      <c r="C2" s="3" t="s">
        <v>4</v>
      </c>
    </row>
    <row r="3">
      <c r="A3" s="2" t="str">
        <f>NS_v2!A1</f>
        <v>Night Sky (5 Segment)</v>
      </c>
      <c r="B3" s="3" t="s">
        <v>5</v>
      </c>
      <c r="C3" s="3" t="s">
        <v>6</v>
      </c>
    </row>
    <row r="4">
      <c r="A4" s="2" t="str">
        <f>J_v2!A1</f>
        <v>Jigsaw Puzzle</v>
      </c>
      <c r="B4" s="3" t="s">
        <v>7</v>
      </c>
      <c r="C4" s="3" t="s">
        <v>8</v>
      </c>
    </row>
    <row r="5">
      <c r="A5" s="2" t="str">
        <f>TaD_v2!A1</f>
        <v>Target Day</v>
      </c>
      <c r="B5" s="3" t="s">
        <v>9</v>
      </c>
      <c r="C5" s="3" t="s">
        <v>10</v>
      </c>
    </row>
    <row r="6">
      <c r="A6" s="2" t="str">
        <f>c_day_v2!A1</f>
        <v>Daily Rewards - NEW Config</v>
      </c>
      <c r="B6" s="3" t="s">
        <v>11</v>
      </c>
      <c r="C6" s="3" t="s">
        <v>12</v>
      </c>
    </row>
    <row r="7">
      <c r="A7" s="2" t="str">
        <f>c_saga_v2!A1</f>
        <v>Saga Progression - NEW Config (5-segment scheme)</v>
      </c>
      <c r="B7" s="4" t="s">
        <v>13</v>
      </c>
      <c r="C7" s="3" t="s">
        <v>14</v>
      </c>
    </row>
    <row r="8">
      <c r="A8" s="2" t="str">
        <f>F_v2!A1</f>
        <v>Flock Flurry</v>
      </c>
      <c r="B8" s="3" t="s">
        <v>15</v>
      </c>
      <c r="C8" s="3" t="s">
        <v>16</v>
      </c>
    </row>
    <row r="9">
      <c r="A9" s="2" t="str">
        <f>Ki_v2!A1</f>
        <v>Kite Festival</v>
      </c>
      <c r="B9" s="3" t="s">
        <v>17</v>
      </c>
      <c r="C9" s="3" t="s">
        <v>18</v>
      </c>
    </row>
    <row r="10">
      <c r="A10" s="2" t="str">
        <f>BB_v2!A1</f>
        <v>Bomb's Ballet</v>
      </c>
      <c r="B10" s="3" t="s">
        <v>19</v>
      </c>
      <c r="C10" s="3" t="s">
        <v>20</v>
      </c>
    </row>
    <row r="11">
      <c r="A11" s="2" t="str">
        <f>Ph_v2!A1</f>
        <v>Photoshoot</v>
      </c>
      <c r="B11" s="3" t="s">
        <v>21</v>
      </c>
      <c r="C11" s="4" t="s">
        <v>22</v>
      </c>
    </row>
    <row r="12">
      <c r="A12" s="2" t="str">
        <f>Race_v2!A1</f>
        <v>All LB Challenges</v>
      </c>
      <c r="B12" s="3" t="s">
        <v>23</v>
      </c>
      <c r="C12" s="3" t="s">
        <v>24</v>
      </c>
    </row>
    <row r="13">
      <c r="A13" s="2" t="str">
        <f>HH_v2!A1</f>
        <v>Hatchling Hideaway</v>
      </c>
      <c r="B13" s="3" t="s">
        <v>25</v>
      </c>
      <c r="C13" s="3" t="s">
        <v>26</v>
      </c>
    </row>
  </sheetData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</hyperlink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 t="s">
        <v>27</v>
      </c>
      <c r="B1" s="5" t="s">
        <v>28</v>
      </c>
      <c r="C1" s="5" t="s">
        <v>29</v>
      </c>
      <c r="D1" s="5" t="s">
        <v>30</v>
      </c>
    </row>
    <row r="2">
      <c r="A2" s="5" t="s">
        <v>31</v>
      </c>
      <c r="B2" s="5" t="s">
        <v>32</v>
      </c>
      <c r="C2" s="6">
        <v>10.0</v>
      </c>
      <c r="D2" s="6">
        <v>7.0</v>
      </c>
    </row>
    <row r="3">
      <c r="A3" s="5" t="s">
        <v>31</v>
      </c>
      <c r="B3" s="5" t="s">
        <v>32</v>
      </c>
      <c r="C3" s="6">
        <v>24.0</v>
      </c>
      <c r="D3" s="6">
        <v>7.0</v>
      </c>
    </row>
    <row r="4">
      <c r="A4" s="5" t="s">
        <v>31</v>
      </c>
      <c r="B4" s="5" t="s">
        <v>32</v>
      </c>
      <c r="C4" s="6">
        <v>1.0</v>
      </c>
      <c r="D4" s="6">
        <v>2.0</v>
      </c>
    </row>
    <row r="5">
      <c r="A5" s="5" t="s">
        <v>31</v>
      </c>
      <c r="B5" s="5" t="s">
        <v>33</v>
      </c>
      <c r="C5" s="6">
        <v>6.0</v>
      </c>
      <c r="D5" s="6">
        <v>7.0</v>
      </c>
    </row>
    <row r="6">
      <c r="A6" s="5" t="s">
        <v>31</v>
      </c>
      <c r="B6" s="5" t="s">
        <v>33</v>
      </c>
      <c r="C6" s="6">
        <v>13.0</v>
      </c>
      <c r="D6" s="6">
        <v>7.0</v>
      </c>
    </row>
    <row r="7">
      <c r="A7" s="5" t="s">
        <v>31</v>
      </c>
      <c r="B7" s="5" t="s">
        <v>33</v>
      </c>
      <c r="C7" s="6">
        <v>20.0</v>
      </c>
      <c r="D7" s="6">
        <v>7.0</v>
      </c>
    </row>
    <row r="8">
      <c r="A8" s="5" t="s">
        <v>31</v>
      </c>
      <c r="B8" s="5" t="s">
        <v>33</v>
      </c>
      <c r="C8" s="6">
        <v>27.0</v>
      </c>
      <c r="D8" s="6">
        <v>7.0</v>
      </c>
    </row>
    <row r="9">
      <c r="A9" s="5" t="s">
        <v>31</v>
      </c>
      <c r="B9" s="5" t="s">
        <v>33</v>
      </c>
      <c r="C9" s="6">
        <v>1.0</v>
      </c>
      <c r="D9" s="6">
        <v>5.0</v>
      </c>
    </row>
    <row r="10">
      <c r="A10" s="5" t="s">
        <v>31</v>
      </c>
      <c r="B10" s="5" t="s">
        <v>34</v>
      </c>
      <c r="C10" s="6">
        <v>1.0</v>
      </c>
      <c r="D10" s="6">
        <v>3.0</v>
      </c>
    </row>
    <row r="11">
      <c r="A11" s="5" t="s">
        <v>31</v>
      </c>
      <c r="B11" s="5" t="s">
        <v>34</v>
      </c>
      <c r="C11" s="6">
        <v>14.0</v>
      </c>
      <c r="D11" s="6">
        <v>4.0</v>
      </c>
    </row>
    <row r="12">
      <c r="A12" s="5" t="s">
        <v>31</v>
      </c>
      <c r="B12" s="5" t="s">
        <v>34</v>
      </c>
      <c r="C12" s="6">
        <v>28.0</v>
      </c>
      <c r="D12" s="6">
        <v>4.0</v>
      </c>
    </row>
    <row r="13">
      <c r="A13" s="5" t="s">
        <v>31</v>
      </c>
      <c r="B13" s="5" t="s">
        <v>35</v>
      </c>
      <c r="C13" s="6">
        <v>7.0</v>
      </c>
      <c r="D13" s="6">
        <v>4.0</v>
      </c>
    </row>
    <row r="14">
      <c r="A14" s="5" t="s">
        <v>31</v>
      </c>
      <c r="B14" s="5" t="s">
        <v>36</v>
      </c>
      <c r="C14" s="6">
        <v>21.0</v>
      </c>
      <c r="D14" s="6">
        <v>4.0</v>
      </c>
    </row>
    <row r="15">
      <c r="A15" s="5" t="s">
        <v>31</v>
      </c>
      <c r="B15" s="5" t="s">
        <v>37</v>
      </c>
      <c r="C15" s="6">
        <v>17.0</v>
      </c>
      <c r="D15" s="6">
        <v>3.0</v>
      </c>
    </row>
    <row r="16">
      <c r="A16" s="5" t="s">
        <v>31</v>
      </c>
      <c r="B16" s="5" t="s">
        <v>37</v>
      </c>
      <c r="C16" s="6">
        <v>24.0</v>
      </c>
      <c r="D16" s="6">
        <v>3.0</v>
      </c>
    </row>
    <row r="17">
      <c r="A17" s="5" t="s">
        <v>31</v>
      </c>
      <c r="B17" s="5" t="s">
        <v>37</v>
      </c>
      <c r="C17" s="6">
        <v>10.0</v>
      </c>
      <c r="D17" s="6">
        <v>3.0</v>
      </c>
    </row>
    <row r="18">
      <c r="A18" s="5" t="s">
        <v>31</v>
      </c>
      <c r="B18" s="5" t="s">
        <v>37</v>
      </c>
      <c r="C18" s="6">
        <v>31.0</v>
      </c>
      <c r="D18" s="6">
        <v>3.0</v>
      </c>
    </row>
    <row r="19">
      <c r="A19" s="5" t="s">
        <v>31</v>
      </c>
      <c r="B19" s="5" t="s">
        <v>37</v>
      </c>
      <c r="C19" s="6">
        <v>3.0</v>
      </c>
      <c r="D19" s="6">
        <v>3.0</v>
      </c>
    </row>
    <row r="20">
      <c r="A20" s="5" t="s">
        <v>31</v>
      </c>
      <c r="B20" s="5" t="s">
        <v>38</v>
      </c>
      <c r="C20" s="6">
        <v>1.0</v>
      </c>
      <c r="D20" s="6">
        <v>5.0</v>
      </c>
    </row>
    <row r="21">
      <c r="A21" s="5" t="s">
        <v>31</v>
      </c>
      <c r="B21" s="5" t="s">
        <v>38</v>
      </c>
      <c r="C21" s="6">
        <v>6.0</v>
      </c>
      <c r="D21" s="6">
        <v>7.0</v>
      </c>
    </row>
    <row r="22">
      <c r="A22" s="5" t="s">
        <v>31</v>
      </c>
      <c r="B22" s="5" t="s">
        <v>38</v>
      </c>
      <c r="C22" s="6">
        <v>13.0</v>
      </c>
      <c r="D22" s="6">
        <v>7.0</v>
      </c>
    </row>
    <row r="23">
      <c r="A23" s="5" t="s">
        <v>31</v>
      </c>
      <c r="B23" s="5" t="s">
        <v>38</v>
      </c>
      <c r="C23" s="6">
        <v>20.0</v>
      </c>
      <c r="D23" s="6">
        <v>7.0</v>
      </c>
    </row>
    <row r="24">
      <c r="A24" s="5" t="s">
        <v>31</v>
      </c>
      <c r="B24" s="5" t="s">
        <v>38</v>
      </c>
      <c r="C24" s="6">
        <v>27.0</v>
      </c>
      <c r="D24" s="6">
        <v>7.0</v>
      </c>
    </row>
    <row r="25">
      <c r="A25" s="5" t="s">
        <v>31</v>
      </c>
      <c r="B25" s="5" t="s">
        <v>39</v>
      </c>
      <c r="C25" s="6">
        <v>1.0</v>
      </c>
      <c r="D25" s="6">
        <v>30.0</v>
      </c>
    </row>
    <row r="26">
      <c r="A26" s="5" t="s">
        <v>31</v>
      </c>
      <c r="B26" s="5" t="s">
        <v>39</v>
      </c>
      <c r="C26" s="6">
        <v>31.0</v>
      </c>
      <c r="D26" s="6">
        <v>3.0</v>
      </c>
    </row>
    <row r="27">
      <c r="A27" s="5" t="s">
        <v>31</v>
      </c>
      <c r="B27" s="5" t="s">
        <v>40</v>
      </c>
      <c r="C27" s="6">
        <v>13.0</v>
      </c>
      <c r="D27" s="6">
        <v>4.0</v>
      </c>
    </row>
    <row r="28">
      <c r="A28" s="5" t="s">
        <v>31</v>
      </c>
      <c r="B28" s="5" t="s">
        <v>40</v>
      </c>
      <c r="C28" s="6">
        <v>20.0</v>
      </c>
      <c r="D28" s="6">
        <v>4.0</v>
      </c>
    </row>
    <row r="29">
      <c r="A29" s="5" t="s">
        <v>31</v>
      </c>
      <c r="B29" s="5" t="s">
        <v>40</v>
      </c>
      <c r="C29" s="6">
        <v>6.0</v>
      </c>
      <c r="D29" s="6">
        <v>4.0</v>
      </c>
    </row>
    <row r="30">
      <c r="A30" s="5" t="s">
        <v>31</v>
      </c>
      <c r="B30" s="5" t="s">
        <v>40</v>
      </c>
      <c r="C30" s="6">
        <v>27.0</v>
      </c>
      <c r="D30" s="6">
        <v>4.0</v>
      </c>
    </row>
    <row r="31">
      <c r="A31" s="5" t="s">
        <v>31</v>
      </c>
      <c r="B31" s="5" t="s">
        <v>40</v>
      </c>
      <c r="C31" s="6">
        <v>1.0</v>
      </c>
      <c r="D31" s="6">
        <v>2.0</v>
      </c>
    </row>
    <row r="32">
      <c r="A32" s="5" t="s">
        <v>31</v>
      </c>
      <c r="B32" s="5" t="s">
        <v>41</v>
      </c>
      <c r="C32" s="6">
        <v>13.0</v>
      </c>
      <c r="D32" s="6">
        <v>7.0</v>
      </c>
    </row>
    <row r="33">
      <c r="A33" s="5" t="s">
        <v>31</v>
      </c>
      <c r="B33" s="5" t="s">
        <v>41</v>
      </c>
      <c r="C33" s="6">
        <v>20.0</v>
      </c>
      <c r="D33" s="6">
        <v>7.0</v>
      </c>
    </row>
    <row r="34">
      <c r="A34" s="5" t="s">
        <v>31</v>
      </c>
      <c r="B34" s="5" t="s">
        <v>41</v>
      </c>
      <c r="C34" s="6">
        <v>27.0</v>
      </c>
      <c r="D34" s="6">
        <v>7.0</v>
      </c>
    </row>
    <row r="35">
      <c r="A35" s="5" t="s">
        <v>31</v>
      </c>
      <c r="B35" s="5" t="s">
        <v>41</v>
      </c>
      <c r="C35" s="6">
        <v>1.0</v>
      </c>
      <c r="D35" s="6">
        <v>5.0</v>
      </c>
    </row>
    <row r="36">
      <c r="A36" s="5" t="s">
        <v>31</v>
      </c>
      <c r="B36" s="5" t="s">
        <v>41</v>
      </c>
      <c r="C36" s="6">
        <v>6.0</v>
      </c>
      <c r="D36" s="6">
        <v>7.0</v>
      </c>
    </row>
    <row r="37">
      <c r="A37" s="5" t="s">
        <v>31</v>
      </c>
      <c r="B37" s="5" t="s">
        <v>42</v>
      </c>
      <c r="C37" s="6">
        <v>3.0</v>
      </c>
      <c r="D37" s="6">
        <v>3.0</v>
      </c>
    </row>
    <row r="38">
      <c r="A38" s="5" t="s">
        <v>31</v>
      </c>
      <c r="B38" s="5" t="s">
        <v>42</v>
      </c>
      <c r="C38" s="6">
        <v>10.0</v>
      </c>
      <c r="D38" s="6">
        <v>3.0</v>
      </c>
    </row>
    <row r="39">
      <c r="A39" s="5" t="s">
        <v>31</v>
      </c>
      <c r="B39" s="5" t="s">
        <v>42</v>
      </c>
      <c r="C39" s="6">
        <v>17.0</v>
      </c>
      <c r="D39" s="6">
        <v>3.0</v>
      </c>
    </row>
    <row r="40">
      <c r="A40" s="5" t="s">
        <v>31</v>
      </c>
      <c r="B40" s="5" t="s">
        <v>42</v>
      </c>
      <c r="C40" s="6">
        <v>24.0</v>
      </c>
      <c r="D40" s="6">
        <v>3.0</v>
      </c>
    </row>
    <row r="41">
      <c r="A41" s="5" t="s">
        <v>31</v>
      </c>
      <c r="B41" s="5" t="s">
        <v>42</v>
      </c>
      <c r="C41" s="6">
        <v>31.0</v>
      </c>
      <c r="D41" s="6">
        <v>3.0</v>
      </c>
    </row>
    <row r="42">
      <c r="A42" s="5" t="s">
        <v>31</v>
      </c>
      <c r="B42" s="5" t="s">
        <v>43</v>
      </c>
      <c r="C42" s="6">
        <v>3.0</v>
      </c>
      <c r="D42" s="6">
        <v>7.0</v>
      </c>
    </row>
    <row r="43">
      <c r="A43" s="5" t="s">
        <v>31</v>
      </c>
      <c r="B43" s="5" t="s">
        <v>43</v>
      </c>
      <c r="C43" s="6">
        <v>17.0</v>
      </c>
      <c r="D43" s="6">
        <v>7.0</v>
      </c>
    </row>
    <row r="44">
      <c r="A44" s="5" t="s">
        <v>31</v>
      </c>
      <c r="B44" s="5" t="s">
        <v>43</v>
      </c>
      <c r="C44" s="6">
        <v>31.0</v>
      </c>
      <c r="D44" s="6">
        <v>3.0</v>
      </c>
    </row>
    <row r="45">
      <c r="A45" s="5" t="s">
        <v>31</v>
      </c>
      <c r="B45" s="5" t="s">
        <v>44</v>
      </c>
      <c r="C45" s="6">
        <v>4.0</v>
      </c>
      <c r="D45" s="6">
        <v>3.0</v>
      </c>
    </row>
    <row r="46">
      <c r="A46" s="5" t="s">
        <v>31</v>
      </c>
      <c r="B46" s="5" t="s">
        <v>44</v>
      </c>
      <c r="C46" s="6">
        <v>11.0</v>
      </c>
      <c r="D46" s="6">
        <v>3.0</v>
      </c>
    </row>
    <row r="47">
      <c r="A47" s="5" t="s">
        <v>31</v>
      </c>
      <c r="B47" s="5" t="s">
        <v>44</v>
      </c>
      <c r="C47" s="6">
        <v>18.0</v>
      </c>
      <c r="D47" s="6">
        <v>3.0</v>
      </c>
    </row>
    <row r="48">
      <c r="A48" s="5" t="s">
        <v>31</v>
      </c>
      <c r="B48" s="5" t="s">
        <v>44</v>
      </c>
      <c r="C48" s="6">
        <v>25.0</v>
      </c>
      <c r="D48" s="6">
        <v>3.0</v>
      </c>
    </row>
    <row r="49">
      <c r="A49" s="5" t="s">
        <v>31</v>
      </c>
      <c r="B49" s="5" t="s">
        <v>44</v>
      </c>
      <c r="C49" s="6">
        <v>32.0</v>
      </c>
      <c r="D49" s="6">
        <v>2.0</v>
      </c>
    </row>
    <row r="50">
      <c r="A50" s="5" t="s">
        <v>31</v>
      </c>
      <c r="B50" s="5" t="s">
        <v>45</v>
      </c>
      <c r="C50" s="6">
        <v>4.0</v>
      </c>
      <c r="D50" s="6">
        <v>2.0</v>
      </c>
    </row>
    <row r="51">
      <c r="A51" s="5" t="s">
        <v>31</v>
      </c>
      <c r="B51" s="5" t="s">
        <v>45</v>
      </c>
      <c r="C51" s="6">
        <v>11.0</v>
      </c>
      <c r="D51" s="6">
        <v>2.0</v>
      </c>
    </row>
    <row r="52">
      <c r="A52" s="5" t="s">
        <v>31</v>
      </c>
      <c r="B52" s="5" t="s">
        <v>45</v>
      </c>
      <c r="C52" s="6">
        <v>18.0</v>
      </c>
      <c r="D52" s="6">
        <v>2.0</v>
      </c>
    </row>
    <row r="53">
      <c r="A53" s="5" t="s">
        <v>31</v>
      </c>
      <c r="B53" s="5" t="s">
        <v>45</v>
      </c>
      <c r="C53" s="6">
        <v>25.0</v>
      </c>
      <c r="D53" s="6">
        <v>2.0</v>
      </c>
    </row>
    <row r="54">
      <c r="A54" s="5" t="s">
        <v>31</v>
      </c>
      <c r="B54" s="5" t="s">
        <v>45</v>
      </c>
      <c r="C54" s="6">
        <v>32.0</v>
      </c>
      <c r="D54" s="6">
        <v>2.0</v>
      </c>
    </row>
    <row r="55">
      <c r="A55" s="5" t="s">
        <v>31</v>
      </c>
      <c r="B55" s="5" t="s">
        <v>46</v>
      </c>
      <c r="C55" s="6">
        <v>1.0</v>
      </c>
      <c r="D55" s="6">
        <v>1.0</v>
      </c>
    </row>
    <row r="56">
      <c r="A56" s="5" t="s">
        <v>31</v>
      </c>
      <c r="B56" s="5" t="s">
        <v>46</v>
      </c>
      <c r="C56" s="6">
        <v>3.0</v>
      </c>
      <c r="D56" s="6">
        <v>1.0</v>
      </c>
    </row>
    <row r="57">
      <c r="A57" s="5" t="s">
        <v>31</v>
      </c>
      <c r="B57" s="5" t="s">
        <v>46</v>
      </c>
      <c r="C57" s="6">
        <v>5.0</v>
      </c>
      <c r="D57" s="6">
        <v>1.0</v>
      </c>
    </row>
    <row r="58">
      <c r="A58" s="5" t="s">
        <v>31</v>
      </c>
      <c r="B58" s="5" t="s">
        <v>46</v>
      </c>
      <c r="C58" s="6">
        <v>8.0</v>
      </c>
      <c r="D58" s="6">
        <v>1.0</v>
      </c>
    </row>
    <row r="59">
      <c r="A59" s="5" t="s">
        <v>31</v>
      </c>
      <c r="B59" s="5" t="s">
        <v>46</v>
      </c>
      <c r="C59" s="6">
        <v>10.0</v>
      </c>
      <c r="D59" s="6">
        <v>1.0</v>
      </c>
    </row>
    <row r="60">
      <c r="A60" s="5" t="s">
        <v>31</v>
      </c>
      <c r="B60" s="5" t="s">
        <v>46</v>
      </c>
      <c r="C60" s="6">
        <v>12.0</v>
      </c>
      <c r="D60" s="6">
        <v>1.0</v>
      </c>
    </row>
    <row r="61">
      <c r="A61" s="5" t="s">
        <v>31</v>
      </c>
      <c r="B61" s="5" t="s">
        <v>46</v>
      </c>
      <c r="C61" s="6">
        <v>15.0</v>
      </c>
      <c r="D61" s="6">
        <v>1.0</v>
      </c>
    </row>
    <row r="62">
      <c r="A62" s="5" t="s">
        <v>31</v>
      </c>
      <c r="B62" s="5" t="s">
        <v>46</v>
      </c>
      <c r="C62" s="6">
        <v>17.0</v>
      </c>
      <c r="D62" s="6">
        <v>1.0</v>
      </c>
    </row>
    <row r="63">
      <c r="A63" s="5" t="s">
        <v>31</v>
      </c>
      <c r="B63" s="5" t="s">
        <v>46</v>
      </c>
      <c r="C63" s="6">
        <v>19.0</v>
      </c>
      <c r="D63" s="6">
        <v>1.0</v>
      </c>
    </row>
    <row r="64">
      <c r="A64" s="5" t="s">
        <v>31</v>
      </c>
      <c r="B64" s="5" t="s">
        <v>46</v>
      </c>
      <c r="C64" s="6">
        <v>22.0</v>
      </c>
      <c r="D64" s="6">
        <v>1.0</v>
      </c>
    </row>
    <row r="65">
      <c r="A65" s="5" t="s">
        <v>31</v>
      </c>
      <c r="B65" s="5" t="s">
        <v>46</v>
      </c>
      <c r="C65" s="6">
        <v>24.0</v>
      </c>
      <c r="D65" s="6">
        <v>1.0</v>
      </c>
    </row>
    <row r="66">
      <c r="A66" s="5" t="s">
        <v>31</v>
      </c>
      <c r="B66" s="5" t="s">
        <v>46</v>
      </c>
      <c r="C66" s="6">
        <v>26.0</v>
      </c>
      <c r="D66" s="6">
        <v>1.0</v>
      </c>
    </row>
    <row r="67">
      <c r="A67" s="5" t="s">
        <v>31</v>
      </c>
      <c r="B67" s="5" t="s">
        <v>46</v>
      </c>
      <c r="C67" s="6">
        <v>29.0</v>
      </c>
      <c r="D67" s="6">
        <v>1.0</v>
      </c>
    </row>
    <row r="68">
      <c r="A68" s="5" t="s">
        <v>31</v>
      </c>
      <c r="B68" s="5" t="s">
        <v>46</v>
      </c>
      <c r="C68" s="6">
        <v>31.0</v>
      </c>
      <c r="D68" s="6">
        <v>1.0</v>
      </c>
    </row>
    <row r="69">
      <c r="A69" s="5" t="s">
        <v>31</v>
      </c>
      <c r="B69" s="5" t="s">
        <v>46</v>
      </c>
      <c r="C69" s="6">
        <v>33.0</v>
      </c>
      <c r="D69" s="6">
        <v>1.0</v>
      </c>
    </row>
    <row r="70">
      <c r="A70" s="5" t="s">
        <v>31</v>
      </c>
      <c r="B70" s="5" t="s">
        <v>47</v>
      </c>
      <c r="C70" s="6">
        <v>2.0</v>
      </c>
      <c r="D70" s="6">
        <v>1.0</v>
      </c>
    </row>
    <row r="71">
      <c r="A71" s="5" t="s">
        <v>31</v>
      </c>
      <c r="B71" s="5" t="s">
        <v>47</v>
      </c>
      <c r="C71" s="6">
        <v>9.0</v>
      </c>
      <c r="D71" s="6">
        <v>1.0</v>
      </c>
    </row>
    <row r="72">
      <c r="A72" s="5" t="s">
        <v>31</v>
      </c>
      <c r="B72" s="5" t="s">
        <v>47</v>
      </c>
      <c r="C72" s="6">
        <v>16.0</v>
      </c>
      <c r="D72" s="6">
        <v>1.0</v>
      </c>
    </row>
    <row r="73">
      <c r="A73" s="5" t="s">
        <v>31</v>
      </c>
      <c r="B73" s="5" t="s">
        <v>47</v>
      </c>
      <c r="C73" s="6">
        <v>23.0</v>
      </c>
      <c r="D73" s="6">
        <v>1.0</v>
      </c>
    </row>
    <row r="74">
      <c r="A74" s="5" t="s">
        <v>31</v>
      </c>
      <c r="B74" s="5" t="s">
        <v>47</v>
      </c>
      <c r="C74" s="6">
        <v>30.0</v>
      </c>
      <c r="D74" s="6">
        <v>1.0</v>
      </c>
    </row>
    <row r="75">
      <c r="A75" s="5" t="s">
        <v>31</v>
      </c>
      <c r="B75" s="5" t="s">
        <v>48</v>
      </c>
      <c r="C75" s="6">
        <v>4.0</v>
      </c>
      <c r="D75" s="6">
        <v>1.0</v>
      </c>
    </row>
    <row r="76">
      <c r="A76" s="5" t="s">
        <v>31</v>
      </c>
      <c r="B76" s="5" t="s">
        <v>48</v>
      </c>
      <c r="C76" s="6">
        <v>13.0</v>
      </c>
      <c r="D76" s="6">
        <v>1.0</v>
      </c>
    </row>
    <row r="77">
      <c r="A77" s="5" t="s">
        <v>31</v>
      </c>
      <c r="B77" s="5" t="s">
        <v>48</v>
      </c>
      <c r="C77" s="6">
        <v>20.0</v>
      </c>
      <c r="D77" s="6">
        <v>1.0</v>
      </c>
    </row>
    <row r="78">
      <c r="A78" s="5" t="s">
        <v>31</v>
      </c>
      <c r="B78" s="5" t="s">
        <v>48</v>
      </c>
      <c r="C78" s="6">
        <v>27.0</v>
      </c>
      <c r="D78" s="6">
        <v>1.0</v>
      </c>
    </row>
    <row r="79">
      <c r="A79" s="5" t="s">
        <v>31</v>
      </c>
      <c r="B79" s="5" t="s">
        <v>49</v>
      </c>
      <c r="C79" s="6">
        <v>2.0</v>
      </c>
      <c r="D79" s="6">
        <v>1.0</v>
      </c>
    </row>
    <row r="80">
      <c r="A80" s="5" t="s">
        <v>31</v>
      </c>
      <c r="B80" s="5" t="s">
        <v>49</v>
      </c>
      <c r="C80" s="6">
        <v>4.0</v>
      </c>
      <c r="D80" s="6">
        <v>1.0</v>
      </c>
    </row>
    <row r="81">
      <c r="A81" s="5" t="s">
        <v>31</v>
      </c>
      <c r="B81" s="5" t="s">
        <v>49</v>
      </c>
      <c r="C81" s="6">
        <v>6.0</v>
      </c>
      <c r="D81" s="6">
        <v>1.0</v>
      </c>
    </row>
    <row r="82">
      <c r="A82" s="5" t="s">
        <v>31</v>
      </c>
      <c r="B82" s="5" t="s">
        <v>49</v>
      </c>
      <c r="C82" s="6">
        <v>7.0</v>
      </c>
      <c r="D82" s="6">
        <v>1.0</v>
      </c>
    </row>
    <row r="83">
      <c r="A83" s="5" t="s">
        <v>31</v>
      </c>
      <c r="B83" s="5" t="s">
        <v>49</v>
      </c>
      <c r="C83" s="6">
        <v>9.0</v>
      </c>
      <c r="D83" s="6">
        <v>1.0</v>
      </c>
    </row>
    <row r="84">
      <c r="A84" s="5" t="s">
        <v>31</v>
      </c>
      <c r="B84" s="5" t="s">
        <v>49</v>
      </c>
      <c r="C84" s="6">
        <v>11.0</v>
      </c>
      <c r="D84" s="6">
        <v>1.0</v>
      </c>
    </row>
    <row r="85">
      <c r="A85" s="5" t="s">
        <v>31</v>
      </c>
      <c r="B85" s="5" t="s">
        <v>49</v>
      </c>
      <c r="C85" s="6">
        <v>13.0</v>
      </c>
      <c r="D85" s="6">
        <v>1.0</v>
      </c>
    </row>
    <row r="86">
      <c r="A86" s="5" t="s">
        <v>31</v>
      </c>
      <c r="B86" s="5" t="s">
        <v>49</v>
      </c>
      <c r="C86" s="6">
        <v>14.0</v>
      </c>
      <c r="D86" s="6">
        <v>1.0</v>
      </c>
    </row>
    <row r="87">
      <c r="A87" s="5" t="s">
        <v>31</v>
      </c>
      <c r="B87" s="5" t="s">
        <v>49</v>
      </c>
      <c r="C87" s="6">
        <v>16.0</v>
      </c>
      <c r="D87" s="6">
        <v>1.0</v>
      </c>
    </row>
    <row r="88">
      <c r="A88" s="5" t="s">
        <v>31</v>
      </c>
      <c r="B88" s="5" t="s">
        <v>49</v>
      </c>
      <c r="C88" s="6">
        <v>18.0</v>
      </c>
      <c r="D88" s="6">
        <v>1.0</v>
      </c>
    </row>
    <row r="89">
      <c r="A89" s="5" t="s">
        <v>31</v>
      </c>
      <c r="B89" s="5" t="s">
        <v>49</v>
      </c>
      <c r="C89" s="6">
        <v>20.0</v>
      </c>
      <c r="D89" s="6">
        <v>1.0</v>
      </c>
    </row>
    <row r="90">
      <c r="A90" s="5" t="s">
        <v>31</v>
      </c>
      <c r="B90" s="5" t="s">
        <v>49</v>
      </c>
      <c r="C90" s="6">
        <v>21.0</v>
      </c>
      <c r="D90" s="6">
        <v>1.0</v>
      </c>
    </row>
    <row r="91">
      <c r="A91" s="5" t="s">
        <v>31</v>
      </c>
      <c r="B91" s="5" t="s">
        <v>49</v>
      </c>
      <c r="C91" s="6">
        <v>23.0</v>
      </c>
      <c r="D91" s="6">
        <v>1.0</v>
      </c>
    </row>
    <row r="92">
      <c r="A92" s="5" t="s">
        <v>31</v>
      </c>
      <c r="B92" s="5" t="s">
        <v>49</v>
      </c>
      <c r="C92" s="6">
        <v>25.0</v>
      </c>
      <c r="D92" s="6">
        <v>1.0</v>
      </c>
    </row>
    <row r="93">
      <c r="A93" s="5" t="s">
        <v>31</v>
      </c>
      <c r="B93" s="5" t="s">
        <v>49</v>
      </c>
      <c r="C93" s="6">
        <v>27.0</v>
      </c>
      <c r="D93" s="6">
        <v>1.0</v>
      </c>
    </row>
    <row r="94">
      <c r="A94" s="5" t="s">
        <v>31</v>
      </c>
      <c r="B94" s="5" t="s">
        <v>49</v>
      </c>
      <c r="C94" s="6">
        <v>28.0</v>
      </c>
      <c r="D94" s="6">
        <v>1.0</v>
      </c>
    </row>
    <row r="95">
      <c r="A95" s="5" t="s">
        <v>31</v>
      </c>
      <c r="B95" s="5" t="s">
        <v>49</v>
      </c>
      <c r="C95" s="6">
        <v>30.0</v>
      </c>
      <c r="D95" s="6">
        <v>1.0</v>
      </c>
    </row>
    <row r="96">
      <c r="A96" s="5" t="s">
        <v>31</v>
      </c>
      <c r="B96" s="5" t="s">
        <v>49</v>
      </c>
      <c r="C96" s="6">
        <v>32.0</v>
      </c>
      <c r="D96" s="6">
        <v>1.0</v>
      </c>
    </row>
    <row r="97">
      <c r="A97" s="5" t="s">
        <v>31</v>
      </c>
      <c r="B97" s="5" t="s">
        <v>50</v>
      </c>
      <c r="C97" s="6">
        <v>4.0</v>
      </c>
      <c r="D97" s="6">
        <v>1.0</v>
      </c>
    </row>
    <row r="98">
      <c r="A98" s="5" t="s">
        <v>31</v>
      </c>
      <c r="B98" s="5" t="s">
        <v>50</v>
      </c>
      <c r="C98" s="6">
        <v>13.0</v>
      </c>
      <c r="D98" s="6">
        <v>1.0</v>
      </c>
    </row>
    <row r="99">
      <c r="A99" s="5" t="s">
        <v>31</v>
      </c>
      <c r="B99" s="5" t="s">
        <v>50</v>
      </c>
      <c r="C99" s="6">
        <v>20.0</v>
      </c>
      <c r="D99" s="6">
        <v>1.0</v>
      </c>
    </row>
    <row r="100">
      <c r="A100" s="5" t="s">
        <v>31</v>
      </c>
      <c r="B100" s="5" t="s">
        <v>50</v>
      </c>
      <c r="C100" s="6">
        <v>27.0</v>
      </c>
      <c r="D100" s="6">
        <v>1.0</v>
      </c>
    </row>
    <row r="101">
      <c r="A101" s="5" t="s">
        <v>31</v>
      </c>
      <c r="B101" s="5" t="s">
        <v>51</v>
      </c>
      <c r="C101" s="6">
        <v>5.0</v>
      </c>
      <c r="D101" s="6">
        <v>1.0</v>
      </c>
    </row>
    <row r="102">
      <c r="A102" s="5" t="s">
        <v>31</v>
      </c>
      <c r="B102" s="5" t="s">
        <v>51</v>
      </c>
      <c r="C102" s="6">
        <v>14.0</v>
      </c>
      <c r="D102" s="6">
        <v>1.0</v>
      </c>
    </row>
    <row r="103">
      <c r="A103" s="5" t="s">
        <v>31</v>
      </c>
      <c r="B103" s="5" t="s">
        <v>51</v>
      </c>
      <c r="C103" s="6">
        <v>21.0</v>
      </c>
      <c r="D103" s="6">
        <v>1.0</v>
      </c>
    </row>
    <row r="104">
      <c r="A104" s="5" t="s">
        <v>31</v>
      </c>
      <c r="B104" s="5" t="s">
        <v>51</v>
      </c>
      <c r="C104" s="6">
        <v>28.0</v>
      </c>
      <c r="D104" s="6">
        <v>1.0</v>
      </c>
    </row>
    <row r="105">
      <c r="A105" s="5" t="s">
        <v>31</v>
      </c>
      <c r="B105" s="5" t="s">
        <v>52</v>
      </c>
      <c r="C105" s="6">
        <v>1.0</v>
      </c>
      <c r="D105" s="6">
        <v>1.0</v>
      </c>
    </row>
    <row r="106">
      <c r="A106" s="5" t="s">
        <v>31</v>
      </c>
      <c r="B106" s="5" t="s">
        <v>52</v>
      </c>
      <c r="C106" s="6">
        <v>2.0</v>
      </c>
      <c r="D106" s="6">
        <v>1.0</v>
      </c>
    </row>
    <row r="107">
      <c r="A107" s="5" t="s">
        <v>31</v>
      </c>
      <c r="B107" s="5" t="s">
        <v>52</v>
      </c>
      <c r="C107" s="6">
        <v>3.0</v>
      </c>
      <c r="D107" s="6">
        <v>1.0</v>
      </c>
    </row>
    <row r="108">
      <c r="A108" s="5" t="s">
        <v>31</v>
      </c>
      <c r="B108" s="5" t="s">
        <v>52</v>
      </c>
      <c r="C108" s="6">
        <v>4.0</v>
      </c>
      <c r="D108" s="6">
        <v>1.0</v>
      </c>
    </row>
    <row r="109">
      <c r="A109" s="5" t="s">
        <v>31</v>
      </c>
      <c r="B109" s="5" t="s">
        <v>52</v>
      </c>
      <c r="C109" s="6">
        <v>5.0</v>
      </c>
      <c r="D109" s="6">
        <v>1.0</v>
      </c>
    </row>
    <row r="110">
      <c r="A110" s="5" t="s">
        <v>31</v>
      </c>
      <c r="B110" s="5" t="s">
        <v>52</v>
      </c>
      <c r="C110" s="6">
        <v>6.0</v>
      </c>
      <c r="D110" s="6">
        <v>1.0</v>
      </c>
    </row>
    <row r="111">
      <c r="A111" s="5" t="s">
        <v>31</v>
      </c>
      <c r="B111" s="5" t="s">
        <v>52</v>
      </c>
      <c r="C111" s="6">
        <v>7.0</v>
      </c>
      <c r="D111" s="6">
        <v>1.0</v>
      </c>
    </row>
    <row r="112">
      <c r="A112" s="5" t="s">
        <v>31</v>
      </c>
      <c r="B112" s="5" t="s">
        <v>52</v>
      </c>
      <c r="C112" s="6">
        <v>8.0</v>
      </c>
      <c r="D112" s="6">
        <v>1.0</v>
      </c>
    </row>
    <row r="113">
      <c r="A113" s="5" t="s">
        <v>31</v>
      </c>
      <c r="B113" s="5" t="s">
        <v>52</v>
      </c>
      <c r="C113" s="6">
        <v>9.0</v>
      </c>
      <c r="D113" s="6">
        <v>1.0</v>
      </c>
    </row>
    <row r="114">
      <c r="A114" s="5" t="s">
        <v>31</v>
      </c>
      <c r="B114" s="5" t="s">
        <v>52</v>
      </c>
      <c r="C114" s="6">
        <v>10.0</v>
      </c>
      <c r="D114" s="6">
        <v>1.0</v>
      </c>
    </row>
    <row r="115">
      <c r="A115" s="5" t="s">
        <v>31</v>
      </c>
      <c r="B115" s="5" t="s">
        <v>52</v>
      </c>
      <c r="C115" s="6">
        <v>11.0</v>
      </c>
      <c r="D115" s="6">
        <v>1.0</v>
      </c>
    </row>
    <row r="116">
      <c r="A116" s="5" t="s">
        <v>31</v>
      </c>
      <c r="B116" s="5" t="s">
        <v>52</v>
      </c>
      <c r="C116" s="6">
        <v>12.0</v>
      </c>
      <c r="D116" s="6">
        <v>1.0</v>
      </c>
    </row>
    <row r="117">
      <c r="A117" s="5" t="s">
        <v>31</v>
      </c>
      <c r="B117" s="5" t="s">
        <v>52</v>
      </c>
      <c r="C117" s="6">
        <v>13.0</v>
      </c>
      <c r="D117" s="6">
        <v>1.0</v>
      </c>
    </row>
    <row r="118">
      <c r="A118" s="5" t="s">
        <v>31</v>
      </c>
      <c r="B118" s="5" t="s">
        <v>52</v>
      </c>
      <c r="C118" s="6">
        <v>14.0</v>
      </c>
      <c r="D118" s="6">
        <v>1.0</v>
      </c>
    </row>
    <row r="119">
      <c r="A119" s="5" t="s">
        <v>31</v>
      </c>
      <c r="B119" s="5" t="s">
        <v>52</v>
      </c>
      <c r="C119" s="6">
        <v>15.0</v>
      </c>
      <c r="D119" s="6">
        <v>1.0</v>
      </c>
    </row>
    <row r="120">
      <c r="A120" s="5" t="s">
        <v>31</v>
      </c>
      <c r="B120" s="5" t="s">
        <v>52</v>
      </c>
      <c r="C120" s="6">
        <v>16.0</v>
      </c>
      <c r="D120" s="6">
        <v>1.0</v>
      </c>
    </row>
    <row r="121">
      <c r="A121" s="5" t="s">
        <v>31</v>
      </c>
      <c r="B121" s="5" t="s">
        <v>52</v>
      </c>
      <c r="C121" s="6">
        <v>17.0</v>
      </c>
      <c r="D121" s="6">
        <v>1.0</v>
      </c>
    </row>
    <row r="122">
      <c r="A122" s="5" t="s">
        <v>31</v>
      </c>
      <c r="B122" s="5" t="s">
        <v>52</v>
      </c>
      <c r="C122" s="6">
        <v>18.0</v>
      </c>
      <c r="D122" s="6">
        <v>1.0</v>
      </c>
    </row>
    <row r="123">
      <c r="A123" s="5" t="s">
        <v>31</v>
      </c>
      <c r="B123" s="5" t="s">
        <v>52</v>
      </c>
      <c r="C123" s="6">
        <v>19.0</v>
      </c>
      <c r="D123" s="6">
        <v>1.0</v>
      </c>
    </row>
    <row r="124">
      <c r="A124" s="5" t="s">
        <v>31</v>
      </c>
      <c r="B124" s="5" t="s">
        <v>52</v>
      </c>
      <c r="C124" s="6">
        <v>20.0</v>
      </c>
      <c r="D124" s="6">
        <v>1.0</v>
      </c>
    </row>
    <row r="125">
      <c r="A125" s="5" t="s">
        <v>31</v>
      </c>
      <c r="B125" s="5" t="s">
        <v>52</v>
      </c>
      <c r="C125" s="6">
        <v>21.0</v>
      </c>
      <c r="D125" s="6">
        <v>1.0</v>
      </c>
    </row>
    <row r="126">
      <c r="A126" s="5" t="s">
        <v>31</v>
      </c>
      <c r="B126" s="5" t="s">
        <v>52</v>
      </c>
      <c r="C126" s="6">
        <v>22.0</v>
      </c>
      <c r="D126" s="6">
        <v>1.0</v>
      </c>
    </row>
    <row r="127">
      <c r="A127" s="5" t="s">
        <v>31</v>
      </c>
      <c r="B127" s="5" t="s">
        <v>52</v>
      </c>
      <c r="C127" s="6">
        <v>23.0</v>
      </c>
      <c r="D127" s="6">
        <v>1.0</v>
      </c>
    </row>
    <row r="128">
      <c r="A128" s="5" t="s">
        <v>31</v>
      </c>
      <c r="B128" s="5" t="s">
        <v>52</v>
      </c>
      <c r="C128" s="6">
        <v>24.0</v>
      </c>
      <c r="D128" s="6">
        <v>1.0</v>
      </c>
    </row>
    <row r="129">
      <c r="A129" s="5" t="s">
        <v>31</v>
      </c>
      <c r="B129" s="5" t="s">
        <v>52</v>
      </c>
      <c r="C129" s="6">
        <v>25.0</v>
      </c>
      <c r="D129" s="6">
        <v>1.0</v>
      </c>
    </row>
    <row r="130">
      <c r="A130" s="5" t="s">
        <v>31</v>
      </c>
      <c r="B130" s="5" t="s">
        <v>52</v>
      </c>
      <c r="C130" s="6">
        <v>26.0</v>
      </c>
      <c r="D130" s="6">
        <v>1.0</v>
      </c>
    </row>
    <row r="131">
      <c r="A131" s="5" t="s">
        <v>31</v>
      </c>
      <c r="B131" s="5" t="s">
        <v>52</v>
      </c>
      <c r="C131" s="6">
        <v>27.0</v>
      </c>
      <c r="D131" s="6">
        <v>1.0</v>
      </c>
    </row>
    <row r="132">
      <c r="A132" s="5" t="s">
        <v>31</v>
      </c>
      <c r="B132" s="5" t="s">
        <v>52</v>
      </c>
      <c r="C132" s="6">
        <v>28.0</v>
      </c>
      <c r="D132" s="6">
        <v>1.0</v>
      </c>
    </row>
    <row r="133">
      <c r="A133" s="5" t="s">
        <v>31</v>
      </c>
      <c r="B133" s="5" t="s">
        <v>52</v>
      </c>
      <c r="C133" s="6">
        <v>29.0</v>
      </c>
      <c r="D133" s="6">
        <v>1.0</v>
      </c>
    </row>
    <row r="134">
      <c r="A134" s="5" t="s">
        <v>31</v>
      </c>
      <c r="B134" s="5" t="s">
        <v>52</v>
      </c>
      <c r="C134" s="6">
        <v>30.0</v>
      </c>
      <c r="D134" s="6">
        <v>1.0</v>
      </c>
    </row>
    <row r="135">
      <c r="A135" s="5" t="s">
        <v>31</v>
      </c>
      <c r="B135" s="5" t="s">
        <v>52</v>
      </c>
      <c r="C135" s="6">
        <v>31.0</v>
      </c>
      <c r="D135" s="6">
        <v>1.0</v>
      </c>
    </row>
    <row r="136">
      <c r="A136" s="5" t="s">
        <v>31</v>
      </c>
      <c r="B136" s="5" t="s">
        <v>52</v>
      </c>
      <c r="C136" s="6">
        <v>32.0</v>
      </c>
      <c r="D136" s="6">
        <v>1.0</v>
      </c>
    </row>
    <row r="137">
      <c r="A137" s="5" t="s">
        <v>31</v>
      </c>
      <c r="B137" s="5" t="s">
        <v>52</v>
      </c>
      <c r="C137" s="6">
        <v>33.0</v>
      </c>
      <c r="D137" s="6">
        <v>1.0</v>
      </c>
    </row>
    <row r="138">
      <c r="A138" s="5" t="s">
        <v>53</v>
      </c>
      <c r="B138" s="5" t="s">
        <v>34</v>
      </c>
      <c r="C138" s="6">
        <v>17.0</v>
      </c>
      <c r="D138" s="6">
        <v>3.0</v>
      </c>
    </row>
    <row r="139">
      <c r="A139" s="5" t="s">
        <v>53</v>
      </c>
      <c r="B139" s="5" t="s">
        <v>34</v>
      </c>
      <c r="C139" s="6">
        <v>31.0</v>
      </c>
      <c r="D139" s="6">
        <v>3.0</v>
      </c>
    </row>
    <row r="140">
      <c r="A140" s="5" t="s">
        <v>53</v>
      </c>
      <c r="B140" s="5" t="s">
        <v>34</v>
      </c>
      <c r="C140" s="6">
        <v>3.0</v>
      </c>
      <c r="D140" s="6">
        <v>3.0</v>
      </c>
    </row>
    <row r="141">
      <c r="A141" s="5" t="s">
        <v>53</v>
      </c>
      <c r="B141" s="5" t="s">
        <v>35</v>
      </c>
      <c r="C141" s="6">
        <v>24.0</v>
      </c>
      <c r="D141" s="6">
        <v>3.0</v>
      </c>
    </row>
    <row r="142">
      <c r="A142" s="5" t="s">
        <v>53</v>
      </c>
      <c r="B142" s="5" t="s">
        <v>33</v>
      </c>
      <c r="C142" s="6">
        <v>1.0</v>
      </c>
      <c r="D142" s="6">
        <v>5.0</v>
      </c>
    </row>
    <row r="143">
      <c r="A143" s="5" t="s">
        <v>53</v>
      </c>
      <c r="B143" s="5" t="s">
        <v>33</v>
      </c>
      <c r="C143" s="6">
        <v>6.0</v>
      </c>
      <c r="D143" s="6">
        <v>7.0</v>
      </c>
    </row>
    <row r="144">
      <c r="A144" s="5" t="s">
        <v>53</v>
      </c>
      <c r="B144" s="5" t="s">
        <v>33</v>
      </c>
      <c r="C144" s="6">
        <v>13.0</v>
      </c>
      <c r="D144" s="6">
        <v>7.0</v>
      </c>
    </row>
    <row r="145">
      <c r="A145" s="5" t="s">
        <v>53</v>
      </c>
      <c r="B145" s="5" t="s">
        <v>33</v>
      </c>
      <c r="C145" s="6">
        <v>20.0</v>
      </c>
      <c r="D145" s="6">
        <v>7.0</v>
      </c>
    </row>
    <row r="146">
      <c r="A146" s="5" t="s">
        <v>53</v>
      </c>
      <c r="B146" s="5" t="s">
        <v>33</v>
      </c>
      <c r="C146" s="6">
        <v>27.0</v>
      </c>
      <c r="D146" s="6">
        <v>7.0</v>
      </c>
    </row>
    <row r="147">
      <c r="A147" s="5" t="s">
        <v>53</v>
      </c>
      <c r="B147" s="5" t="s">
        <v>36</v>
      </c>
      <c r="C147" s="6">
        <v>10.0</v>
      </c>
      <c r="D147" s="6">
        <v>3.0</v>
      </c>
    </row>
    <row r="148">
      <c r="A148" s="5" t="s">
        <v>53</v>
      </c>
      <c r="B148" s="5" t="s">
        <v>44</v>
      </c>
      <c r="C148" s="6">
        <v>20.0</v>
      </c>
      <c r="D148" s="6">
        <v>4.0</v>
      </c>
    </row>
    <row r="149">
      <c r="A149" s="5" t="s">
        <v>53</v>
      </c>
      <c r="B149" s="5" t="s">
        <v>44</v>
      </c>
      <c r="C149" s="6">
        <v>27.0</v>
      </c>
      <c r="D149" s="6">
        <v>4.0</v>
      </c>
    </row>
    <row r="150">
      <c r="A150" s="5" t="s">
        <v>53</v>
      </c>
      <c r="B150" s="5" t="s">
        <v>44</v>
      </c>
      <c r="C150" s="6">
        <v>1.0</v>
      </c>
      <c r="D150" s="6">
        <v>2.0</v>
      </c>
    </row>
    <row r="151">
      <c r="A151" s="5" t="s">
        <v>53</v>
      </c>
      <c r="B151" s="5" t="s">
        <v>44</v>
      </c>
      <c r="C151" s="6">
        <v>13.0</v>
      </c>
      <c r="D151" s="6">
        <v>4.0</v>
      </c>
    </row>
    <row r="152">
      <c r="A152" s="5" t="s">
        <v>53</v>
      </c>
      <c r="B152" s="5" t="s">
        <v>44</v>
      </c>
      <c r="C152" s="6">
        <v>6.0</v>
      </c>
      <c r="D152" s="6">
        <v>4.0</v>
      </c>
    </row>
    <row r="153">
      <c r="A153" s="5" t="s">
        <v>53</v>
      </c>
      <c r="B153" s="5" t="s">
        <v>54</v>
      </c>
      <c r="C153" s="6">
        <v>1.0</v>
      </c>
      <c r="D153" s="6">
        <v>2.0</v>
      </c>
    </row>
    <row r="154">
      <c r="A154" s="5" t="s">
        <v>53</v>
      </c>
      <c r="B154" s="5" t="s">
        <v>54</v>
      </c>
      <c r="C154" s="6">
        <v>6.0</v>
      </c>
      <c r="D154" s="6">
        <v>4.0</v>
      </c>
    </row>
    <row r="155">
      <c r="A155" s="5" t="s">
        <v>53</v>
      </c>
      <c r="B155" s="5" t="s">
        <v>54</v>
      </c>
      <c r="C155" s="6">
        <v>13.0</v>
      </c>
      <c r="D155" s="6">
        <v>4.0</v>
      </c>
    </row>
    <row r="156">
      <c r="A156" s="5" t="s">
        <v>53</v>
      </c>
      <c r="B156" s="5" t="s">
        <v>54</v>
      </c>
      <c r="C156" s="6">
        <v>20.0</v>
      </c>
      <c r="D156" s="6">
        <v>4.0</v>
      </c>
    </row>
    <row r="157">
      <c r="A157" s="5" t="s">
        <v>53</v>
      </c>
      <c r="B157" s="5" t="s">
        <v>54</v>
      </c>
      <c r="C157" s="6">
        <v>27.0</v>
      </c>
      <c r="D157" s="6">
        <v>4.0</v>
      </c>
    </row>
    <row r="158">
      <c r="A158" s="5" t="s">
        <v>53</v>
      </c>
      <c r="B158" s="5" t="s">
        <v>38</v>
      </c>
      <c r="C158" s="6">
        <v>1.0</v>
      </c>
      <c r="D158" s="6">
        <v>5.0</v>
      </c>
    </row>
    <row r="159">
      <c r="A159" s="5" t="s">
        <v>53</v>
      </c>
      <c r="B159" s="5" t="s">
        <v>38</v>
      </c>
      <c r="C159" s="6">
        <v>6.0</v>
      </c>
      <c r="D159" s="6">
        <v>7.0</v>
      </c>
    </row>
    <row r="160">
      <c r="A160" s="5" t="s">
        <v>53</v>
      </c>
      <c r="B160" s="5" t="s">
        <v>38</v>
      </c>
      <c r="C160" s="6">
        <v>13.0</v>
      </c>
      <c r="D160" s="6">
        <v>7.0</v>
      </c>
    </row>
    <row r="161">
      <c r="A161" s="5" t="s">
        <v>53</v>
      </c>
      <c r="B161" s="5" t="s">
        <v>38</v>
      </c>
      <c r="C161" s="6">
        <v>20.0</v>
      </c>
      <c r="D161" s="6">
        <v>7.0</v>
      </c>
    </row>
    <row r="162">
      <c r="A162" s="5" t="s">
        <v>53</v>
      </c>
      <c r="B162" s="5" t="s">
        <v>38</v>
      </c>
      <c r="C162" s="6">
        <v>27.0</v>
      </c>
      <c r="D162" s="6">
        <v>7.0</v>
      </c>
    </row>
    <row r="163">
      <c r="A163" s="5" t="s">
        <v>53</v>
      </c>
      <c r="B163" s="5" t="s">
        <v>37</v>
      </c>
      <c r="C163" s="6">
        <v>24.0</v>
      </c>
      <c r="D163" s="6">
        <v>3.0</v>
      </c>
    </row>
    <row r="164">
      <c r="A164" s="5" t="s">
        <v>53</v>
      </c>
      <c r="B164" s="5" t="s">
        <v>37</v>
      </c>
      <c r="C164" s="6">
        <v>3.0</v>
      </c>
      <c r="D164" s="6">
        <v>3.0</v>
      </c>
    </row>
    <row r="165">
      <c r="A165" s="5" t="s">
        <v>53</v>
      </c>
      <c r="B165" s="5" t="s">
        <v>37</v>
      </c>
      <c r="C165" s="6">
        <v>10.0</v>
      </c>
      <c r="D165" s="6">
        <v>3.0</v>
      </c>
    </row>
    <row r="166">
      <c r="A166" s="5" t="s">
        <v>53</v>
      </c>
      <c r="B166" s="5" t="s">
        <v>37</v>
      </c>
      <c r="C166" s="6">
        <v>17.0</v>
      </c>
      <c r="D166" s="6">
        <v>3.0</v>
      </c>
    </row>
    <row r="167">
      <c r="A167" s="5" t="s">
        <v>53</v>
      </c>
      <c r="B167" s="5" t="s">
        <v>37</v>
      </c>
      <c r="C167" s="6">
        <v>31.0</v>
      </c>
      <c r="D167" s="6">
        <v>3.0</v>
      </c>
    </row>
    <row r="168">
      <c r="A168" s="5" t="s">
        <v>53</v>
      </c>
      <c r="B168" s="5" t="s">
        <v>45</v>
      </c>
      <c r="C168" s="6">
        <v>25.0</v>
      </c>
      <c r="D168" s="6">
        <v>2.0</v>
      </c>
    </row>
    <row r="169">
      <c r="A169" s="5" t="s">
        <v>53</v>
      </c>
      <c r="B169" s="5" t="s">
        <v>45</v>
      </c>
      <c r="C169" s="6">
        <v>4.0</v>
      </c>
      <c r="D169" s="6">
        <v>2.0</v>
      </c>
    </row>
    <row r="170">
      <c r="A170" s="5" t="s">
        <v>53</v>
      </c>
      <c r="B170" s="5" t="s">
        <v>45</v>
      </c>
      <c r="C170" s="6">
        <v>11.0</v>
      </c>
      <c r="D170" s="6">
        <v>2.0</v>
      </c>
    </row>
    <row r="171">
      <c r="A171" s="5" t="s">
        <v>53</v>
      </c>
      <c r="B171" s="5" t="s">
        <v>45</v>
      </c>
      <c r="C171" s="6">
        <v>18.0</v>
      </c>
      <c r="D171" s="6">
        <v>2.0</v>
      </c>
    </row>
    <row r="172">
      <c r="A172" s="5" t="s">
        <v>53</v>
      </c>
      <c r="B172" s="5" t="s">
        <v>45</v>
      </c>
      <c r="C172" s="6">
        <v>32.0</v>
      </c>
      <c r="D172" s="6">
        <v>2.0</v>
      </c>
    </row>
    <row r="173">
      <c r="A173" s="5" t="s">
        <v>53</v>
      </c>
      <c r="B173" s="5" t="s">
        <v>39</v>
      </c>
      <c r="C173" s="6">
        <v>1.0</v>
      </c>
      <c r="D173" s="6">
        <v>30.0</v>
      </c>
    </row>
    <row r="174">
      <c r="A174" s="5" t="s">
        <v>53</v>
      </c>
      <c r="B174" s="5" t="s">
        <v>39</v>
      </c>
      <c r="C174" s="6">
        <v>31.0</v>
      </c>
      <c r="D174" s="6">
        <v>3.0</v>
      </c>
    </row>
    <row r="175">
      <c r="A175" s="5" t="s">
        <v>53</v>
      </c>
      <c r="B175" s="5" t="s">
        <v>40</v>
      </c>
      <c r="C175" s="6">
        <v>13.0</v>
      </c>
      <c r="D175" s="6">
        <v>4.0</v>
      </c>
    </row>
    <row r="176">
      <c r="A176" s="5" t="s">
        <v>53</v>
      </c>
      <c r="B176" s="5" t="s">
        <v>40</v>
      </c>
      <c r="C176" s="6">
        <v>20.0</v>
      </c>
      <c r="D176" s="6">
        <v>4.0</v>
      </c>
    </row>
    <row r="177">
      <c r="A177" s="5" t="s">
        <v>53</v>
      </c>
      <c r="B177" s="5" t="s">
        <v>40</v>
      </c>
      <c r="C177" s="6">
        <v>6.0</v>
      </c>
      <c r="D177" s="6">
        <v>4.0</v>
      </c>
    </row>
    <row r="178">
      <c r="A178" s="5" t="s">
        <v>53</v>
      </c>
      <c r="B178" s="5" t="s">
        <v>40</v>
      </c>
      <c r="C178" s="6">
        <v>27.0</v>
      </c>
      <c r="D178" s="6">
        <v>4.0</v>
      </c>
    </row>
    <row r="179">
      <c r="A179" s="5" t="s">
        <v>53</v>
      </c>
      <c r="B179" s="5" t="s">
        <v>40</v>
      </c>
      <c r="C179" s="6">
        <v>1.0</v>
      </c>
      <c r="D179" s="6">
        <v>2.0</v>
      </c>
    </row>
    <row r="180">
      <c r="A180" s="5" t="s">
        <v>53</v>
      </c>
      <c r="B180" s="5" t="s">
        <v>41</v>
      </c>
      <c r="C180" s="6">
        <v>13.0</v>
      </c>
      <c r="D180" s="6">
        <v>7.0</v>
      </c>
    </row>
    <row r="181">
      <c r="A181" s="5" t="s">
        <v>53</v>
      </c>
      <c r="B181" s="5" t="s">
        <v>41</v>
      </c>
      <c r="C181" s="6">
        <v>20.0</v>
      </c>
      <c r="D181" s="6">
        <v>7.0</v>
      </c>
    </row>
    <row r="182">
      <c r="A182" s="5" t="s">
        <v>53</v>
      </c>
      <c r="B182" s="5" t="s">
        <v>41</v>
      </c>
      <c r="C182" s="6">
        <v>27.0</v>
      </c>
      <c r="D182" s="6">
        <v>7.0</v>
      </c>
    </row>
    <row r="183">
      <c r="A183" s="5" t="s">
        <v>53</v>
      </c>
      <c r="B183" s="5" t="s">
        <v>41</v>
      </c>
      <c r="C183" s="6">
        <v>1.0</v>
      </c>
      <c r="D183" s="6">
        <v>5.0</v>
      </c>
    </row>
    <row r="184">
      <c r="A184" s="5" t="s">
        <v>53</v>
      </c>
      <c r="B184" s="5" t="s">
        <v>41</v>
      </c>
      <c r="C184" s="6">
        <v>6.0</v>
      </c>
      <c r="D184" s="6">
        <v>7.0</v>
      </c>
    </row>
    <row r="185">
      <c r="A185" s="5" t="s">
        <v>53</v>
      </c>
      <c r="B185" s="5" t="s">
        <v>42</v>
      </c>
      <c r="C185" s="6">
        <v>3.0</v>
      </c>
      <c r="D185" s="6">
        <v>3.0</v>
      </c>
    </row>
    <row r="186">
      <c r="A186" s="5" t="s">
        <v>53</v>
      </c>
      <c r="B186" s="5" t="s">
        <v>42</v>
      </c>
      <c r="C186" s="6">
        <v>10.0</v>
      </c>
      <c r="D186" s="6">
        <v>3.0</v>
      </c>
    </row>
    <row r="187">
      <c r="A187" s="5" t="s">
        <v>53</v>
      </c>
      <c r="B187" s="5" t="s">
        <v>42</v>
      </c>
      <c r="C187" s="6">
        <v>17.0</v>
      </c>
      <c r="D187" s="6">
        <v>3.0</v>
      </c>
    </row>
    <row r="188">
      <c r="A188" s="5" t="s">
        <v>53</v>
      </c>
      <c r="B188" s="5" t="s">
        <v>42</v>
      </c>
      <c r="C188" s="6">
        <v>24.0</v>
      </c>
      <c r="D188" s="6">
        <v>3.0</v>
      </c>
    </row>
    <row r="189">
      <c r="A189" s="5" t="s">
        <v>53</v>
      </c>
      <c r="B189" s="5" t="s">
        <v>42</v>
      </c>
      <c r="C189" s="6">
        <v>31.0</v>
      </c>
      <c r="D189" s="6">
        <v>3.0</v>
      </c>
    </row>
    <row r="190">
      <c r="A190" s="5" t="s">
        <v>53</v>
      </c>
      <c r="B190" s="5" t="s">
        <v>47</v>
      </c>
      <c r="C190" s="6">
        <v>6.0</v>
      </c>
      <c r="D190" s="6">
        <v>2.0</v>
      </c>
    </row>
    <row r="191">
      <c r="A191" s="5" t="s">
        <v>53</v>
      </c>
      <c r="B191" s="5" t="s">
        <v>47</v>
      </c>
      <c r="C191" s="6">
        <v>8.0</v>
      </c>
      <c r="D191" s="6">
        <v>2.0</v>
      </c>
    </row>
    <row r="192">
      <c r="A192" s="5" t="s">
        <v>53</v>
      </c>
      <c r="B192" s="5" t="s">
        <v>48</v>
      </c>
      <c r="C192" s="6">
        <v>13.0</v>
      </c>
      <c r="D192" s="6">
        <v>2.0</v>
      </c>
    </row>
    <row r="193">
      <c r="A193" s="5" t="s">
        <v>53</v>
      </c>
      <c r="B193" s="5" t="s">
        <v>48</v>
      </c>
      <c r="C193" s="6">
        <v>15.0</v>
      </c>
      <c r="D193" s="6">
        <v>2.0</v>
      </c>
    </row>
    <row r="194">
      <c r="A194" s="5" t="s">
        <v>53</v>
      </c>
      <c r="B194" s="5" t="s">
        <v>43</v>
      </c>
      <c r="C194" s="6">
        <v>17.0</v>
      </c>
      <c r="D194" s="6">
        <v>3.0</v>
      </c>
    </row>
    <row r="195">
      <c r="A195" s="5" t="s">
        <v>53</v>
      </c>
      <c r="B195" s="5" t="s">
        <v>43</v>
      </c>
      <c r="C195" s="6">
        <v>24.0</v>
      </c>
      <c r="D195" s="6">
        <v>3.0</v>
      </c>
    </row>
    <row r="196">
      <c r="A196" s="5" t="s">
        <v>53</v>
      </c>
      <c r="B196" s="5" t="s">
        <v>43</v>
      </c>
      <c r="C196" s="6">
        <v>31.0</v>
      </c>
      <c r="D196" s="6">
        <v>3.0</v>
      </c>
    </row>
    <row r="197">
      <c r="A197" s="5" t="s">
        <v>53</v>
      </c>
      <c r="B197" s="5" t="s">
        <v>43</v>
      </c>
      <c r="C197" s="6">
        <v>3.0</v>
      </c>
      <c r="D197" s="6">
        <v>3.0</v>
      </c>
    </row>
    <row r="198">
      <c r="A198" s="5" t="s">
        <v>53</v>
      </c>
      <c r="B198" s="5" t="s">
        <v>43</v>
      </c>
      <c r="C198" s="6">
        <v>10.0</v>
      </c>
      <c r="D198" s="6">
        <v>3.0</v>
      </c>
    </row>
    <row r="199">
      <c r="A199" s="5" t="s">
        <v>53</v>
      </c>
      <c r="B199" s="5" t="s">
        <v>50</v>
      </c>
      <c r="C199" s="6">
        <v>20.0</v>
      </c>
      <c r="D199" s="6">
        <v>2.0</v>
      </c>
    </row>
    <row r="200">
      <c r="A200" s="5" t="s">
        <v>53</v>
      </c>
      <c r="B200" s="5" t="s">
        <v>50</v>
      </c>
      <c r="C200" s="6">
        <v>22.0</v>
      </c>
      <c r="D200" s="6">
        <v>2.0</v>
      </c>
    </row>
    <row r="201">
      <c r="A201" s="5" t="s">
        <v>53</v>
      </c>
      <c r="B201" s="5" t="s">
        <v>51</v>
      </c>
      <c r="C201" s="6">
        <v>1.0</v>
      </c>
      <c r="D201" s="6">
        <v>2.0</v>
      </c>
    </row>
    <row r="202">
      <c r="A202" s="5" t="s">
        <v>53</v>
      </c>
      <c r="B202" s="5" t="s">
        <v>51</v>
      </c>
      <c r="C202" s="6">
        <v>27.0</v>
      </c>
      <c r="D202" s="6">
        <v>2.0</v>
      </c>
    </row>
    <row r="203">
      <c r="A203" s="5" t="s">
        <v>53</v>
      </c>
      <c r="B203" s="5" t="s">
        <v>51</v>
      </c>
      <c r="C203" s="6">
        <v>29.0</v>
      </c>
      <c r="D203" s="6">
        <v>2.0</v>
      </c>
    </row>
    <row r="204">
      <c r="A204" s="5" t="s">
        <v>53</v>
      </c>
      <c r="B204" s="5" t="s">
        <v>46</v>
      </c>
      <c r="C204" s="6">
        <v>3.0</v>
      </c>
      <c r="D204" s="6">
        <v>1.0</v>
      </c>
    </row>
    <row r="205">
      <c r="A205" s="5" t="s">
        <v>53</v>
      </c>
      <c r="B205" s="5" t="s">
        <v>46</v>
      </c>
      <c r="C205" s="6">
        <v>4.0</v>
      </c>
      <c r="D205" s="6">
        <v>1.0</v>
      </c>
    </row>
    <row r="206">
      <c r="A206" s="5" t="s">
        <v>53</v>
      </c>
      <c r="B206" s="5" t="s">
        <v>46</v>
      </c>
      <c r="C206" s="6">
        <v>5.0</v>
      </c>
      <c r="D206" s="6">
        <v>1.0</v>
      </c>
    </row>
    <row r="207">
      <c r="A207" s="5" t="s">
        <v>53</v>
      </c>
      <c r="B207" s="5" t="s">
        <v>46</v>
      </c>
      <c r="C207" s="6">
        <v>10.0</v>
      </c>
      <c r="D207" s="6">
        <v>1.0</v>
      </c>
    </row>
    <row r="208">
      <c r="A208" s="5" t="s">
        <v>53</v>
      </c>
      <c r="B208" s="5" t="s">
        <v>46</v>
      </c>
      <c r="C208" s="6">
        <v>11.0</v>
      </c>
      <c r="D208" s="6">
        <v>1.0</v>
      </c>
    </row>
    <row r="209">
      <c r="A209" s="5" t="s">
        <v>53</v>
      </c>
      <c r="B209" s="5" t="s">
        <v>46</v>
      </c>
      <c r="C209" s="6">
        <v>12.0</v>
      </c>
      <c r="D209" s="6">
        <v>1.0</v>
      </c>
    </row>
    <row r="210">
      <c r="A210" s="5" t="s">
        <v>53</v>
      </c>
      <c r="B210" s="5" t="s">
        <v>46</v>
      </c>
      <c r="C210" s="6">
        <v>17.0</v>
      </c>
      <c r="D210" s="6">
        <v>1.0</v>
      </c>
    </row>
    <row r="211">
      <c r="A211" s="5" t="s">
        <v>53</v>
      </c>
      <c r="B211" s="5" t="s">
        <v>46</v>
      </c>
      <c r="C211" s="6">
        <v>18.0</v>
      </c>
      <c r="D211" s="6">
        <v>1.0</v>
      </c>
    </row>
    <row r="212">
      <c r="A212" s="5" t="s">
        <v>53</v>
      </c>
      <c r="B212" s="5" t="s">
        <v>46</v>
      </c>
      <c r="C212" s="6">
        <v>19.0</v>
      </c>
      <c r="D212" s="6">
        <v>1.0</v>
      </c>
    </row>
    <row r="213">
      <c r="A213" s="5" t="s">
        <v>53</v>
      </c>
      <c r="B213" s="5" t="s">
        <v>46</v>
      </c>
      <c r="C213" s="6">
        <v>24.0</v>
      </c>
      <c r="D213" s="6">
        <v>1.0</v>
      </c>
    </row>
    <row r="214">
      <c r="A214" s="5" t="s">
        <v>53</v>
      </c>
      <c r="B214" s="5" t="s">
        <v>46</v>
      </c>
      <c r="C214" s="6">
        <v>25.0</v>
      </c>
      <c r="D214" s="6">
        <v>1.0</v>
      </c>
    </row>
    <row r="215">
      <c r="A215" s="5" t="s">
        <v>53</v>
      </c>
      <c r="B215" s="5" t="s">
        <v>46</v>
      </c>
      <c r="C215" s="6">
        <v>26.0</v>
      </c>
      <c r="D215" s="6">
        <v>1.0</v>
      </c>
    </row>
    <row r="216">
      <c r="A216" s="5" t="s">
        <v>53</v>
      </c>
      <c r="B216" s="5" t="s">
        <v>46</v>
      </c>
      <c r="C216" s="6">
        <v>31.0</v>
      </c>
      <c r="D216" s="6">
        <v>1.0</v>
      </c>
    </row>
    <row r="217">
      <c r="A217" s="5" t="s">
        <v>53</v>
      </c>
      <c r="B217" s="5" t="s">
        <v>46</v>
      </c>
      <c r="C217" s="6">
        <v>32.0</v>
      </c>
      <c r="D217" s="6">
        <v>1.0</v>
      </c>
    </row>
    <row r="218">
      <c r="A218" s="5" t="s">
        <v>53</v>
      </c>
      <c r="B218" s="5" t="s">
        <v>46</v>
      </c>
      <c r="C218" s="6">
        <v>33.0</v>
      </c>
      <c r="D218" s="6">
        <v>1.0</v>
      </c>
    </row>
    <row r="219">
      <c r="A219" s="5" t="s">
        <v>53</v>
      </c>
      <c r="B219" s="5" t="s">
        <v>49</v>
      </c>
      <c r="C219" s="6">
        <v>1.0</v>
      </c>
      <c r="D219" s="6">
        <v>1.0</v>
      </c>
    </row>
    <row r="220">
      <c r="A220" s="5" t="s">
        <v>53</v>
      </c>
      <c r="B220" s="5" t="s">
        <v>49</v>
      </c>
      <c r="C220" s="6">
        <v>2.0</v>
      </c>
      <c r="D220" s="6">
        <v>1.0</v>
      </c>
    </row>
    <row r="221">
      <c r="A221" s="5" t="s">
        <v>53</v>
      </c>
      <c r="B221" s="5" t="s">
        <v>49</v>
      </c>
      <c r="C221" s="6">
        <v>6.0</v>
      </c>
      <c r="D221" s="6">
        <v>1.0</v>
      </c>
    </row>
    <row r="222">
      <c r="A222" s="5" t="s">
        <v>53</v>
      </c>
      <c r="B222" s="5" t="s">
        <v>49</v>
      </c>
      <c r="C222" s="6">
        <v>7.0</v>
      </c>
      <c r="D222" s="6">
        <v>1.0</v>
      </c>
    </row>
    <row r="223">
      <c r="A223" s="5" t="s">
        <v>53</v>
      </c>
      <c r="B223" s="5" t="s">
        <v>49</v>
      </c>
      <c r="C223" s="6">
        <v>8.0</v>
      </c>
      <c r="D223" s="6">
        <v>1.0</v>
      </c>
    </row>
    <row r="224">
      <c r="A224" s="5" t="s">
        <v>53</v>
      </c>
      <c r="B224" s="5" t="s">
        <v>49</v>
      </c>
      <c r="C224" s="6">
        <v>9.0</v>
      </c>
      <c r="D224" s="6">
        <v>1.0</v>
      </c>
    </row>
    <row r="225">
      <c r="A225" s="5" t="s">
        <v>53</v>
      </c>
      <c r="B225" s="5" t="s">
        <v>49</v>
      </c>
      <c r="C225" s="6">
        <v>13.0</v>
      </c>
      <c r="D225" s="6">
        <v>1.0</v>
      </c>
    </row>
    <row r="226">
      <c r="A226" s="5" t="s">
        <v>53</v>
      </c>
      <c r="B226" s="5" t="s">
        <v>49</v>
      </c>
      <c r="C226" s="6">
        <v>14.0</v>
      </c>
      <c r="D226" s="6">
        <v>1.0</v>
      </c>
    </row>
    <row r="227">
      <c r="A227" s="5" t="s">
        <v>53</v>
      </c>
      <c r="B227" s="5" t="s">
        <v>49</v>
      </c>
      <c r="C227" s="6">
        <v>15.0</v>
      </c>
      <c r="D227" s="6">
        <v>1.0</v>
      </c>
    </row>
    <row r="228">
      <c r="A228" s="5" t="s">
        <v>53</v>
      </c>
      <c r="B228" s="5" t="s">
        <v>49</v>
      </c>
      <c r="C228" s="6">
        <v>16.0</v>
      </c>
      <c r="D228" s="6">
        <v>1.0</v>
      </c>
    </row>
    <row r="229">
      <c r="A229" s="5" t="s">
        <v>53</v>
      </c>
      <c r="B229" s="5" t="s">
        <v>49</v>
      </c>
      <c r="C229" s="6">
        <v>20.0</v>
      </c>
      <c r="D229" s="6">
        <v>1.0</v>
      </c>
    </row>
    <row r="230">
      <c r="A230" s="5" t="s">
        <v>53</v>
      </c>
      <c r="B230" s="5" t="s">
        <v>49</v>
      </c>
      <c r="C230" s="6">
        <v>21.0</v>
      </c>
      <c r="D230" s="6">
        <v>1.0</v>
      </c>
    </row>
    <row r="231">
      <c r="A231" s="5" t="s">
        <v>53</v>
      </c>
      <c r="B231" s="5" t="s">
        <v>49</v>
      </c>
      <c r="C231" s="6">
        <v>22.0</v>
      </c>
      <c r="D231" s="6">
        <v>1.0</v>
      </c>
    </row>
    <row r="232">
      <c r="A232" s="5" t="s">
        <v>53</v>
      </c>
      <c r="B232" s="5" t="s">
        <v>49</v>
      </c>
      <c r="C232" s="6">
        <v>23.0</v>
      </c>
      <c r="D232" s="6">
        <v>1.0</v>
      </c>
    </row>
    <row r="233">
      <c r="A233" s="5" t="s">
        <v>53</v>
      </c>
      <c r="B233" s="5" t="s">
        <v>49</v>
      </c>
      <c r="C233" s="6">
        <v>27.0</v>
      </c>
      <c r="D233" s="6">
        <v>1.0</v>
      </c>
    </row>
    <row r="234">
      <c r="A234" s="5" t="s">
        <v>53</v>
      </c>
      <c r="B234" s="5" t="s">
        <v>49</v>
      </c>
      <c r="C234" s="6">
        <v>28.0</v>
      </c>
      <c r="D234" s="6">
        <v>1.0</v>
      </c>
    </row>
    <row r="235">
      <c r="A235" s="5" t="s">
        <v>53</v>
      </c>
      <c r="B235" s="5" t="s">
        <v>49</v>
      </c>
      <c r="C235" s="6">
        <v>29.0</v>
      </c>
      <c r="D235" s="6">
        <v>1.0</v>
      </c>
    </row>
    <row r="236">
      <c r="A236" s="5" t="s">
        <v>53</v>
      </c>
      <c r="B236" s="5" t="s">
        <v>49</v>
      </c>
      <c r="C236" s="6">
        <v>30.0</v>
      </c>
      <c r="D236" s="6">
        <v>1.0</v>
      </c>
    </row>
    <row r="237">
      <c r="A237" s="5" t="s">
        <v>53</v>
      </c>
      <c r="B237" s="5" t="s">
        <v>32</v>
      </c>
      <c r="C237" s="6">
        <v>3.0</v>
      </c>
      <c r="D237" s="6">
        <v>1.0</v>
      </c>
    </row>
    <row r="238">
      <c r="A238" s="5" t="s">
        <v>53</v>
      </c>
      <c r="B238" s="5" t="s">
        <v>32</v>
      </c>
      <c r="C238" s="6">
        <v>4.0</v>
      </c>
      <c r="D238" s="6">
        <v>1.0</v>
      </c>
    </row>
    <row r="239">
      <c r="A239" s="5" t="s">
        <v>53</v>
      </c>
      <c r="B239" s="5" t="s">
        <v>32</v>
      </c>
      <c r="C239" s="6">
        <v>5.0</v>
      </c>
      <c r="D239" s="6">
        <v>1.0</v>
      </c>
    </row>
    <row r="240">
      <c r="A240" s="5" t="s">
        <v>53</v>
      </c>
      <c r="B240" s="5" t="s">
        <v>32</v>
      </c>
      <c r="C240" s="6">
        <v>10.0</v>
      </c>
      <c r="D240" s="6">
        <v>1.0</v>
      </c>
    </row>
    <row r="241">
      <c r="A241" s="5" t="s">
        <v>53</v>
      </c>
      <c r="B241" s="5" t="s">
        <v>32</v>
      </c>
      <c r="C241" s="6">
        <v>11.0</v>
      </c>
      <c r="D241" s="6">
        <v>1.0</v>
      </c>
    </row>
    <row r="242">
      <c r="A242" s="5" t="s">
        <v>53</v>
      </c>
      <c r="B242" s="5" t="s">
        <v>32</v>
      </c>
      <c r="C242" s="6">
        <v>12.0</v>
      </c>
      <c r="D242" s="6">
        <v>1.0</v>
      </c>
    </row>
    <row r="243">
      <c r="A243" s="5" t="s">
        <v>53</v>
      </c>
      <c r="B243" s="5" t="s">
        <v>32</v>
      </c>
      <c r="C243" s="6">
        <v>17.0</v>
      </c>
      <c r="D243" s="6">
        <v>1.0</v>
      </c>
    </row>
    <row r="244">
      <c r="A244" s="5" t="s">
        <v>53</v>
      </c>
      <c r="B244" s="5" t="s">
        <v>32</v>
      </c>
      <c r="C244" s="6">
        <v>18.0</v>
      </c>
      <c r="D244" s="6">
        <v>1.0</v>
      </c>
    </row>
    <row r="245">
      <c r="A245" s="5" t="s">
        <v>53</v>
      </c>
      <c r="B245" s="5" t="s">
        <v>32</v>
      </c>
      <c r="C245" s="6">
        <v>19.0</v>
      </c>
      <c r="D245" s="6">
        <v>1.0</v>
      </c>
    </row>
    <row r="246">
      <c r="A246" s="5" t="s">
        <v>53</v>
      </c>
      <c r="B246" s="5" t="s">
        <v>32</v>
      </c>
      <c r="C246" s="6">
        <v>24.0</v>
      </c>
      <c r="D246" s="6">
        <v>1.0</v>
      </c>
    </row>
    <row r="247">
      <c r="A247" s="5" t="s">
        <v>53</v>
      </c>
      <c r="B247" s="5" t="s">
        <v>32</v>
      </c>
      <c r="C247" s="6">
        <v>25.0</v>
      </c>
      <c r="D247" s="6">
        <v>1.0</v>
      </c>
    </row>
    <row r="248">
      <c r="A248" s="5" t="s">
        <v>53</v>
      </c>
      <c r="B248" s="5" t="s">
        <v>32</v>
      </c>
      <c r="C248" s="6">
        <v>26.0</v>
      </c>
      <c r="D248" s="6">
        <v>1.0</v>
      </c>
    </row>
    <row r="249">
      <c r="A249" s="5" t="s">
        <v>53</v>
      </c>
      <c r="B249" s="5" t="s">
        <v>32</v>
      </c>
      <c r="C249" s="6">
        <v>31.0</v>
      </c>
      <c r="D249" s="6">
        <v>1.0</v>
      </c>
    </row>
    <row r="250">
      <c r="A250" s="5" t="s">
        <v>53</v>
      </c>
      <c r="B250" s="5" t="s">
        <v>32</v>
      </c>
      <c r="C250" s="6">
        <v>32.0</v>
      </c>
      <c r="D250" s="6">
        <v>1.0</v>
      </c>
    </row>
    <row r="251">
      <c r="A251" s="5" t="s">
        <v>53</v>
      </c>
      <c r="B251" s="5" t="s">
        <v>32</v>
      </c>
      <c r="C251" s="6">
        <v>33.0</v>
      </c>
      <c r="D251" s="6">
        <v>1.0</v>
      </c>
    </row>
    <row r="252">
      <c r="A252" s="5" t="s">
        <v>53</v>
      </c>
      <c r="B252" s="5" t="s">
        <v>52</v>
      </c>
      <c r="C252" s="6">
        <v>1.0</v>
      </c>
      <c r="D252" s="6">
        <v>1.0</v>
      </c>
    </row>
    <row r="253">
      <c r="A253" s="5" t="s">
        <v>53</v>
      </c>
      <c r="B253" s="5" t="s">
        <v>52</v>
      </c>
      <c r="C253" s="6">
        <v>2.0</v>
      </c>
      <c r="D253" s="6">
        <v>1.0</v>
      </c>
    </row>
    <row r="254">
      <c r="A254" s="5" t="s">
        <v>53</v>
      </c>
      <c r="B254" s="5" t="s">
        <v>52</v>
      </c>
      <c r="C254" s="6">
        <v>3.0</v>
      </c>
      <c r="D254" s="6">
        <v>1.0</v>
      </c>
    </row>
    <row r="255">
      <c r="A255" s="5" t="s">
        <v>53</v>
      </c>
      <c r="B255" s="5" t="s">
        <v>52</v>
      </c>
      <c r="C255" s="6">
        <v>4.0</v>
      </c>
      <c r="D255" s="6">
        <v>1.0</v>
      </c>
    </row>
    <row r="256">
      <c r="A256" s="5" t="s">
        <v>53</v>
      </c>
      <c r="B256" s="5" t="s">
        <v>52</v>
      </c>
      <c r="C256" s="6">
        <v>5.0</v>
      </c>
      <c r="D256" s="6">
        <v>1.0</v>
      </c>
    </row>
    <row r="257">
      <c r="A257" s="5" t="s">
        <v>53</v>
      </c>
      <c r="B257" s="5" t="s">
        <v>52</v>
      </c>
      <c r="C257" s="6">
        <v>6.0</v>
      </c>
      <c r="D257" s="6">
        <v>1.0</v>
      </c>
    </row>
    <row r="258">
      <c r="A258" s="5" t="s">
        <v>53</v>
      </c>
      <c r="B258" s="5" t="s">
        <v>52</v>
      </c>
      <c r="C258" s="6">
        <v>7.0</v>
      </c>
      <c r="D258" s="6">
        <v>1.0</v>
      </c>
    </row>
    <row r="259">
      <c r="A259" s="5" t="s">
        <v>53</v>
      </c>
      <c r="B259" s="5" t="s">
        <v>52</v>
      </c>
      <c r="C259" s="6">
        <v>8.0</v>
      </c>
      <c r="D259" s="6">
        <v>1.0</v>
      </c>
    </row>
    <row r="260">
      <c r="A260" s="5" t="s">
        <v>53</v>
      </c>
      <c r="B260" s="5" t="s">
        <v>52</v>
      </c>
      <c r="C260" s="6">
        <v>9.0</v>
      </c>
      <c r="D260" s="6">
        <v>1.0</v>
      </c>
    </row>
    <row r="261">
      <c r="A261" s="5" t="s">
        <v>53</v>
      </c>
      <c r="B261" s="5" t="s">
        <v>52</v>
      </c>
      <c r="C261" s="6">
        <v>10.0</v>
      </c>
      <c r="D261" s="6">
        <v>1.0</v>
      </c>
    </row>
    <row r="262">
      <c r="A262" s="5" t="s">
        <v>53</v>
      </c>
      <c r="B262" s="5" t="s">
        <v>52</v>
      </c>
      <c r="C262" s="6">
        <v>11.0</v>
      </c>
      <c r="D262" s="6">
        <v>1.0</v>
      </c>
    </row>
    <row r="263">
      <c r="A263" s="5" t="s">
        <v>53</v>
      </c>
      <c r="B263" s="5" t="s">
        <v>52</v>
      </c>
      <c r="C263" s="6">
        <v>12.0</v>
      </c>
      <c r="D263" s="6">
        <v>1.0</v>
      </c>
    </row>
    <row r="264">
      <c r="A264" s="5" t="s">
        <v>53</v>
      </c>
      <c r="B264" s="5" t="s">
        <v>52</v>
      </c>
      <c r="C264" s="6">
        <v>13.0</v>
      </c>
      <c r="D264" s="6">
        <v>1.0</v>
      </c>
    </row>
    <row r="265">
      <c r="A265" s="5" t="s">
        <v>53</v>
      </c>
      <c r="B265" s="5" t="s">
        <v>52</v>
      </c>
      <c r="C265" s="6">
        <v>14.0</v>
      </c>
      <c r="D265" s="6">
        <v>1.0</v>
      </c>
    </row>
    <row r="266">
      <c r="A266" s="5" t="s">
        <v>53</v>
      </c>
      <c r="B266" s="5" t="s">
        <v>52</v>
      </c>
      <c r="C266" s="6">
        <v>15.0</v>
      </c>
      <c r="D266" s="6">
        <v>1.0</v>
      </c>
    </row>
    <row r="267">
      <c r="A267" s="5" t="s">
        <v>53</v>
      </c>
      <c r="B267" s="5" t="s">
        <v>52</v>
      </c>
      <c r="C267" s="6">
        <v>16.0</v>
      </c>
      <c r="D267" s="6">
        <v>1.0</v>
      </c>
    </row>
    <row r="268">
      <c r="A268" s="5" t="s">
        <v>53</v>
      </c>
      <c r="B268" s="5" t="s">
        <v>52</v>
      </c>
      <c r="C268" s="6">
        <v>17.0</v>
      </c>
      <c r="D268" s="6">
        <v>1.0</v>
      </c>
    </row>
    <row r="269">
      <c r="A269" s="5" t="s">
        <v>53</v>
      </c>
      <c r="B269" s="5" t="s">
        <v>52</v>
      </c>
      <c r="C269" s="6">
        <v>18.0</v>
      </c>
      <c r="D269" s="6">
        <v>1.0</v>
      </c>
    </row>
    <row r="270">
      <c r="A270" s="5" t="s">
        <v>53</v>
      </c>
      <c r="B270" s="5" t="s">
        <v>52</v>
      </c>
      <c r="C270" s="6">
        <v>19.0</v>
      </c>
      <c r="D270" s="6">
        <v>1.0</v>
      </c>
    </row>
    <row r="271">
      <c r="A271" s="5" t="s">
        <v>53</v>
      </c>
      <c r="B271" s="5" t="s">
        <v>52</v>
      </c>
      <c r="C271" s="6">
        <v>20.0</v>
      </c>
      <c r="D271" s="6">
        <v>1.0</v>
      </c>
    </row>
    <row r="272">
      <c r="A272" s="5" t="s">
        <v>53</v>
      </c>
      <c r="B272" s="5" t="s">
        <v>52</v>
      </c>
      <c r="C272" s="6">
        <v>21.0</v>
      </c>
      <c r="D272" s="6">
        <v>1.0</v>
      </c>
    </row>
    <row r="273">
      <c r="A273" s="5" t="s">
        <v>53</v>
      </c>
      <c r="B273" s="5" t="s">
        <v>52</v>
      </c>
      <c r="C273" s="6">
        <v>22.0</v>
      </c>
      <c r="D273" s="6">
        <v>1.0</v>
      </c>
    </row>
    <row r="274">
      <c r="A274" s="5" t="s">
        <v>53</v>
      </c>
      <c r="B274" s="5" t="s">
        <v>52</v>
      </c>
      <c r="C274" s="6">
        <v>23.0</v>
      </c>
      <c r="D274" s="6">
        <v>1.0</v>
      </c>
    </row>
    <row r="275">
      <c r="A275" s="5" t="s">
        <v>53</v>
      </c>
      <c r="B275" s="5" t="s">
        <v>52</v>
      </c>
      <c r="C275" s="6">
        <v>24.0</v>
      </c>
      <c r="D275" s="6">
        <v>1.0</v>
      </c>
    </row>
    <row r="276">
      <c r="A276" s="5" t="s">
        <v>53</v>
      </c>
      <c r="B276" s="5" t="s">
        <v>52</v>
      </c>
      <c r="C276" s="6">
        <v>25.0</v>
      </c>
      <c r="D276" s="6">
        <v>1.0</v>
      </c>
    </row>
    <row r="277">
      <c r="A277" s="5" t="s">
        <v>53</v>
      </c>
      <c r="B277" s="5" t="s">
        <v>52</v>
      </c>
      <c r="C277" s="6">
        <v>26.0</v>
      </c>
      <c r="D277" s="6">
        <v>1.0</v>
      </c>
    </row>
    <row r="278">
      <c r="A278" s="5" t="s">
        <v>53</v>
      </c>
      <c r="B278" s="5" t="s">
        <v>52</v>
      </c>
      <c r="C278" s="6">
        <v>27.0</v>
      </c>
      <c r="D278" s="6">
        <v>1.0</v>
      </c>
    </row>
    <row r="279">
      <c r="A279" s="5" t="s">
        <v>53</v>
      </c>
      <c r="B279" s="5" t="s">
        <v>52</v>
      </c>
      <c r="C279" s="6">
        <v>28.0</v>
      </c>
      <c r="D279" s="6">
        <v>1.0</v>
      </c>
    </row>
    <row r="280">
      <c r="A280" s="5" t="s">
        <v>53</v>
      </c>
      <c r="B280" s="5" t="s">
        <v>52</v>
      </c>
      <c r="C280" s="6">
        <v>29.0</v>
      </c>
      <c r="D280" s="6">
        <v>1.0</v>
      </c>
    </row>
    <row r="281">
      <c r="A281" s="5" t="s">
        <v>53</v>
      </c>
      <c r="B281" s="5" t="s">
        <v>52</v>
      </c>
      <c r="C281" s="6">
        <v>30.0</v>
      </c>
      <c r="D281" s="6">
        <v>1.0</v>
      </c>
    </row>
    <row r="282">
      <c r="A282" s="5" t="s">
        <v>53</v>
      </c>
      <c r="B282" s="5" t="s">
        <v>52</v>
      </c>
      <c r="C282" s="6">
        <v>31.0</v>
      </c>
      <c r="D282" s="6">
        <v>1.0</v>
      </c>
    </row>
    <row r="283">
      <c r="A283" s="5" t="s">
        <v>53</v>
      </c>
      <c r="B283" s="5" t="s">
        <v>52</v>
      </c>
      <c r="C283" s="6">
        <v>32.0</v>
      </c>
      <c r="D283" s="6">
        <v>1.0</v>
      </c>
    </row>
    <row r="284">
      <c r="A284" s="5" t="s">
        <v>53</v>
      </c>
      <c r="B284" s="5" t="s">
        <v>52</v>
      </c>
      <c r="C284" s="6">
        <v>33.0</v>
      </c>
      <c r="D284" s="6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7" width="8.38"/>
    <col customWidth="1" min="8" max="8" width="7.5"/>
    <col customWidth="1" min="9" max="9" width="7.63"/>
    <col customWidth="1" min="10" max="10" width="7.5"/>
    <col customWidth="1" min="11" max="11" width="7.63"/>
    <col customWidth="1" min="12" max="12" width="3.88"/>
    <col customWidth="1" min="13" max="13" width="3.38"/>
    <col customWidth="1" min="14" max="14" width="2.5"/>
    <col customWidth="1" min="15" max="15" width="3.38"/>
    <col customWidth="1" min="16" max="16" width="2.5"/>
    <col customWidth="1" min="17" max="17" width="3.38"/>
    <col customWidth="1" min="18" max="18" width="2.5"/>
    <col customWidth="1" min="19" max="19" width="3.88"/>
    <col customWidth="1" hidden="1" min="20" max="21" width="11.13"/>
    <col customWidth="1" min="22" max="22" width="3.88"/>
    <col customWidth="1" min="23" max="33" width="9.38"/>
    <col hidden="1" min="36" max="37" width="12.63"/>
  </cols>
  <sheetData>
    <row r="1" ht="17.25" customHeight="1">
      <c r="A1" s="7" t="s">
        <v>55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ht="15.0" customHeight="1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ht="15.0" customHeight="1">
      <c r="A3" s="9"/>
      <c r="B3" s="10" t="s">
        <v>56</v>
      </c>
      <c r="C3" s="8"/>
      <c r="D3" s="10" t="s">
        <v>57</v>
      </c>
      <c r="E3" s="8"/>
      <c r="F3" s="10" t="s">
        <v>58</v>
      </c>
      <c r="G3" s="8"/>
      <c r="H3" s="10" t="s">
        <v>59</v>
      </c>
      <c r="I3" s="8"/>
      <c r="J3" s="10" t="s">
        <v>60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11" t="s">
        <v>61</v>
      </c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>
      <c r="A4" s="12" t="s">
        <v>62</v>
      </c>
      <c r="B4" s="12" t="s">
        <v>63</v>
      </c>
      <c r="C4" s="12" t="s">
        <v>64</v>
      </c>
      <c r="D4" s="12" t="s">
        <v>63</v>
      </c>
      <c r="E4" s="12" t="s">
        <v>64</v>
      </c>
      <c r="F4" s="12" t="s">
        <v>63</v>
      </c>
      <c r="G4" s="12" t="s">
        <v>64</v>
      </c>
      <c r="H4" s="12" t="s">
        <v>63</v>
      </c>
      <c r="I4" s="12" t="s">
        <v>64</v>
      </c>
      <c r="J4" s="12" t="s">
        <v>63</v>
      </c>
      <c r="K4" s="12" t="s">
        <v>64</v>
      </c>
      <c r="L4" s="13"/>
      <c r="M4" s="14" t="s">
        <v>65</v>
      </c>
      <c r="R4" s="15"/>
      <c r="S4" s="13"/>
      <c r="T4" s="16" t="s">
        <v>66</v>
      </c>
      <c r="U4" s="16" t="s">
        <v>67</v>
      </c>
      <c r="V4" s="8"/>
      <c r="W4" s="17" t="s">
        <v>68</v>
      </c>
      <c r="X4" s="17" t="s">
        <v>69</v>
      </c>
      <c r="Y4" s="17" t="s">
        <v>70</v>
      </c>
      <c r="Z4" s="17" t="s">
        <v>71</v>
      </c>
      <c r="AA4" s="17" t="s">
        <v>72</v>
      </c>
      <c r="AB4" s="17" t="s">
        <v>73</v>
      </c>
      <c r="AC4" s="17" t="s">
        <v>74</v>
      </c>
      <c r="AD4" s="18" t="s">
        <v>75</v>
      </c>
      <c r="AE4" s="17" t="s">
        <v>76</v>
      </c>
      <c r="AF4" s="17" t="s">
        <v>77</v>
      </c>
      <c r="AG4" s="17" t="s">
        <v>78</v>
      </c>
      <c r="AH4" s="18" t="s">
        <v>79</v>
      </c>
      <c r="AI4" s="13"/>
      <c r="AJ4" s="17" t="s">
        <v>80</v>
      </c>
      <c r="AK4" s="17" t="s">
        <v>81</v>
      </c>
      <c r="AL4" s="13"/>
    </row>
    <row r="5" ht="15.0" customHeight="1">
      <c r="A5" s="19">
        <v>1.0</v>
      </c>
      <c r="B5" s="20">
        <v>10.0</v>
      </c>
      <c r="C5" s="21">
        <v>10.0</v>
      </c>
      <c r="D5" s="20">
        <v>10.0</v>
      </c>
      <c r="E5" s="21">
        <v>10.0</v>
      </c>
      <c r="F5" s="20">
        <v>10.0</v>
      </c>
      <c r="G5" s="21">
        <v>10.0</v>
      </c>
      <c r="H5" s="20">
        <v>10.0</v>
      </c>
      <c r="I5" s="21">
        <v>10.0</v>
      </c>
      <c r="J5" s="20">
        <v>10.0</v>
      </c>
      <c r="K5" s="21">
        <v>10.0</v>
      </c>
      <c r="L5" s="22"/>
      <c r="M5" s="23" t="str">
        <f>IFERROR(__xludf.DUMMYFUNCTION("LET(
  names, HSTACK(""Coins"", W$4:AG$4),
  amounts, HSTACK(C5, W5:AG5),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5" s="24">
        <f>IFERROR(__xludf.DUMMYFUNCTION("""COMPUTED_VALUE"""),10.0)</f>
        <v>10</v>
      </c>
      <c r="O5" s="25" t="str">
        <f>IFERROR(__xludf.DUMMYFUNCTION("""COMPUTED_VALUE"""),"")</f>
        <v/>
      </c>
      <c r="P5" s="24">
        <f>IFERROR(__xludf.DUMMYFUNCTION("""COMPUTED_VALUE"""),1.0)</f>
        <v>1</v>
      </c>
      <c r="Q5" s="25" t="str">
        <f>IFERROR(__xludf.DUMMYFUNCTION("""COMPUTED_VALUE"""),"")</f>
        <v/>
      </c>
      <c r="R5" s="26">
        <f>IFERROR(__xludf.DUMMYFUNCTION("""COMPUTED_VALUE"""),15.0)</f>
        <v>15</v>
      </c>
      <c r="S5" s="22"/>
      <c r="T5" s="27">
        <v>15.0</v>
      </c>
      <c r="U5" s="28">
        <v>10.0</v>
      </c>
      <c r="V5" s="22"/>
      <c r="W5" s="29">
        <v>0.0</v>
      </c>
      <c r="X5" s="30">
        <v>1.0</v>
      </c>
      <c r="Y5" s="30">
        <v>0.0</v>
      </c>
      <c r="Z5" s="31">
        <v>0.0</v>
      </c>
      <c r="AA5" s="31">
        <v>0.0</v>
      </c>
      <c r="AB5" s="31">
        <v>0.0</v>
      </c>
      <c r="AC5" s="31">
        <v>0.0</v>
      </c>
      <c r="AD5" s="32">
        <v>15.0</v>
      </c>
      <c r="AE5" s="31">
        <v>0.0</v>
      </c>
      <c r="AF5" s="31">
        <v>0.0</v>
      </c>
      <c r="AG5" s="33">
        <v>0.0</v>
      </c>
      <c r="AH5" s="34">
        <f t="shared" ref="AH5:AH14" si="1">SUMPRODUCT(W5:AG5, {0,33,50,67,167,67,50,4.17,7.56,12.17,16.22})</f>
        <v>95.55</v>
      </c>
      <c r="AI5" s="8">
        <v>100.0</v>
      </c>
      <c r="AJ5" s="35" t="s">
        <v>82</v>
      </c>
      <c r="AK5" s="11"/>
      <c r="AL5" s="8">
        <f t="shared" ref="AL5:AL14" si="2">AH5-AI5</f>
        <v>-4.45</v>
      </c>
    </row>
    <row r="6" ht="15.0" customHeight="1">
      <c r="A6" s="36">
        <v>2.0</v>
      </c>
      <c r="B6" s="37">
        <v>10.0</v>
      </c>
      <c r="C6" s="38">
        <v>0.0</v>
      </c>
      <c r="D6" s="37">
        <v>10.0</v>
      </c>
      <c r="E6" s="38">
        <v>0.0</v>
      </c>
      <c r="F6" s="37">
        <v>10.0</v>
      </c>
      <c r="G6" s="38">
        <v>0.0</v>
      </c>
      <c r="H6" s="37">
        <v>10.0</v>
      </c>
      <c r="I6" s="38">
        <v>0.0</v>
      </c>
      <c r="J6" s="37">
        <v>10.0</v>
      </c>
      <c r="K6" s="38">
        <v>0.0</v>
      </c>
      <c r="L6" s="22"/>
      <c r="M6" s="23" t="str">
        <f>IFERROR(__xludf.DUMMYFUNCTION("LET(
  names, HSTACK(""Coins"", W$4:AG$4),
  amounts, HSTACK(C6, W6:AG6),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6" s="24">
        <f>IFERROR(__xludf.DUMMYFUNCTION("""COMPUTED_VALUE"""),1.0)</f>
        <v>1</v>
      </c>
      <c r="O6" s="25" t="str">
        <f>IFERROR(__xludf.DUMMYFUNCTION("""COMPUTED_VALUE"""),"")</f>
        <v/>
      </c>
      <c r="P6" s="24">
        <f>IFERROR(__xludf.DUMMYFUNCTION("""COMPUTED_VALUE"""),1.0)</f>
        <v>1</v>
      </c>
      <c r="Q6" s="25" t="str">
        <f>IFERROR(__xludf.DUMMYFUNCTION("""COMPUTED_VALUE"""),"")</f>
        <v/>
      </c>
      <c r="R6" s="26">
        <f>IFERROR(__xludf.DUMMYFUNCTION("""COMPUTED_VALUE"""),15.0)</f>
        <v>15</v>
      </c>
      <c r="S6" s="22"/>
      <c r="T6" s="27">
        <v>15.0</v>
      </c>
      <c r="U6" s="28">
        <v>10.0</v>
      </c>
      <c r="V6" s="22"/>
      <c r="W6" s="39">
        <v>0.0</v>
      </c>
      <c r="X6" s="32">
        <v>1.0</v>
      </c>
      <c r="Y6" s="32">
        <v>1.0</v>
      </c>
      <c r="Z6" s="32">
        <v>0.0</v>
      </c>
      <c r="AA6" s="32">
        <v>0.0</v>
      </c>
      <c r="AB6" s="40">
        <v>0.0</v>
      </c>
      <c r="AC6" s="40">
        <v>0.0</v>
      </c>
      <c r="AD6" s="32">
        <v>15.0</v>
      </c>
      <c r="AE6" s="40">
        <v>0.0</v>
      </c>
      <c r="AF6" s="40">
        <v>0.0</v>
      </c>
      <c r="AG6" s="41">
        <v>0.0</v>
      </c>
      <c r="AH6" s="34">
        <f t="shared" si="1"/>
        <v>145.55</v>
      </c>
      <c r="AI6" s="8">
        <v>112.55</v>
      </c>
      <c r="AJ6" s="42" t="str">
        <f t="array" ref="AJ6:AJ16">TRANSPOSE(W4:AG4)</f>
        <v>SPT</v>
      </c>
      <c r="AK6" s="8"/>
      <c r="AL6" s="8">
        <f t="shared" si="2"/>
        <v>33</v>
      </c>
    </row>
    <row r="7" ht="15.0" customHeight="1">
      <c r="A7" s="36">
        <v>3.0</v>
      </c>
      <c r="B7" s="37">
        <v>10.0</v>
      </c>
      <c r="C7" s="38">
        <v>10.0</v>
      </c>
      <c r="D7" s="37">
        <v>10.0</v>
      </c>
      <c r="E7" s="38">
        <v>10.0</v>
      </c>
      <c r="F7" s="37">
        <v>10.0</v>
      </c>
      <c r="G7" s="38">
        <v>10.0</v>
      </c>
      <c r="H7" s="37">
        <v>10.0</v>
      </c>
      <c r="I7" s="38">
        <v>10.0</v>
      </c>
      <c r="J7" s="37">
        <v>10.0</v>
      </c>
      <c r="K7" s="38">
        <v>10.0</v>
      </c>
      <c r="L7" s="22"/>
      <c r="M7" s="23" t="str">
        <f>IFERROR(__xludf.DUMMYFUNCTION("LET(
  names, HSTACK(""Coins"", W$4:AG$4),
  amounts, HSTACK(C7, W7:AG7),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7" s="24">
        <f>IFERROR(__xludf.DUMMYFUNCTION("""COMPUTED_VALUE"""),10.0)</f>
        <v>10</v>
      </c>
      <c r="O7" s="25" t="str">
        <f>IFERROR(__xludf.DUMMYFUNCTION("""COMPUTED_VALUE"""),"")</f>
        <v/>
      </c>
      <c r="P7" s="24">
        <f>IFERROR(__xludf.DUMMYFUNCTION("""COMPUTED_VALUE"""),1.0)</f>
        <v>1</v>
      </c>
      <c r="Q7" s="25" t="str">
        <f>IFERROR(__xludf.DUMMYFUNCTION("""COMPUTED_VALUE"""),"")</f>
        <v/>
      </c>
      <c r="R7" s="26">
        <f>IFERROR(__xludf.DUMMYFUNCTION("""COMPUTED_VALUE"""),15.0)</f>
        <v>15</v>
      </c>
      <c r="S7" s="22"/>
      <c r="T7" s="27">
        <v>15.0</v>
      </c>
      <c r="U7" s="28">
        <v>10.0</v>
      </c>
      <c r="V7" s="22"/>
      <c r="W7" s="39">
        <v>0.0</v>
      </c>
      <c r="X7" s="32">
        <v>0.0</v>
      </c>
      <c r="Y7" s="40">
        <v>0.0</v>
      </c>
      <c r="Z7" s="32">
        <v>1.0</v>
      </c>
      <c r="AA7" s="40">
        <v>0.0</v>
      </c>
      <c r="AB7" s="40">
        <v>0.0</v>
      </c>
      <c r="AC7" s="40">
        <v>0.0</v>
      </c>
      <c r="AD7" s="32">
        <v>15.0</v>
      </c>
      <c r="AE7" s="40">
        <v>0.0</v>
      </c>
      <c r="AF7" s="40">
        <v>0.0</v>
      </c>
      <c r="AG7" s="41">
        <v>0.0</v>
      </c>
      <c r="AH7" s="34">
        <f t="shared" si="1"/>
        <v>129.55</v>
      </c>
      <c r="AI7" s="8">
        <v>95.55</v>
      </c>
      <c r="AJ7" s="42" t="s">
        <v>69</v>
      </c>
      <c r="AK7" s="11"/>
      <c r="AL7" s="8">
        <f t="shared" si="2"/>
        <v>34</v>
      </c>
    </row>
    <row r="8">
      <c r="A8" s="36">
        <v>4.0</v>
      </c>
      <c r="B8" s="37">
        <v>10.0</v>
      </c>
      <c r="C8" s="38">
        <v>0.0</v>
      </c>
      <c r="D8" s="37">
        <v>10.0</v>
      </c>
      <c r="E8" s="38">
        <v>0.0</v>
      </c>
      <c r="F8" s="37">
        <v>10.0</v>
      </c>
      <c r="G8" s="38">
        <v>0.0</v>
      </c>
      <c r="H8" s="37">
        <v>10.0</v>
      </c>
      <c r="I8" s="38">
        <v>0.0</v>
      </c>
      <c r="J8" s="37">
        <v>10.0</v>
      </c>
      <c r="K8" s="38">
        <v>0.0</v>
      </c>
      <c r="L8" s="22"/>
      <c r="M8" s="23" t="str">
        <f>IFERROR(__xludf.DUMMYFUNCTION("LET(
  names, HSTACK(""Coins"", W$4:AG$4),
  amounts, HSTACK(C8, W8:AG8),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8" s="24">
        <f>IFERROR(__xludf.DUMMYFUNCTION("""COMPUTED_VALUE"""),1.0)</f>
        <v>1</v>
      </c>
      <c r="O8" s="25" t="str">
        <f>IFERROR(__xludf.DUMMYFUNCTION("""COMPUTED_VALUE"""),"")</f>
        <v/>
      </c>
      <c r="P8" s="24">
        <f>IFERROR(__xludf.DUMMYFUNCTION("""COMPUTED_VALUE"""),1.0)</f>
        <v>1</v>
      </c>
      <c r="Q8" s="25" t="str">
        <f>IFERROR(__xludf.DUMMYFUNCTION("""COMPUTED_VALUE"""),"")</f>
        <v/>
      </c>
      <c r="R8" s="26">
        <f>IFERROR(__xludf.DUMMYFUNCTION("""COMPUTED_VALUE"""),15.0)</f>
        <v>15</v>
      </c>
      <c r="S8" s="22"/>
      <c r="T8" s="27">
        <v>20.0</v>
      </c>
      <c r="U8" s="28">
        <v>10.0</v>
      </c>
      <c r="V8" s="22"/>
      <c r="W8" s="39">
        <v>0.0</v>
      </c>
      <c r="X8" s="32">
        <v>1.0</v>
      </c>
      <c r="Y8" s="40">
        <v>0.0</v>
      </c>
      <c r="Z8" s="40">
        <v>0.0</v>
      </c>
      <c r="AA8" s="40">
        <v>0.0</v>
      </c>
      <c r="AB8" s="32">
        <v>1.0</v>
      </c>
      <c r="AC8" s="40">
        <v>0.0</v>
      </c>
      <c r="AD8" s="32">
        <v>15.0</v>
      </c>
      <c r="AE8" s="40">
        <v>0.0</v>
      </c>
      <c r="AF8" s="40">
        <v>0.0</v>
      </c>
      <c r="AG8" s="41">
        <v>0.0</v>
      </c>
      <c r="AH8" s="34">
        <f t="shared" si="1"/>
        <v>162.55</v>
      </c>
      <c r="AI8" s="8">
        <v>95.55</v>
      </c>
      <c r="AJ8" s="42" t="s">
        <v>70</v>
      </c>
      <c r="AK8" s="11"/>
      <c r="AL8" s="8">
        <f t="shared" si="2"/>
        <v>67</v>
      </c>
    </row>
    <row r="9" ht="15.0" customHeight="1">
      <c r="A9" s="36">
        <v>5.0</v>
      </c>
      <c r="B9" s="37">
        <v>10.0</v>
      </c>
      <c r="C9" s="38">
        <v>10.0</v>
      </c>
      <c r="D9" s="37">
        <v>10.0</v>
      </c>
      <c r="E9" s="38">
        <v>10.0</v>
      </c>
      <c r="F9" s="37">
        <v>10.0</v>
      </c>
      <c r="G9" s="38">
        <v>10.0</v>
      </c>
      <c r="H9" s="37">
        <v>10.0</v>
      </c>
      <c r="I9" s="38">
        <v>10.0</v>
      </c>
      <c r="J9" s="37">
        <v>10.0</v>
      </c>
      <c r="K9" s="38">
        <v>10.0</v>
      </c>
      <c r="L9" s="22"/>
      <c r="M9" s="23" t="str">
        <f>IFERROR(__xludf.DUMMYFUNCTION("LET(
  names, HSTACK(""Coins"", W$4:AG$4),
  amounts, HSTACK(C9, W9:AG9),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9" s="24">
        <f>IFERROR(__xludf.DUMMYFUNCTION("""COMPUTED_VALUE"""),10.0)</f>
        <v>10</v>
      </c>
      <c r="O9" s="25" t="str">
        <f>IFERROR(__xludf.DUMMYFUNCTION("""COMPUTED_VALUE"""),"")</f>
        <v/>
      </c>
      <c r="P9" s="24">
        <f>IFERROR(__xludf.DUMMYFUNCTION("""COMPUTED_VALUE"""),1.0)</f>
        <v>1</v>
      </c>
      <c r="Q9" s="25" t="str">
        <f>IFERROR(__xludf.DUMMYFUNCTION("""COMPUTED_VALUE"""),"")</f>
        <v/>
      </c>
      <c r="R9" s="26">
        <f>IFERROR(__xludf.DUMMYFUNCTION("""COMPUTED_VALUE"""),15.0)</f>
        <v>15</v>
      </c>
      <c r="S9" s="22"/>
      <c r="T9" s="27">
        <v>20.0</v>
      </c>
      <c r="U9" s="28">
        <v>10.0</v>
      </c>
      <c r="V9" s="22"/>
      <c r="W9" s="39">
        <v>0.0</v>
      </c>
      <c r="X9" s="40">
        <v>0.0</v>
      </c>
      <c r="Y9" s="32">
        <v>0.0</v>
      </c>
      <c r="Z9" s="32">
        <v>1.0</v>
      </c>
      <c r="AA9" s="32">
        <v>0.0</v>
      </c>
      <c r="AB9" s="40">
        <v>0.0</v>
      </c>
      <c r="AC9" s="40">
        <v>0.0</v>
      </c>
      <c r="AD9" s="32">
        <v>15.0</v>
      </c>
      <c r="AE9" s="40">
        <v>0.0</v>
      </c>
      <c r="AF9" s="40">
        <v>0.0</v>
      </c>
      <c r="AG9" s="41">
        <v>0.0</v>
      </c>
      <c r="AH9" s="34">
        <f t="shared" si="1"/>
        <v>129.55</v>
      </c>
      <c r="AI9" s="8">
        <v>100.0</v>
      </c>
      <c r="AJ9" s="42" t="s">
        <v>71</v>
      </c>
      <c r="AK9" s="11"/>
      <c r="AL9" s="8">
        <f t="shared" si="2"/>
        <v>29.55</v>
      </c>
    </row>
    <row r="10" ht="15.0" customHeight="1">
      <c r="A10" s="36">
        <v>6.0</v>
      </c>
      <c r="B10" s="37">
        <v>10.0</v>
      </c>
      <c r="C10" s="38">
        <v>0.0</v>
      </c>
      <c r="D10" s="37">
        <v>10.0</v>
      </c>
      <c r="E10" s="38">
        <v>0.0</v>
      </c>
      <c r="F10" s="37">
        <v>10.0</v>
      </c>
      <c r="G10" s="38">
        <v>0.0</v>
      </c>
      <c r="H10" s="37">
        <v>10.0</v>
      </c>
      <c r="I10" s="38">
        <v>0.0</v>
      </c>
      <c r="J10" s="37">
        <v>10.0</v>
      </c>
      <c r="K10" s="38">
        <v>0.0</v>
      </c>
      <c r="L10" s="22"/>
      <c r="M10" s="23" t="str">
        <f>IFERROR(__xludf.DUMMYFUNCTION("LET(
  names, HSTACK(""Coins"", W$4:AG$4),
  amounts, HSTACK(C10, W10:AG10),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0" s="24">
        <f>IFERROR(__xludf.DUMMYFUNCTION("""COMPUTED_VALUE"""),1.0)</f>
        <v>1</v>
      </c>
      <c r="O10" s="25" t="str">
        <f>IFERROR(__xludf.DUMMYFUNCTION("""COMPUTED_VALUE"""),"")</f>
        <v/>
      </c>
      <c r="P10" s="24">
        <f>IFERROR(__xludf.DUMMYFUNCTION("""COMPUTED_VALUE"""),1.0)</f>
        <v>1</v>
      </c>
      <c r="Q10" s="25" t="str">
        <f>IFERROR(__xludf.DUMMYFUNCTION("""COMPUTED_VALUE"""),"")</f>
        <v/>
      </c>
      <c r="R10" s="26">
        <f>IFERROR(__xludf.DUMMYFUNCTION("""COMPUTED_VALUE"""),20.0)</f>
        <v>20</v>
      </c>
      <c r="S10" s="22"/>
      <c r="T10" s="27">
        <v>20.0</v>
      </c>
      <c r="U10" s="28">
        <v>15.0</v>
      </c>
      <c r="V10" s="22"/>
      <c r="W10" s="39">
        <v>0.0</v>
      </c>
      <c r="X10" s="40">
        <v>0.0</v>
      </c>
      <c r="Y10" s="32">
        <v>1.0</v>
      </c>
      <c r="Z10" s="40">
        <v>0.0</v>
      </c>
      <c r="AA10" s="32">
        <v>0.0</v>
      </c>
      <c r="AB10" s="40">
        <v>0.0</v>
      </c>
      <c r="AC10" s="32">
        <v>1.0</v>
      </c>
      <c r="AD10" s="32">
        <v>20.0</v>
      </c>
      <c r="AE10" s="40">
        <v>0.0</v>
      </c>
      <c r="AF10" s="40">
        <v>0.0</v>
      </c>
      <c r="AG10" s="41">
        <v>0.0</v>
      </c>
      <c r="AH10" s="34">
        <f t="shared" si="1"/>
        <v>183.4</v>
      </c>
      <c r="AI10" s="8">
        <v>229.55</v>
      </c>
      <c r="AJ10" s="42" t="s">
        <v>72</v>
      </c>
      <c r="AK10" s="11"/>
      <c r="AL10" s="8">
        <f t="shared" si="2"/>
        <v>-46.15</v>
      </c>
    </row>
    <row r="11" ht="15.0" customHeight="1">
      <c r="A11" s="36">
        <v>7.0</v>
      </c>
      <c r="B11" s="37">
        <v>10.0</v>
      </c>
      <c r="C11" s="38">
        <v>10.0</v>
      </c>
      <c r="D11" s="37">
        <v>10.0</v>
      </c>
      <c r="E11" s="38">
        <v>10.0</v>
      </c>
      <c r="F11" s="37">
        <v>10.0</v>
      </c>
      <c r="G11" s="38">
        <v>10.0</v>
      </c>
      <c r="H11" s="37">
        <v>10.0</v>
      </c>
      <c r="I11" s="38">
        <v>10.0</v>
      </c>
      <c r="J11" s="37">
        <v>10.0</v>
      </c>
      <c r="K11" s="38">
        <v>10.0</v>
      </c>
      <c r="L11" s="22"/>
      <c r="M11" s="23" t="str">
        <f>IFERROR(__xludf.DUMMYFUNCTION("LET(
  names, HSTACK(""Coins"", W$4:AG$4),
  amounts, HSTACK(C11, W11:AG11),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1" s="24">
        <f>IFERROR(__xludf.DUMMYFUNCTION("""COMPUTED_VALUE"""),10.0)</f>
        <v>10</v>
      </c>
      <c r="O11" s="25" t="str">
        <f>IFERROR(__xludf.DUMMYFUNCTION("""COMPUTED_VALUE"""),"")</f>
        <v/>
      </c>
      <c r="P11" s="24">
        <f>IFERROR(__xludf.DUMMYFUNCTION("""COMPUTED_VALUE"""),1.0)</f>
        <v>1</v>
      </c>
      <c r="Q11" s="25" t="str">
        <f>IFERROR(__xludf.DUMMYFUNCTION("""COMPUTED_VALUE"""),"")</f>
        <v/>
      </c>
      <c r="R11" s="26">
        <f>IFERROR(__xludf.DUMMYFUNCTION("""COMPUTED_VALUE"""),20.0)</f>
        <v>20</v>
      </c>
      <c r="S11" s="22"/>
      <c r="T11" s="27">
        <v>25.0</v>
      </c>
      <c r="U11" s="28">
        <v>15.0</v>
      </c>
      <c r="V11" s="22"/>
      <c r="W11" s="39">
        <v>0.0</v>
      </c>
      <c r="X11" s="40">
        <v>0.0</v>
      </c>
      <c r="Y11" s="32">
        <v>0.0</v>
      </c>
      <c r="Z11" s="32">
        <v>1.0</v>
      </c>
      <c r="AA11" s="32">
        <v>0.0</v>
      </c>
      <c r="AB11" s="40">
        <v>0.0</v>
      </c>
      <c r="AC11" s="40">
        <v>0.0</v>
      </c>
      <c r="AD11" s="32">
        <v>20.0</v>
      </c>
      <c r="AE11" s="40">
        <v>0.0</v>
      </c>
      <c r="AF11" s="40">
        <v>0.0</v>
      </c>
      <c r="AG11" s="41">
        <v>0.0</v>
      </c>
      <c r="AH11" s="34">
        <f t="shared" si="1"/>
        <v>150.4</v>
      </c>
      <c r="AI11" s="8">
        <v>192.1</v>
      </c>
      <c r="AJ11" s="42" t="s">
        <v>73</v>
      </c>
      <c r="AK11" s="11"/>
      <c r="AL11" s="8">
        <f t="shared" si="2"/>
        <v>-41.7</v>
      </c>
    </row>
    <row r="12">
      <c r="A12" s="36">
        <v>8.0</v>
      </c>
      <c r="B12" s="37">
        <v>10.0</v>
      </c>
      <c r="C12" s="38">
        <v>0.0</v>
      </c>
      <c r="D12" s="37">
        <v>10.0</v>
      </c>
      <c r="E12" s="38">
        <v>0.0</v>
      </c>
      <c r="F12" s="37">
        <v>10.0</v>
      </c>
      <c r="G12" s="38">
        <v>0.0</v>
      </c>
      <c r="H12" s="37">
        <v>10.0</v>
      </c>
      <c r="I12" s="38">
        <v>0.0</v>
      </c>
      <c r="J12" s="37">
        <v>10.0</v>
      </c>
      <c r="K12" s="38">
        <v>0.0</v>
      </c>
      <c r="L12" s="22"/>
      <c r="M12" s="23" t="str">
        <f>IFERROR(__xludf.DUMMYFUNCTION("LET(
  names, HSTACK(""Coins"", W$4:AG$4),
  amounts, HSTACK(C12, W12:AG12),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2" s="24">
        <f>IFERROR(__xludf.DUMMYFUNCTION("""COMPUTED_VALUE"""),1.0)</f>
        <v>1</v>
      </c>
      <c r="O12" s="25" t="str">
        <f>IFERROR(__xludf.DUMMYFUNCTION("""COMPUTED_VALUE"""),"")</f>
        <v/>
      </c>
      <c r="P12" s="24">
        <f>IFERROR(__xludf.DUMMYFUNCTION("""COMPUTED_VALUE"""),1.0)</f>
        <v>1</v>
      </c>
      <c r="Q12" s="25" t="str">
        <f>IFERROR(__xludf.DUMMYFUNCTION("""COMPUTED_VALUE"""),"")</f>
        <v/>
      </c>
      <c r="R12" s="26">
        <f>IFERROR(__xludf.DUMMYFUNCTION("""COMPUTED_VALUE"""),30.0)</f>
        <v>30</v>
      </c>
      <c r="S12" s="22"/>
      <c r="T12" s="27">
        <v>25.0</v>
      </c>
      <c r="U12" s="28">
        <v>15.0</v>
      </c>
      <c r="V12" s="22"/>
      <c r="W12" s="39">
        <v>0.0</v>
      </c>
      <c r="X12" s="40">
        <v>0.0</v>
      </c>
      <c r="Y12" s="32">
        <v>1.0</v>
      </c>
      <c r="Z12" s="40">
        <v>0.0</v>
      </c>
      <c r="AA12" s="32">
        <v>1.0</v>
      </c>
      <c r="AB12" s="40">
        <v>0.0</v>
      </c>
      <c r="AC12" s="40">
        <v>0.0</v>
      </c>
      <c r="AD12" s="32">
        <v>30.0</v>
      </c>
      <c r="AE12" s="40">
        <v>0.0</v>
      </c>
      <c r="AF12" s="40">
        <v>0.0</v>
      </c>
      <c r="AG12" s="41">
        <v>0.0</v>
      </c>
      <c r="AH12" s="34">
        <f t="shared" si="1"/>
        <v>342.1</v>
      </c>
      <c r="AI12" s="8">
        <v>217.0</v>
      </c>
      <c r="AJ12" s="42" t="s">
        <v>74</v>
      </c>
      <c r="AK12" s="11"/>
      <c r="AL12" s="8">
        <f t="shared" si="2"/>
        <v>125.1</v>
      </c>
    </row>
    <row r="13" ht="15.0" customHeight="1">
      <c r="A13" s="36">
        <v>9.0</v>
      </c>
      <c r="B13" s="37">
        <v>10.0</v>
      </c>
      <c r="C13" s="38">
        <v>10.0</v>
      </c>
      <c r="D13" s="37">
        <v>10.0</v>
      </c>
      <c r="E13" s="38">
        <v>10.0</v>
      </c>
      <c r="F13" s="37">
        <v>10.0</v>
      </c>
      <c r="G13" s="38">
        <v>10.0</v>
      </c>
      <c r="H13" s="37">
        <v>10.0</v>
      </c>
      <c r="I13" s="38">
        <v>10.0</v>
      </c>
      <c r="J13" s="37">
        <v>10.0</v>
      </c>
      <c r="K13" s="38">
        <v>10.0</v>
      </c>
      <c r="L13" s="22"/>
      <c r="M13" s="23" t="str">
        <f>IFERROR(__xludf.DUMMYFUNCTION("LET(
  names, HSTACK(""Coins"", W$4:AG$4),
  amounts, HSTACK(C13, W13:AG13),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3" s="24">
        <f>IFERROR(__xludf.DUMMYFUNCTION("""COMPUTED_VALUE"""),10.0)</f>
        <v>10</v>
      </c>
      <c r="O13" s="25" t="str">
        <f>IFERROR(__xludf.DUMMYFUNCTION("""COMPUTED_VALUE"""),"")</f>
        <v/>
      </c>
      <c r="P13" s="24">
        <f>IFERROR(__xludf.DUMMYFUNCTION("""COMPUTED_VALUE"""),1.0)</f>
        <v>1</v>
      </c>
      <c r="Q13" s="25" t="str">
        <f>IFERROR(__xludf.DUMMYFUNCTION("""COMPUTED_VALUE"""),"")</f>
        <v/>
      </c>
      <c r="R13" s="26">
        <f>IFERROR(__xludf.DUMMYFUNCTION("""COMPUTED_VALUE"""),60.0)</f>
        <v>60</v>
      </c>
      <c r="S13" s="22"/>
      <c r="T13" s="27">
        <v>25.0</v>
      </c>
      <c r="U13" s="28">
        <v>15.0</v>
      </c>
      <c r="V13" s="22"/>
      <c r="W13" s="39">
        <v>0.0</v>
      </c>
      <c r="X13" s="40">
        <v>0.0</v>
      </c>
      <c r="Y13" s="32">
        <v>0.0</v>
      </c>
      <c r="Z13" s="40">
        <v>0.0</v>
      </c>
      <c r="AA13" s="40">
        <v>0.0</v>
      </c>
      <c r="AB13" s="32">
        <v>1.0</v>
      </c>
      <c r="AC13" s="40">
        <v>0.0</v>
      </c>
      <c r="AD13" s="32">
        <v>60.0</v>
      </c>
      <c r="AE13" s="40">
        <v>0.0</v>
      </c>
      <c r="AF13" s="40">
        <v>0.0</v>
      </c>
      <c r="AG13" s="41">
        <v>0.0</v>
      </c>
      <c r="AH13" s="34">
        <f t="shared" si="1"/>
        <v>317.2</v>
      </c>
      <c r="AI13" s="8">
        <v>300.2</v>
      </c>
      <c r="AJ13" s="42" t="s">
        <v>75</v>
      </c>
      <c r="AK13" s="11"/>
      <c r="AL13" s="8">
        <f t="shared" si="2"/>
        <v>17</v>
      </c>
    </row>
    <row r="14" ht="15.0" customHeight="1">
      <c r="A14" s="43">
        <v>10.0</v>
      </c>
      <c r="B14" s="44">
        <v>10.0</v>
      </c>
      <c r="C14" s="45">
        <v>25.0</v>
      </c>
      <c r="D14" s="44">
        <v>10.0</v>
      </c>
      <c r="E14" s="45">
        <v>25.0</v>
      </c>
      <c r="F14" s="44">
        <v>10.0</v>
      </c>
      <c r="G14" s="45">
        <v>25.0</v>
      </c>
      <c r="H14" s="44">
        <v>10.0</v>
      </c>
      <c r="I14" s="45">
        <v>25.0</v>
      </c>
      <c r="J14" s="44">
        <v>10.0</v>
      </c>
      <c r="K14" s="45">
        <v>25.0</v>
      </c>
      <c r="L14" s="22"/>
      <c r="M14" s="23" t="str">
        <f>IFERROR(__xludf.DUMMYFUNCTION("LET(
  names, HSTACK(""Coins"", W$4:AG$4),
  amounts, HSTACK(C14, W14:AG14),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4" s="24">
        <f>IFERROR(__xludf.DUMMYFUNCTION("""COMPUTED_VALUE"""),25.0)</f>
        <v>25</v>
      </c>
      <c r="O14" s="25" t="str">
        <f>IFERROR(__xludf.DUMMYFUNCTION("""COMPUTED_VALUE"""),"")</f>
        <v/>
      </c>
      <c r="P14" s="24">
        <f>IFERROR(__xludf.DUMMYFUNCTION("""COMPUTED_VALUE"""),1.0)</f>
        <v>1</v>
      </c>
      <c r="Q14" s="25" t="str">
        <f>IFERROR(__xludf.DUMMYFUNCTION("""COMPUTED_VALUE"""),"")</f>
        <v/>
      </c>
      <c r="R14" s="26">
        <f>IFERROR(__xludf.DUMMYFUNCTION("""COMPUTED_VALUE"""),60.0)</f>
        <v>60</v>
      </c>
      <c r="S14" s="22"/>
      <c r="T14" s="27">
        <v>30.0</v>
      </c>
      <c r="U14" s="28">
        <v>20.0</v>
      </c>
      <c r="V14" s="22"/>
      <c r="W14" s="46">
        <v>0.0</v>
      </c>
      <c r="X14" s="47">
        <v>0.0</v>
      </c>
      <c r="Y14" s="47">
        <v>0.0</v>
      </c>
      <c r="Z14" s="48">
        <v>0.0</v>
      </c>
      <c r="AA14" s="47">
        <v>0.0</v>
      </c>
      <c r="AB14" s="47">
        <v>0.0</v>
      </c>
      <c r="AC14" s="48">
        <v>1.0</v>
      </c>
      <c r="AD14" s="48">
        <v>60.0</v>
      </c>
      <c r="AE14" s="47">
        <v>0.0</v>
      </c>
      <c r="AF14" s="47">
        <v>0.0</v>
      </c>
      <c r="AG14" s="49">
        <v>0.0</v>
      </c>
      <c r="AH14" s="34">
        <f t="shared" si="1"/>
        <v>300.2</v>
      </c>
      <c r="AI14" s="8">
        <v>117.0</v>
      </c>
      <c r="AJ14" s="42" t="s">
        <v>76</v>
      </c>
      <c r="AK14" s="11"/>
      <c r="AL14" s="8">
        <f t="shared" si="2"/>
        <v>183.2</v>
      </c>
    </row>
    <row r="15" ht="15.0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42" t="s">
        <v>77</v>
      </c>
      <c r="AK15" s="11"/>
      <c r="AL15" s="8"/>
    </row>
    <row r="16" ht="15.0" customHeight="1">
      <c r="A16" s="50" t="s">
        <v>83</v>
      </c>
      <c r="B16" s="51">
        <f t="shared" ref="B16:K16" si="3">SUM(B5:B14)</f>
        <v>100</v>
      </c>
      <c r="C16" s="51">
        <f t="shared" si="3"/>
        <v>75</v>
      </c>
      <c r="D16" s="51">
        <f t="shared" si="3"/>
        <v>100</v>
      </c>
      <c r="E16" s="51">
        <f t="shared" si="3"/>
        <v>75</v>
      </c>
      <c r="F16" s="51">
        <f t="shared" si="3"/>
        <v>100</v>
      </c>
      <c r="G16" s="51">
        <f t="shared" si="3"/>
        <v>75</v>
      </c>
      <c r="H16" s="51">
        <f t="shared" si="3"/>
        <v>100</v>
      </c>
      <c r="I16" s="51">
        <f t="shared" si="3"/>
        <v>75</v>
      </c>
      <c r="J16" s="51">
        <f t="shared" si="3"/>
        <v>100</v>
      </c>
      <c r="K16" s="51">
        <f t="shared" si="3"/>
        <v>75</v>
      </c>
      <c r="L16" s="8"/>
      <c r="M16" s="8"/>
      <c r="N16" s="8"/>
      <c r="O16" s="8"/>
      <c r="P16" s="8"/>
      <c r="Q16" s="8"/>
      <c r="R16" s="8"/>
      <c r="S16" s="8"/>
      <c r="T16" s="52">
        <f t="shared" ref="T16:U16" si="4">SUM(T5:T14)</f>
        <v>210</v>
      </c>
      <c r="U16" s="52">
        <f t="shared" si="4"/>
        <v>130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 t="s">
        <v>78</v>
      </c>
      <c r="AK16" s="11"/>
      <c r="AL16" s="8"/>
    </row>
    <row r="17" ht="15.0" customHeight="1">
      <c r="A17" s="50" t="s">
        <v>84</v>
      </c>
      <c r="B17" s="8"/>
      <c r="C17" s="53">
        <f>C16/B16</f>
        <v>0.75</v>
      </c>
      <c r="D17" s="8"/>
      <c r="E17" s="53">
        <f>E16/D16</f>
        <v>0.75</v>
      </c>
      <c r="F17" s="8"/>
      <c r="G17" s="53">
        <f>G16/F16</f>
        <v>0.75</v>
      </c>
      <c r="H17" s="8"/>
      <c r="I17" s="53">
        <f>I16/H16</f>
        <v>0.75</v>
      </c>
      <c r="J17" s="8"/>
      <c r="K17" s="53">
        <f>K16/J16</f>
        <v>0.75</v>
      </c>
      <c r="L17" s="8"/>
      <c r="M17" s="8"/>
      <c r="N17" s="8"/>
      <c r="O17" s="8"/>
      <c r="P17" s="8"/>
      <c r="Q17" s="8"/>
      <c r="R17" s="8"/>
      <c r="S17" s="8"/>
      <c r="T17" s="54">
        <f t="shared" ref="T17:U17" si="5">T16/$J$16</f>
        <v>2.1</v>
      </c>
      <c r="U17" s="54">
        <f t="shared" si="5"/>
        <v>1.3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</row>
    <row r="18" ht="15.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55"/>
      <c r="U18" s="55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</row>
    <row r="19" ht="15.0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56" t="str">
        <f t="shared" ref="T19:U19" si="6">T16/saga_progression_old!$C$15</f>
        <v>#REF!</v>
      </c>
      <c r="U19" s="56" t="str">
        <f t="shared" si="6"/>
        <v>#REF!</v>
      </c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</row>
    <row r="20" ht="15.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</row>
  </sheetData>
  <mergeCells count="1">
    <mergeCell ref="M4:R4"/>
  </mergeCells>
  <conditionalFormatting sqref="C5:C14 E5:E14 G5:G14 I5:I14 K5:K14 W5:AG14">
    <cfRule type="cellIs" dxfId="4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7" width="8.38"/>
    <col customWidth="1" min="8" max="8" width="7.5"/>
    <col customWidth="1" min="9" max="9" width="7.63"/>
    <col customWidth="1" min="10" max="10" width="7.5"/>
    <col customWidth="1" min="11" max="11" width="7.63"/>
    <col customWidth="1" min="12" max="12" width="3.88"/>
    <col customWidth="1" min="13" max="13" width="3.38"/>
    <col customWidth="1" min="14" max="14" width="2.5"/>
    <col customWidth="1" min="15" max="15" width="3.38"/>
    <col customWidth="1" min="16" max="16" width="2.5"/>
    <col customWidth="1" min="17" max="17" width="3.38"/>
    <col customWidth="1" min="18" max="18" width="2.5"/>
    <col customWidth="1" min="19" max="19" width="3.88"/>
    <col customWidth="1" hidden="1" min="20" max="21" width="11.13"/>
    <col customWidth="1" min="22" max="22" width="3.88"/>
    <col customWidth="1" min="23" max="33" width="9.38"/>
    <col hidden="1" min="36" max="37" width="12.63"/>
  </cols>
  <sheetData>
    <row r="1" ht="17.25" customHeight="1">
      <c r="A1" s="57" t="s">
        <v>85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ht="15.0" customHeight="1">
      <c r="A2" s="9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</row>
    <row r="3" ht="15.0" customHeight="1">
      <c r="A3" s="9"/>
      <c r="B3" s="10" t="s">
        <v>56</v>
      </c>
      <c r="C3" s="22"/>
      <c r="D3" s="10" t="s">
        <v>57</v>
      </c>
      <c r="E3" s="22"/>
      <c r="F3" s="10" t="s">
        <v>58</v>
      </c>
      <c r="G3" s="22"/>
      <c r="H3" s="10" t="s">
        <v>59</v>
      </c>
      <c r="I3" s="22"/>
      <c r="J3" s="10" t="s">
        <v>60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58" t="s">
        <v>61</v>
      </c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</row>
    <row r="4">
      <c r="A4" s="12" t="s">
        <v>62</v>
      </c>
      <c r="B4" s="12" t="s">
        <v>63</v>
      </c>
      <c r="C4" s="12" t="s">
        <v>64</v>
      </c>
      <c r="D4" s="12" t="s">
        <v>63</v>
      </c>
      <c r="E4" s="12" t="s">
        <v>64</v>
      </c>
      <c r="F4" s="12" t="s">
        <v>63</v>
      </c>
      <c r="G4" s="12" t="s">
        <v>64</v>
      </c>
      <c r="H4" s="12" t="s">
        <v>63</v>
      </c>
      <c r="I4" s="12" t="s">
        <v>64</v>
      </c>
      <c r="J4" s="12" t="s">
        <v>63</v>
      </c>
      <c r="K4" s="12" t="s">
        <v>64</v>
      </c>
      <c r="L4" s="59"/>
      <c r="M4" s="60" t="s">
        <v>65</v>
      </c>
      <c r="R4" s="15"/>
      <c r="S4" s="59"/>
      <c r="T4" s="16" t="s">
        <v>66</v>
      </c>
      <c r="U4" s="16" t="s">
        <v>67</v>
      </c>
      <c r="V4" s="22"/>
      <c r="W4" s="17" t="s">
        <v>68</v>
      </c>
      <c r="X4" s="17" t="s">
        <v>69</v>
      </c>
      <c r="Y4" s="17" t="s">
        <v>70</v>
      </c>
      <c r="Z4" s="17" t="s">
        <v>71</v>
      </c>
      <c r="AA4" s="17" t="s">
        <v>72</v>
      </c>
      <c r="AB4" s="17" t="s">
        <v>73</v>
      </c>
      <c r="AC4" s="17" t="s">
        <v>74</v>
      </c>
      <c r="AD4" s="18" t="s">
        <v>75</v>
      </c>
      <c r="AE4" s="17" t="s">
        <v>76</v>
      </c>
      <c r="AF4" s="17" t="s">
        <v>77</v>
      </c>
      <c r="AG4" s="17" t="s">
        <v>78</v>
      </c>
      <c r="AH4" s="18" t="s">
        <v>79</v>
      </c>
      <c r="AI4" s="59"/>
      <c r="AJ4" s="17" t="s">
        <v>80</v>
      </c>
      <c r="AK4" s="17" t="s">
        <v>81</v>
      </c>
      <c r="AL4" s="59"/>
    </row>
    <row r="5" ht="15.0" customHeight="1">
      <c r="A5" s="61">
        <v>1.0</v>
      </c>
      <c r="B5" s="20">
        <v>10.0</v>
      </c>
      <c r="C5" s="21">
        <v>10.0</v>
      </c>
      <c r="D5" s="20">
        <v>10.0</v>
      </c>
      <c r="E5" s="21">
        <v>10.0</v>
      </c>
      <c r="F5" s="20">
        <v>10.0</v>
      </c>
      <c r="G5" s="21">
        <v>10.0</v>
      </c>
      <c r="H5" s="20">
        <v>10.0</v>
      </c>
      <c r="I5" s="21">
        <v>10.0</v>
      </c>
      <c r="J5" s="20">
        <v>10.0</v>
      </c>
      <c r="K5" s="21">
        <v>10.0</v>
      </c>
      <c r="L5" s="22"/>
      <c r="M5" s="23" t="str">
        <f>IFERROR(__xludf.DUMMYFUNCTION("LET(
  names, HSTACK(""Coins"", W$4:AG$4),
  amounts, HSTACK(C5, W5:AG5),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5" s="24">
        <f>IFERROR(__xludf.DUMMYFUNCTION("""COMPUTED_VALUE"""),10.0)</f>
        <v>10</v>
      </c>
      <c r="O5" s="25" t="str">
        <f>IFERROR(__xludf.DUMMYFUNCTION("""COMPUTED_VALUE"""),"")</f>
        <v/>
      </c>
      <c r="P5" s="24">
        <f>IFERROR(__xludf.DUMMYFUNCTION("""COMPUTED_VALUE"""),1.0)</f>
        <v>1</v>
      </c>
      <c r="Q5" s="25" t="str">
        <f>IFERROR(__xludf.DUMMYFUNCTION("""COMPUTED_VALUE"""),"")</f>
        <v/>
      </c>
      <c r="R5" s="26">
        <f>IFERROR(__xludf.DUMMYFUNCTION("""COMPUTED_VALUE"""),15.0)</f>
        <v>15</v>
      </c>
      <c r="S5" s="22"/>
      <c r="T5" s="27">
        <v>15.0</v>
      </c>
      <c r="U5" s="28">
        <v>10.0</v>
      </c>
      <c r="V5" s="22"/>
      <c r="W5" s="29">
        <v>0.0</v>
      </c>
      <c r="X5" s="62">
        <v>1.0</v>
      </c>
      <c r="Y5" s="31">
        <v>0.0</v>
      </c>
      <c r="Z5" s="31">
        <v>0.0</v>
      </c>
      <c r="AA5" s="31">
        <v>0.0</v>
      </c>
      <c r="AB5" s="31">
        <v>0.0</v>
      </c>
      <c r="AC5" s="31">
        <v>0.0</v>
      </c>
      <c r="AD5" s="63">
        <v>15.0</v>
      </c>
      <c r="AE5" s="31">
        <v>0.0</v>
      </c>
      <c r="AF5" s="31">
        <v>0.0</v>
      </c>
      <c r="AG5" s="33">
        <v>0.0</v>
      </c>
      <c r="AH5" s="64">
        <f t="shared" ref="AH5:AH14" si="1">SUMPRODUCT(W5:AG5, {0,33,50,67,167,67,50,4.17,7.56,12.17,16.22})</f>
        <v>95.55</v>
      </c>
      <c r="AI5" s="22">
        <v>100.0</v>
      </c>
      <c r="AJ5" s="65" t="s">
        <v>82</v>
      </c>
      <c r="AK5" s="58"/>
      <c r="AL5" s="22">
        <f t="shared" ref="AL5:AL14" si="2">AH5-AI5</f>
        <v>-4.45</v>
      </c>
    </row>
    <row r="6" ht="15.0" customHeight="1">
      <c r="A6" s="66">
        <v>2.0</v>
      </c>
      <c r="B6" s="37">
        <v>10.0</v>
      </c>
      <c r="C6" s="38">
        <v>0.0</v>
      </c>
      <c r="D6" s="37">
        <v>10.0</v>
      </c>
      <c r="E6" s="38">
        <v>0.0</v>
      </c>
      <c r="F6" s="37">
        <v>10.0</v>
      </c>
      <c r="G6" s="38">
        <v>0.0</v>
      </c>
      <c r="H6" s="37">
        <v>10.0</v>
      </c>
      <c r="I6" s="38">
        <v>0.0</v>
      </c>
      <c r="J6" s="37">
        <v>10.0</v>
      </c>
      <c r="K6" s="38">
        <v>0.0</v>
      </c>
      <c r="L6" s="22"/>
      <c r="M6" s="23" t="str">
        <f>IFERROR(__xludf.DUMMYFUNCTION("LET(
  names, HSTACK(""Coins"", W$4:AG$4),
  amounts, HSTACK(C6, W6:AG6),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6" s="24">
        <f>IFERROR(__xludf.DUMMYFUNCTION("""COMPUTED_VALUE"""),1.0)</f>
        <v>1</v>
      </c>
      <c r="O6" s="25" t="str">
        <f>IFERROR(__xludf.DUMMYFUNCTION("""COMPUTED_VALUE"""),"")</f>
        <v/>
      </c>
      <c r="P6" s="24">
        <f>IFERROR(__xludf.DUMMYFUNCTION("""COMPUTED_VALUE"""),1.0)</f>
        <v>1</v>
      </c>
      <c r="Q6" s="25" t="str">
        <f>IFERROR(__xludf.DUMMYFUNCTION("""COMPUTED_VALUE"""),"")</f>
        <v/>
      </c>
      <c r="R6" s="26">
        <f>IFERROR(__xludf.DUMMYFUNCTION("""COMPUTED_VALUE"""),15.0)</f>
        <v>15</v>
      </c>
      <c r="S6" s="22"/>
      <c r="T6" s="27">
        <v>15.0</v>
      </c>
      <c r="U6" s="28">
        <v>10.0</v>
      </c>
      <c r="V6" s="22"/>
      <c r="W6" s="39">
        <v>0.0</v>
      </c>
      <c r="X6" s="63">
        <v>1.0</v>
      </c>
      <c r="Y6" s="63">
        <v>1.0</v>
      </c>
      <c r="Z6" s="40">
        <v>0.0</v>
      </c>
      <c r="AA6" s="40">
        <v>0.0</v>
      </c>
      <c r="AB6" s="40">
        <v>0.0</v>
      </c>
      <c r="AC6" s="40">
        <v>0.0</v>
      </c>
      <c r="AD6" s="63">
        <v>15.0</v>
      </c>
      <c r="AE6" s="40">
        <v>0.0</v>
      </c>
      <c r="AF6" s="40">
        <v>0.0</v>
      </c>
      <c r="AG6" s="41">
        <v>0.0</v>
      </c>
      <c r="AH6" s="64">
        <f t="shared" si="1"/>
        <v>145.55</v>
      </c>
      <c r="AI6" s="22">
        <v>112.55</v>
      </c>
      <c r="AJ6" s="25" t="str">
        <f t="array" ref="AJ6:AJ16">TRANSPOSE(W4:AG4)</f>
        <v>SPT</v>
      </c>
      <c r="AK6" s="22"/>
      <c r="AL6" s="22">
        <f t="shared" si="2"/>
        <v>33</v>
      </c>
    </row>
    <row r="7" ht="15.0" customHeight="1">
      <c r="A7" s="66">
        <v>3.0</v>
      </c>
      <c r="B7" s="37">
        <v>10.0</v>
      </c>
      <c r="C7" s="38">
        <v>10.0</v>
      </c>
      <c r="D7" s="37">
        <v>10.0</v>
      </c>
      <c r="E7" s="38">
        <v>10.0</v>
      </c>
      <c r="F7" s="37">
        <v>10.0</v>
      </c>
      <c r="G7" s="38">
        <v>10.0</v>
      </c>
      <c r="H7" s="37">
        <v>10.0</v>
      </c>
      <c r="I7" s="38">
        <v>10.0</v>
      </c>
      <c r="J7" s="37">
        <v>10.0</v>
      </c>
      <c r="K7" s="38">
        <v>10.0</v>
      </c>
      <c r="L7" s="22"/>
      <c r="M7" s="23" t="str">
        <f>IFERROR(__xludf.DUMMYFUNCTION("LET(
  names, HSTACK(""Coins"", W$4:AG$4),
  amounts, HSTACK(C7, W7:AG7),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7" s="24">
        <f>IFERROR(__xludf.DUMMYFUNCTION("""COMPUTED_VALUE"""),10.0)</f>
        <v>10</v>
      </c>
      <c r="O7" s="25" t="str">
        <f>IFERROR(__xludf.DUMMYFUNCTION("""COMPUTED_VALUE"""),"")</f>
        <v/>
      </c>
      <c r="P7" s="24">
        <f>IFERROR(__xludf.DUMMYFUNCTION("""COMPUTED_VALUE"""),1.0)</f>
        <v>1</v>
      </c>
      <c r="Q7" s="25" t="str">
        <f>IFERROR(__xludf.DUMMYFUNCTION("""COMPUTED_VALUE"""),"")</f>
        <v/>
      </c>
      <c r="R7" s="26">
        <f>IFERROR(__xludf.DUMMYFUNCTION("""COMPUTED_VALUE"""),15.0)</f>
        <v>15</v>
      </c>
      <c r="S7" s="22"/>
      <c r="T7" s="27">
        <v>15.0</v>
      </c>
      <c r="U7" s="28">
        <v>10.0</v>
      </c>
      <c r="V7" s="22"/>
      <c r="W7" s="39">
        <v>0.0</v>
      </c>
      <c r="X7" s="40">
        <v>0.0</v>
      </c>
      <c r="Y7" s="40">
        <v>0.0</v>
      </c>
      <c r="Z7" s="63">
        <v>1.0</v>
      </c>
      <c r="AA7" s="40">
        <v>0.0</v>
      </c>
      <c r="AB7" s="40">
        <v>0.0</v>
      </c>
      <c r="AC7" s="40">
        <v>0.0</v>
      </c>
      <c r="AD7" s="63">
        <v>15.0</v>
      </c>
      <c r="AE7" s="40">
        <v>0.0</v>
      </c>
      <c r="AF7" s="40">
        <v>0.0</v>
      </c>
      <c r="AG7" s="41">
        <v>0.0</v>
      </c>
      <c r="AH7" s="64">
        <f t="shared" si="1"/>
        <v>129.55</v>
      </c>
      <c r="AI7" s="22">
        <v>95.55</v>
      </c>
      <c r="AJ7" s="25" t="s">
        <v>69</v>
      </c>
      <c r="AK7" s="58"/>
      <c r="AL7" s="22">
        <f t="shared" si="2"/>
        <v>34</v>
      </c>
    </row>
    <row r="8">
      <c r="A8" s="66">
        <v>4.0</v>
      </c>
      <c r="B8" s="37">
        <v>10.0</v>
      </c>
      <c r="C8" s="38">
        <v>0.0</v>
      </c>
      <c r="D8" s="37">
        <v>10.0</v>
      </c>
      <c r="E8" s="38">
        <v>0.0</v>
      </c>
      <c r="F8" s="37">
        <v>10.0</v>
      </c>
      <c r="G8" s="38">
        <v>0.0</v>
      </c>
      <c r="H8" s="37">
        <v>10.0</v>
      </c>
      <c r="I8" s="38">
        <v>0.0</v>
      </c>
      <c r="J8" s="37">
        <v>10.0</v>
      </c>
      <c r="K8" s="38">
        <v>0.0</v>
      </c>
      <c r="L8" s="22"/>
      <c r="M8" s="23" t="str">
        <f>IFERROR(__xludf.DUMMYFUNCTION("LET(
  names, HSTACK(""Coins"", W$4:AG$4),
  amounts, HSTACK(C8, W8:AG8),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8" s="24">
        <f>IFERROR(__xludf.DUMMYFUNCTION("""COMPUTED_VALUE"""),1.0)</f>
        <v>1</v>
      </c>
      <c r="O8" s="25" t="str">
        <f>IFERROR(__xludf.DUMMYFUNCTION("""COMPUTED_VALUE"""),"")</f>
        <v/>
      </c>
      <c r="P8" s="24">
        <f>IFERROR(__xludf.DUMMYFUNCTION("""COMPUTED_VALUE"""),1.0)</f>
        <v>1</v>
      </c>
      <c r="Q8" s="25" t="str">
        <f>IFERROR(__xludf.DUMMYFUNCTION("""COMPUTED_VALUE"""),"")</f>
        <v/>
      </c>
      <c r="R8" s="26">
        <f>IFERROR(__xludf.DUMMYFUNCTION("""COMPUTED_VALUE"""),15.0)</f>
        <v>15</v>
      </c>
      <c r="S8" s="22"/>
      <c r="T8" s="27">
        <v>20.0</v>
      </c>
      <c r="U8" s="28">
        <v>10.0</v>
      </c>
      <c r="V8" s="22"/>
      <c r="W8" s="39">
        <v>0.0</v>
      </c>
      <c r="X8" s="63">
        <v>1.0</v>
      </c>
      <c r="Y8" s="40">
        <v>0.0</v>
      </c>
      <c r="Z8" s="40">
        <v>0.0</v>
      </c>
      <c r="AA8" s="40">
        <v>0.0</v>
      </c>
      <c r="AB8" s="63">
        <v>1.0</v>
      </c>
      <c r="AC8" s="40">
        <v>0.0</v>
      </c>
      <c r="AD8" s="63">
        <v>15.0</v>
      </c>
      <c r="AE8" s="40">
        <v>0.0</v>
      </c>
      <c r="AF8" s="40">
        <v>0.0</v>
      </c>
      <c r="AG8" s="41">
        <v>0.0</v>
      </c>
      <c r="AH8" s="64">
        <f t="shared" si="1"/>
        <v>162.55</v>
      </c>
      <c r="AI8" s="22">
        <v>95.55</v>
      </c>
      <c r="AJ8" s="25" t="s">
        <v>70</v>
      </c>
      <c r="AK8" s="58"/>
      <c r="AL8" s="22">
        <f t="shared" si="2"/>
        <v>67</v>
      </c>
    </row>
    <row r="9" ht="15.0" customHeight="1">
      <c r="A9" s="66">
        <v>5.0</v>
      </c>
      <c r="B9" s="37">
        <v>10.0</v>
      </c>
      <c r="C9" s="67">
        <v>0.0</v>
      </c>
      <c r="D9" s="37">
        <v>10.0</v>
      </c>
      <c r="E9" s="67">
        <v>0.0</v>
      </c>
      <c r="F9" s="37">
        <v>10.0</v>
      </c>
      <c r="G9" s="67">
        <v>0.0</v>
      </c>
      <c r="H9" s="37">
        <v>10.0</v>
      </c>
      <c r="I9" s="67">
        <v>0.0</v>
      </c>
      <c r="J9" s="37">
        <v>10.0</v>
      </c>
      <c r="K9" s="67">
        <v>0.0</v>
      </c>
      <c r="L9" s="22"/>
      <c r="M9" s="23" t="str">
        <f>IFERROR(__xludf.DUMMYFUNCTION("LET(
  names, HSTACK(""Coins"", W$4:AG$4),
  amounts, HSTACK(C9, W9:AG9),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9" s="68">
        <f>IFERROR(__xludf.DUMMYFUNCTION("""COMPUTED_VALUE"""),1.0)</f>
        <v>1</v>
      </c>
      <c r="O9" s="25" t="str">
        <f>IFERROR(__xludf.DUMMYFUNCTION("""COMPUTED_VALUE"""),"")</f>
        <v/>
      </c>
      <c r="P9" s="24">
        <f>IFERROR(__xludf.DUMMYFUNCTION("""COMPUTED_VALUE"""),1.0)</f>
        <v>1</v>
      </c>
      <c r="Q9" s="25" t="str">
        <f>IFERROR(__xludf.DUMMYFUNCTION("""COMPUTED_VALUE"""),"")</f>
        <v/>
      </c>
      <c r="R9" s="26">
        <f>IFERROR(__xludf.DUMMYFUNCTION("""COMPUTED_VALUE"""),15.0)</f>
        <v>15</v>
      </c>
      <c r="S9" s="22"/>
      <c r="T9" s="27">
        <v>20.0</v>
      </c>
      <c r="U9" s="28">
        <v>10.0</v>
      </c>
      <c r="V9" s="22"/>
      <c r="W9" s="39">
        <v>0.0</v>
      </c>
      <c r="X9" s="40">
        <v>0.0</v>
      </c>
      <c r="Y9" s="69">
        <v>1.0</v>
      </c>
      <c r="Z9" s="63">
        <v>1.0</v>
      </c>
      <c r="AA9" s="40">
        <v>0.0</v>
      </c>
      <c r="AB9" s="40">
        <v>0.0</v>
      </c>
      <c r="AC9" s="40">
        <v>0.0</v>
      </c>
      <c r="AD9" s="63">
        <v>15.0</v>
      </c>
      <c r="AE9" s="40">
        <v>0.0</v>
      </c>
      <c r="AF9" s="40">
        <v>0.0</v>
      </c>
      <c r="AG9" s="41">
        <v>0.0</v>
      </c>
      <c r="AH9" s="64">
        <f t="shared" si="1"/>
        <v>179.55</v>
      </c>
      <c r="AI9" s="22">
        <v>100.0</v>
      </c>
      <c r="AJ9" s="25" t="s">
        <v>71</v>
      </c>
      <c r="AK9" s="58"/>
      <c r="AL9" s="22">
        <f t="shared" si="2"/>
        <v>79.55</v>
      </c>
    </row>
    <row r="10" ht="15.0" customHeight="1">
      <c r="A10" s="66">
        <v>6.0</v>
      </c>
      <c r="B10" s="37">
        <v>10.0</v>
      </c>
      <c r="C10" s="38">
        <v>0.0</v>
      </c>
      <c r="D10" s="37">
        <v>10.0</v>
      </c>
      <c r="E10" s="38">
        <v>0.0</v>
      </c>
      <c r="F10" s="37">
        <v>10.0</v>
      </c>
      <c r="G10" s="38">
        <v>0.0</v>
      </c>
      <c r="H10" s="37">
        <v>10.0</v>
      </c>
      <c r="I10" s="38">
        <v>0.0</v>
      </c>
      <c r="J10" s="37">
        <v>10.0</v>
      </c>
      <c r="K10" s="38">
        <v>0.0</v>
      </c>
      <c r="L10" s="22"/>
      <c r="M10" s="23" t="str">
        <f>IFERROR(__xludf.DUMMYFUNCTION("LET(
  names, HSTACK(""Coins"", W$4:AG$4),
  amounts, HSTACK(C10, W10:AG10),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0" s="24">
        <f>IFERROR(__xludf.DUMMYFUNCTION("""COMPUTED_VALUE"""),1.0)</f>
        <v>1</v>
      </c>
      <c r="O10" s="25" t="str">
        <f>IFERROR(__xludf.DUMMYFUNCTION("""COMPUTED_VALUE"""),"")</f>
        <v/>
      </c>
      <c r="P10" s="24">
        <f>IFERROR(__xludf.DUMMYFUNCTION("""COMPUTED_VALUE"""),1.0)</f>
        <v>1</v>
      </c>
      <c r="Q10" s="25" t="str">
        <f>IFERROR(__xludf.DUMMYFUNCTION("""COMPUTED_VALUE"""),"")</f>
        <v/>
      </c>
      <c r="R10" s="26">
        <f>IFERROR(__xludf.DUMMYFUNCTION("""COMPUTED_VALUE"""),20.0)</f>
        <v>20</v>
      </c>
      <c r="S10" s="22"/>
      <c r="T10" s="27">
        <v>20.0</v>
      </c>
      <c r="U10" s="28">
        <v>15.0</v>
      </c>
      <c r="V10" s="22"/>
      <c r="W10" s="39">
        <v>0.0</v>
      </c>
      <c r="X10" s="40">
        <v>0.0</v>
      </c>
      <c r="Y10" s="63">
        <v>1.0</v>
      </c>
      <c r="Z10" s="40">
        <v>0.0</v>
      </c>
      <c r="AA10" s="40">
        <v>0.0</v>
      </c>
      <c r="AB10" s="40">
        <v>0.0</v>
      </c>
      <c r="AC10" s="63">
        <v>1.0</v>
      </c>
      <c r="AD10" s="63">
        <v>20.0</v>
      </c>
      <c r="AE10" s="40">
        <v>0.0</v>
      </c>
      <c r="AF10" s="40">
        <v>0.0</v>
      </c>
      <c r="AG10" s="41">
        <v>0.0</v>
      </c>
      <c r="AH10" s="64">
        <f t="shared" si="1"/>
        <v>183.4</v>
      </c>
      <c r="AI10" s="22">
        <v>229.55</v>
      </c>
      <c r="AJ10" s="25" t="s">
        <v>72</v>
      </c>
      <c r="AK10" s="58"/>
      <c r="AL10" s="22">
        <f t="shared" si="2"/>
        <v>-46.15</v>
      </c>
    </row>
    <row r="11" ht="15.0" customHeight="1">
      <c r="A11" s="66">
        <v>7.0</v>
      </c>
      <c r="B11" s="37">
        <v>10.0</v>
      </c>
      <c r="C11" s="38">
        <v>10.0</v>
      </c>
      <c r="D11" s="37">
        <v>10.0</v>
      </c>
      <c r="E11" s="38">
        <v>10.0</v>
      </c>
      <c r="F11" s="37">
        <v>10.0</v>
      </c>
      <c r="G11" s="38">
        <v>10.0</v>
      </c>
      <c r="H11" s="37">
        <v>10.0</v>
      </c>
      <c r="I11" s="38">
        <v>10.0</v>
      </c>
      <c r="J11" s="37">
        <v>10.0</v>
      </c>
      <c r="K11" s="38">
        <v>10.0</v>
      </c>
      <c r="L11" s="22"/>
      <c r="M11" s="23" t="str">
        <f>IFERROR(__xludf.DUMMYFUNCTION("LET(
  names, HSTACK(""Coins"", W$4:AG$4),
  amounts, HSTACK(C11, W11:AG11),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1" s="24">
        <f>IFERROR(__xludf.DUMMYFUNCTION("""COMPUTED_VALUE"""),10.0)</f>
        <v>10</v>
      </c>
      <c r="O11" s="25" t="str">
        <f>IFERROR(__xludf.DUMMYFUNCTION("""COMPUTED_VALUE"""),"")</f>
        <v/>
      </c>
      <c r="P11" s="24">
        <f>IFERROR(__xludf.DUMMYFUNCTION("""COMPUTED_VALUE"""),1.0)</f>
        <v>1</v>
      </c>
      <c r="Q11" s="25" t="str">
        <f>IFERROR(__xludf.DUMMYFUNCTION("""COMPUTED_VALUE"""),"")</f>
        <v/>
      </c>
      <c r="R11" s="26">
        <f>IFERROR(__xludf.DUMMYFUNCTION("""COMPUTED_VALUE"""),20.0)</f>
        <v>20</v>
      </c>
      <c r="S11" s="22"/>
      <c r="T11" s="27">
        <v>25.0</v>
      </c>
      <c r="U11" s="28">
        <v>15.0</v>
      </c>
      <c r="V11" s="22"/>
      <c r="W11" s="39">
        <v>0.0</v>
      </c>
      <c r="X11" s="40">
        <v>0.0</v>
      </c>
      <c r="Y11" s="40">
        <v>0.0</v>
      </c>
      <c r="Z11" s="63">
        <v>1.0</v>
      </c>
      <c r="AA11" s="40">
        <v>0.0</v>
      </c>
      <c r="AB11" s="40">
        <v>0.0</v>
      </c>
      <c r="AC11" s="40">
        <v>0.0</v>
      </c>
      <c r="AD11" s="63">
        <v>20.0</v>
      </c>
      <c r="AE11" s="40">
        <v>0.0</v>
      </c>
      <c r="AF11" s="40">
        <v>0.0</v>
      </c>
      <c r="AG11" s="41">
        <v>0.0</v>
      </c>
      <c r="AH11" s="64">
        <f t="shared" si="1"/>
        <v>150.4</v>
      </c>
      <c r="AI11" s="22">
        <v>192.1</v>
      </c>
      <c r="AJ11" s="25" t="s">
        <v>73</v>
      </c>
      <c r="AK11" s="58"/>
      <c r="AL11" s="22">
        <f t="shared" si="2"/>
        <v>-41.7</v>
      </c>
    </row>
    <row r="12">
      <c r="A12" s="66">
        <v>8.0</v>
      </c>
      <c r="B12" s="37">
        <v>10.0</v>
      </c>
      <c r="C12" s="38">
        <v>0.0</v>
      </c>
      <c r="D12" s="37">
        <v>10.0</v>
      </c>
      <c r="E12" s="38">
        <v>0.0</v>
      </c>
      <c r="F12" s="37">
        <v>10.0</v>
      </c>
      <c r="G12" s="38">
        <v>0.0</v>
      </c>
      <c r="H12" s="37">
        <v>10.0</v>
      </c>
      <c r="I12" s="38">
        <v>0.0</v>
      </c>
      <c r="J12" s="37">
        <v>10.0</v>
      </c>
      <c r="K12" s="38">
        <v>0.0</v>
      </c>
      <c r="L12" s="22"/>
      <c r="M12" s="23" t="str">
        <f>IFERROR(__xludf.DUMMYFUNCTION("LET(
  names, HSTACK(""Coins"", W$4:AG$4),
  amounts, HSTACK(C12, W12:AG12),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2" s="24">
        <f>IFERROR(__xludf.DUMMYFUNCTION("""COMPUTED_VALUE"""),1.0)</f>
        <v>1</v>
      </c>
      <c r="O12" s="25" t="str">
        <f>IFERROR(__xludf.DUMMYFUNCTION("""COMPUTED_VALUE"""),"")</f>
        <v/>
      </c>
      <c r="P12" s="24">
        <f>IFERROR(__xludf.DUMMYFUNCTION("""COMPUTED_VALUE"""),1.0)</f>
        <v>1</v>
      </c>
      <c r="Q12" s="25" t="str">
        <f>IFERROR(__xludf.DUMMYFUNCTION("""COMPUTED_VALUE"""),"")</f>
        <v/>
      </c>
      <c r="R12" s="26">
        <f>IFERROR(__xludf.DUMMYFUNCTION("""COMPUTED_VALUE"""),30.0)</f>
        <v>30</v>
      </c>
      <c r="S12" s="22"/>
      <c r="T12" s="27">
        <v>25.0</v>
      </c>
      <c r="U12" s="28">
        <v>15.0</v>
      </c>
      <c r="V12" s="22"/>
      <c r="W12" s="39">
        <v>0.0</v>
      </c>
      <c r="X12" s="40">
        <v>0.0</v>
      </c>
      <c r="Y12" s="63">
        <v>1.0</v>
      </c>
      <c r="Z12" s="40">
        <v>0.0</v>
      </c>
      <c r="AA12" s="63">
        <v>1.0</v>
      </c>
      <c r="AB12" s="40">
        <v>0.0</v>
      </c>
      <c r="AC12" s="40">
        <v>0.0</v>
      </c>
      <c r="AD12" s="63">
        <v>30.0</v>
      </c>
      <c r="AE12" s="40">
        <v>0.0</v>
      </c>
      <c r="AF12" s="40">
        <v>0.0</v>
      </c>
      <c r="AG12" s="41">
        <v>0.0</v>
      </c>
      <c r="AH12" s="64">
        <f t="shared" si="1"/>
        <v>342.1</v>
      </c>
      <c r="AI12" s="22">
        <v>217.0</v>
      </c>
      <c r="AJ12" s="25" t="s">
        <v>74</v>
      </c>
      <c r="AK12" s="58"/>
      <c r="AL12" s="22">
        <f t="shared" si="2"/>
        <v>125.1</v>
      </c>
    </row>
    <row r="13" ht="15.0" customHeight="1">
      <c r="A13" s="66">
        <v>9.0</v>
      </c>
      <c r="B13" s="37">
        <v>10.0</v>
      </c>
      <c r="C13" s="38">
        <v>10.0</v>
      </c>
      <c r="D13" s="37">
        <v>10.0</v>
      </c>
      <c r="E13" s="38">
        <v>10.0</v>
      </c>
      <c r="F13" s="37">
        <v>10.0</v>
      </c>
      <c r="G13" s="38">
        <v>10.0</v>
      </c>
      <c r="H13" s="37">
        <v>10.0</v>
      </c>
      <c r="I13" s="38">
        <v>10.0</v>
      </c>
      <c r="J13" s="37">
        <v>10.0</v>
      </c>
      <c r="K13" s="38">
        <v>10.0</v>
      </c>
      <c r="L13" s="22"/>
      <c r="M13" s="23" t="str">
        <f>IFERROR(__xludf.DUMMYFUNCTION("LET(
  names, HSTACK(""Coins"", W$4:AG$4),
  amounts, HSTACK(C13, W13:AG13),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3" s="24">
        <f>IFERROR(__xludf.DUMMYFUNCTION("""COMPUTED_VALUE"""),10.0)</f>
        <v>10</v>
      </c>
      <c r="O13" s="25" t="str">
        <f>IFERROR(__xludf.DUMMYFUNCTION("""COMPUTED_VALUE"""),"")</f>
        <v/>
      </c>
      <c r="P13" s="24">
        <f>IFERROR(__xludf.DUMMYFUNCTION("""COMPUTED_VALUE"""),1.0)</f>
        <v>1</v>
      </c>
      <c r="Q13" s="25" t="str">
        <f>IFERROR(__xludf.DUMMYFUNCTION("""COMPUTED_VALUE"""),"")</f>
        <v/>
      </c>
      <c r="R13" s="26">
        <f>IFERROR(__xludf.DUMMYFUNCTION("""COMPUTED_VALUE"""),60.0)</f>
        <v>60</v>
      </c>
      <c r="S13" s="22"/>
      <c r="T13" s="27">
        <v>25.0</v>
      </c>
      <c r="U13" s="28">
        <v>15.0</v>
      </c>
      <c r="V13" s="22"/>
      <c r="W13" s="39">
        <v>0.0</v>
      </c>
      <c r="X13" s="40">
        <v>0.0</v>
      </c>
      <c r="Y13" s="40">
        <v>0.0</v>
      </c>
      <c r="Z13" s="40">
        <v>0.0</v>
      </c>
      <c r="AA13" s="40">
        <v>0.0</v>
      </c>
      <c r="AB13" s="63">
        <v>1.0</v>
      </c>
      <c r="AC13" s="40">
        <v>0.0</v>
      </c>
      <c r="AD13" s="63">
        <v>60.0</v>
      </c>
      <c r="AE13" s="40">
        <v>0.0</v>
      </c>
      <c r="AF13" s="40">
        <v>0.0</v>
      </c>
      <c r="AG13" s="41">
        <v>0.0</v>
      </c>
      <c r="AH13" s="64">
        <f t="shared" si="1"/>
        <v>317.2</v>
      </c>
      <c r="AI13" s="22">
        <v>300.2</v>
      </c>
      <c r="AJ13" s="25" t="s">
        <v>75</v>
      </c>
      <c r="AK13" s="58"/>
      <c r="AL13" s="22">
        <f t="shared" si="2"/>
        <v>17</v>
      </c>
    </row>
    <row r="14" ht="15.0" customHeight="1">
      <c r="A14" s="70">
        <v>10.0</v>
      </c>
      <c r="B14" s="44">
        <v>10.0</v>
      </c>
      <c r="C14" s="71">
        <v>20.0</v>
      </c>
      <c r="D14" s="44">
        <v>10.0</v>
      </c>
      <c r="E14" s="71">
        <v>20.0</v>
      </c>
      <c r="F14" s="44">
        <v>10.0</v>
      </c>
      <c r="G14" s="71">
        <v>20.0</v>
      </c>
      <c r="H14" s="44">
        <v>10.0</v>
      </c>
      <c r="I14" s="71">
        <v>20.0</v>
      </c>
      <c r="J14" s="44">
        <v>10.0</v>
      </c>
      <c r="K14" s="71">
        <v>20.0</v>
      </c>
      <c r="L14" s="22"/>
      <c r="M14" s="23" t="str">
        <f>IFERROR(__xludf.DUMMYFUNCTION("LET(
  names, HSTACK(""Coins"", W$4:AG$4),
  amounts, HSTACK(C14, W14:AG14),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4" s="68">
        <f>IFERROR(__xludf.DUMMYFUNCTION("""COMPUTED_VALUE"""),20.0)</f>
        <v>20</v>
      </c>
      <c r="O14" s="25" t="str">
        <f>IFERROR(__xludf.DUMMYFUNCTION("""COMPUTED_VALUE"""),"")</f>
        <v/>
      </c>
      <c r="P14" s="24">
        <f>IFERROR(__xludf.DUMMYFUNCTION("""COMPUTED_VALUE"""),1.0)</f>
        <v>1</v>
      </c>
      <c r="Q14" s="25" t="str">
        <f>IFERROR(__xludf.DUMMYFUNCTION("""COMPUTED_VALUE"""),"")</f>
        <v/>
      </c>
      <c r="R14" s="26">
        <f>IFERROR(__xludf.DUMMYFUNCTION("""COMPUTED_VALUE"""),60.0)</f>
        <v>60</v>
      </c>
      <c r="S14" s="22"/>
      <c r="T14" s="27">
        <v>30.0</v>
      </c>
      <c r="U14" s="28">
        <v>20.0</v>
      </c>
      <c r="V14" s="22"/>
      <c r="W14" s="46">
        <v>0.0</v>
      </c>
      <c r="X14" s="47">
        <v>0.0</v>
      </c>
      <c r="Y14" s="47">
        <v>0.0</v>
      </c>
      <c r="Z14" s="47">
        <v>0.0</v>
      </c>
      <c r="AA14" s="47">
        <v>0.0</v>
      </c>
      <c r="AB14" s="47">
        <v>0.0</v>
      </c>
      <c r="AC14" s="72">
        <v>1.0</v>
      </c>
      <c r="AD14" s="72">
        <v>60.0</v>
      </c>
      <c r="AE14" s="47">
        <v>0.0</v>
      </c>
      <c r="AF14" s="47">
        <v>0.0</v>
      </c>
      <c r="AG14" s="49">
        <v>0.0</v>
      </c>
      <c r="AH14" s="64">
        <f t="shared" si="1"/>
        <v>300.2</v>
      </c>
      <c r="AI14" s="22">
        <v>117.0</v>
      </c>
      <c r="AJ14" s="25" t="s">
        <v>76</v>
      </c>
      <c r="AK14" s="58"/>
      <c r="AL14" s="22">
        <f t="shared" si="2"/>
        <v>183.2</v>
      </c>
    </row>
    <row r="15" ht="15.0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5" t="s">
        <v>77</v>
      </c>
      <c r="AK15" s="58"/>
      <c r="AL15" s="22"/>
    </row>
    <row r="16" ht="15.0" customHeight="1">
      <c r="A16" s="73" t="s">
        <v>83</v>
      </c>
      <c r="B16" s="51">
        <f t="shared" ref="B16:K16" si="3">SUM(B5:B14)</f>
        <v>100</v>
      </c>
      <c r="C16" s="51">
        <f t="shared" si="3"/>
        <v>60</v>
      </c>
      <c r="D16" s="51">
        <f t="shared" si="3"/>
        <v>100</v>
      </c>
      <c r="E16" s="51">
        <f t="shared" si="3"/>
        <v>60</v>
      </c>
      <c r="F16" s="51">
        <f t="shared" si="3"/>
        <v>100</v>
      </c>
      <c r="G16" s="51">
        <f t="shared" si="3"/>
        <v>60</v>
      </c>
      <c r="H16" s="51">
        <f t="shared" si="3"/>
        <v>100</v>
      </c>
      <c r="I16" s="51">
        <f t="shared" si="3"/>
        <v>60</v>
      </c>
      <c r="J16" s="51">
        <f t="shared" si="3"/>
        <v>100</v>
      </c>
      <c r="K16" s="51">
        <f t="shared" si="3"/>
        <v>60</v>
      </c>
      <c r="L16" s="22"/>
      <c r="M16" s="22"/>
      <c r="N16" s="22"/>
      <c r="O16" s="22"/>
      <c r="P16" s="22"/>
      <c r="Q16" s="22"/>
      <c r="R16" s="22"/>
      <c r="S16" s="22"/>
      <c r="T16" s="74">
        <f t="shared" ref="T16:U16" si="4">SUM(T5:T14)</f>
        <v>210</v>
      </c>
      <c r="U16" s="74">
        <f t="shared" si="4"/>
        <v>130</v>
      </c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 t="s">
        <v>78</v>
      </c>
      <c r="AK16" s="58"/>
      <c r="AL16" s="22"/>
    </row>
    <row r="17" ht="15.0" customHeight="1">
      <c r="A17" s="73" t="s">
        <v>84</v>
      </c>
      <c r="B17" s="22"/>
      <c r="C17" s="53">
        <f>C16/B16</f>
        <v>0.6</v>
      </c>
      <c r="D17" s="22"/>
      <c r="E17" s="53">
        <f>E16/D16</f>
        <v>0.6</v>
      </c>
      <c r="F17" s="22"/>
      <c r="G17" s="53">
        <f>G16/F16</f>
        <v>0.6</v>
      </c>
      <c r="H17" s="22"/>
      <c r="I17" s="53">
        <f>I16/H16</f>
        <v>0.6</v>
      </c>
      <c r="J17" s="22"/>
      <c r="K17" s="53">
        <f>K16/J16</f>
        <v>0.6</v>
      </c>
      <c r="L17" s="22"/>
      <c r="M17" s="22"/>
      <c r="N17" s="22"/>
      <c r="O17" s="22"/>
      <c r="P17" s="22"/>
      <c r="Q17" s="22"/>
      <c r="R17" s="22"/>
      <c r="S17" s="22"/>
      <c r="T17" s="75">
        <f t="shared" ref="T17:U17" si="5">T16/$J$16</f>
        <v>2.1</v>
      </c>
      <c r="U17" s="75">
        <f t="shared" si="5"/>
        <v>1.3</v>
      </c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</row>
    <row r="18" ht="15.0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76"/>
      <c r="U18" s="76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</row>
    <row r="19" ht="15.0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77" t="str">
        <f t="shared" ref="T19:U19" si="6">T16/saga_progression_old!$C$15</f>
        <v>#REF!</v>
      </c>
      <c r="U19" s="77" t="str">
        <f t="shared" si="6"/>
        <v>#REF!</v>
      </c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</row>
    <row r="20" ht="15.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</row>
    <row r="22" ht="15.75" customHeight="1">
      <c r="A22" s="8"/>
      <c r="B22" s="7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</row>
  </sheetData>
  <mergeCells count="1">
    <mergeCell ref="M4:R4"/>
  </mergeCells>
  <conditionalFormatting sqref="C5:C14 E5:E14 G5:G14 I5:I14 K5:K14 W5:AG14">
    <cfRule type="cellIs" dxfId="4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24" width="7.25"/>
    <col hidden="1" min="28" max="29" width="12.63"/>
  </cols>
  <sheetData>
    <row r="1" ht="17.25" customHeight="1">
      <c r="A1" s="79" t="s">
        <v>86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ht="15.0" customHeight="1">
      <c r="A3" s="12" t="s">
        <v>87</v>
      </c>
      <c r="B3" s="12" t="s">
        <v>64</v>
      </c>
      <c r="C3" s="8"/>
      <c r="D3" s="8"/>
      <c r="E3" s="80" t="s">
        <v>65</v>
      </c>
      <c r="K3" s="8"/>
      <c r="L3" s="81" t="s">
        <v>88</v>
      </c>
      <c r="M3" s="82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"/>
      <c r="Z3" s="8"/>
      <c r="AA3" s="8"/>
      <c r="AB3" s="12" t="s">
        <v>80</v>
      </c>
      <c r="AC3" s="12" t="s">
        <v>81</v>
      </c>
      <c r="AD3" s="8"/>
      <c r="AE3" s="8"/>
      <c r="AF3" s="8"/>
    </row>
    <row r="4" ht="15.0" customHeight="1">
      <c r="A4" s="84">
        <v>1.0</v>
      </c>
      <c r="B4" s="85">
        <f>average(M5,M16,M26,M35,M45)</f>
        <v>22</v>
      </c>
      <c r="C4" s="8"/>
      <c r="D4" s="8"/>
      <c r="G4" s="42"/>
      <c r="H4" s="86"/>
      <c r="I4" s="42"/>
      <c r="J4" s="86"/>
      <c r="K4" s="8"/>
      <c r="L4" s="87" t="s">
        <v>87</v>
      </c>
      <c r="M4" s="87" t="s">
        <v>89</v>
      </c>
      <c r="N4" s="87" t="s">
        <v>68</v>
      </c>
      <c r="O4" s="87" t="s">
        <v>69</v>
      </c>
      <c r="P4" s="87" t="s">
        <v>70</v>
      </c>
      <c r="Q4" s="87" t="s">
        <v>71</v>
      </c>
      <c r="R4" s="87" t="s">
        <v>72</v>
      </c>
      <c r="S4" s="87" t="s">
        <v>73</v>
      </c>
      <c r="T4" s="87" t="s">
        <v>74</v>
      </c>
      <c r="U4" s="87" t="s">
        <v>75</v>
      </c>
      <c r="V4" s="87" t="s">
        <v>76</v>
      </c>
      <c r="W4" s="87" t="s">
        <v>77</v>
      </c>
      <c r="X4" s="87" t="s">
        <v>78</v>
      </c>
      <c r="Y4" s="8"/>
      <c r="Z4" s="8"/>
      <c r="AA4" s="8"/>
      <c r="AB4" s="11" t="s">
        <v>82</v>
      </c>
      <c r="AC4" s="11"/>
      <c r="AD4" s="8"/>
      <c r="AE4" s="8"/>
      <c r="AF4" s="8"/>
    </row>
    <row r="5" ht="15.0" customHeight="1">
      <c r="A5" s="88">
        <v>2.0</v>
      </c>
      <c r="B5" s="89">
        <v>0.0</v>
      </c>
      <c r="C5" s="8"/>
      <c r="D5" s="8"/>
      <c r="E5" s="42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86">
        <f>IFERROR(__xludf.DUMMYFUNCTION("""COMPUTED_VALUE"""),20.0)</f>
        <v>20</v>
      </c>
      <c r="G5" s="42"/>
      <c r="H5" s="86"/>
      <c r="I5" s="42"/>
      <c r="J5" s="86"/>
      <c r="K5" s="8"/>
      <c r="L5" s="90">
        <v>1.0</v>
      </c>
      <c r="M5" s="91">
        <v>20.0</v>
      </c>
      <c r="N5" s="92">
        <v>0.0</v>
      </c>
      <c r="O5" s="92">
        <v>0.0</v>
      </c>
      <c r="P5" s="92">
        <v>0.0</v>
      </c>
      <c r="Q5" s="92">
        <v>0.0</v>
      </c>
      <c r="R5" s="92">
        <v>0.0</v>
      </c>
      <c r="S5" s="92">
        <v>0.0</v>
      </c>
      <c r="T5" s="92">
        <v>0.0</v>
      </c>
      <c r="U5" s="92">
        <v>0.0</v>
      </c>
      <c r="V5" s="92">
        <v>0.0</v>
      </c>
      <c r="W5" s="92">
        <v>0.0</v>
      </c>
      <c r="X5" s="92">
        <v>0.0</v>
      </c>
      <c r="Y5" s="8"/>
      <c r="Z5" s="8"/>
      <c r="AA5" s="8"/>
      <c r="AB5" s="8" t="s">
        <v>68</v>
      </c>
      <c r="AC5" s="8"/>
      <c r="AD5" s="8"/>
      <c r="AE5" s="8"/>
      <c r="AF5" s="8"/>
    </row>
    <row r="6" ht="15.0" customHeight="1">
      <c r="A6" s="88">
        <v>3.0</v>
      </c>
      <c r="B6" s="89">
        <v>0.0</v>
      </c>
      <c r="C6" s="8"/>
      <c r="D6" s="8"/>
      <c r="E6" s="42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86">
        <f>IFERROR(__xludf.DUMMYFUNCTION("""COMPUTED_VALUE"""),15.0)</f>
        <v>15</v>
      </c>
      <c r="G6" s="42"/>
      <c r="H6" s="86"/>
      <c r="I6" s="42"/>
      <c r="J6" s="86"/>
      <c r="K6" s="8"/>
      <c r="L6" s="90">
        <v>2.0</v>
      </c>
      <c r="M6" s="92">
        <v>0.0</v>
      </c>
      <c r="N6" s="92">
        <v>0.0</v>
      </c>
      <c r="O6" s="92">
        <v>0.0</v>
      </c>
      <c r="P6" s="92">
        <v>0.0</v>
      </c>
      <c r="Q6" s="92">
        <v>0.0</v>
      </c>
      <c r="R6" s="92">
        <v>0.0</v>
      </c>
      <c r="S6" s="92">
        <v>0.0</v>
      </c>
      <c r="T6" s="92">
        <v>0.0</v>
      </c>
      <c r="U6" s="91">
        <v>15.0</v>
      </c>
      <c r="V6" s="92">
        <v>0.0</v>
      </c>
      <c r="W6" s="92">
        <v>0.0</v>
      </c>
      <c r="X6" s="92">
        <v>0.0</v>
      </c>
      <c r="Y6" s="8"/>
      <c r="Z6" s="8"/>
      <c r="AA6" s="8"/>
      <c r="AB6" s="8" t="s">
        <v>69</v>
      </c>
      <c r="AC6" s="11"/>
      <c r="AD6" s="8"/>
      <c r="AE6" s="8"/>
      <c r="AF6" s="8"/>
    </row>
    <row r="7" ht="15.0" customHeight="1">
      <c r="A7" s="88">
        <v>4.0</v>
      </c>
      <c r="B7" s="89">
        <f>mround(average(M8,M18,M28), 1)</f>
        <v>27</v>
      </c>
      <c r="C7" s="8"/>
      <c r="D7" s="8"/>
      <c r="E7" s="42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86">
        <f>IFERROR(__xludf.DUMMYFUNCTION("""COMPUTED_VALUE"""),1.0)</f>
        <v>1</v>
      </c>
      <c r="G7" s="42"/>
      <c r="H7" s="86"/>
      <c r="I7" s="42"/>
      <c r="J7" s="86"/>
      <c r="K7" s="8"/>
      <c r="L7" s="90">
        <v>3.0</v>
      </c>
      <c r="M7" s="92">
        <v>0.0</v>
      </c>
      <c r="N7" s="92">
        <v>0.0</v>
      </c>
      <c r="O7" s="92">
        <v>0.0</v>
      </c>
      <c r="P7" s="92">
        <v>0.0</v>
      </c>
      <c r="Q7" s="92">
        <v>0.0</v>
      </c>
      <c r="R7" s="91">
        <v>1.0</v>
      </c>
      <c r="S7" s="92">
        <v>0.0</v>
      </c>
      <c r="T7" s="92">
        <v>0.0</v>
      </c>
      <c r="U7" s="92">
        <v>0.0</v>
      </c>
      <c r="V7" s="92">
        <v>0.0</v>
      </c>
      <c r="W7" s="92">
        <v>0.0</v>
      </c>
      <c r="X7" s="92">
        <v>0.0</v>
      </c>
      <c r="Y7" s="8"/>
      <c r="Z7" s="8"/>
      <c r="AA7" s="8"/>
      <c r="AB7" s="8" t="s">
        <v>70</v>
      </c>
      <c r="AC7" s="11"/>
      <c r="AD7" s="8"/>
      <c r="AE7" s="8"/>
      <c r="AF7" s="8"/>
    </row>
    <row r="8" ht="15.0" customHeight="1">
      <c r="A8" s="88">
        <v>5.0</v>
      </c>
      <c r="B8" s="89">
        <v>0.0</v>
      </c>
      <c r="C8" s="8"/>
      <c r="D8" s="8"/>
      <c r="E8" s="42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86">
        <f>IFERROR(__xludf.DUMMYFUNCTION("""COMPUTED_VALUE"""),25.0)</f>
        <v>25</v>
      </c>
      <c r="G8" s="42"/>
      <c r="H8" s="86"/>
      <c r="I8" s="42"/>
      <c r="J8" s="86"/>
      <c r="K8" s="8"/>
      <c r="L8" s="90">
        <v>4.0</v>
      </c>
      <c r="M8" s="91">
        <v>25.0</v>
      </c>
      <c r="N8" s="92">
        <v>0.0</v>
      </c>
      <c r="O8" s="92">
        <v>0.0</v>
      </c>
      <c r="P8" s="92">
        <v>0.0</v>
      </c>
      <c r="Q8" s="92">
        <v>0.0</v>
      </c>
      <c r="R8" s="92">
        <v>0.0</v>
      </c>
      <c r="S8" s="92">
        <v>0.0</v>
      </c>
      <c r="T8" s="92">
        <v>0.0</v>
      </c>
      <c r="U8" s="92">
        <v>0.0</v>
      </c>
      <c r="V8" s="92">
        <v>0.0</v>
      </c>
      <c r="W8" s="92">
        <v>0.0</v>
      </c>
      <c r="X8" s="92">
        <v>0.0</v>
      </c>
      <c r="Y8" s="8"/>
      <c r="Z8" s="8"/>
      <c r="AA8" s="8"/>
      <c r="AB8" s="8" t="s">
        <v>71</v>
      </c>
      <c r="AC8" s="11"/>
      <c r="AD8" s="8"/>
      <c r="AE8" s="8"/>
      <c r="AF8" s="8"/>
    </row>
    <row r="9" ht="15.0" customHeight="1">
      <c r="A9" s="88">
        <v>6.0</v>
      </c>
      <c r="B9" s="89">
        <f>mround(AVERAGE(M10, M20, M30, M50),1)</f>
        <v>33</v>
      </c>
      <c r="C9" s="8"/>
      <c r="D9" s="8"/>
      <c r="E9" s="42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86">
        <f>IFERROR(__xludf.DUMMYFUNCTION("""COMPUTED_VALUE"""),1.0)</f>
        <v>1</v>
      </c>
      <c r="G9" s="42"/>
      <c r="H9" s="86"/>
      <c r="I9" s="42"/>
      <c r="J9" s="86"/>
      <c r="K9" s="8"/>
      <c r="L9" s="90">
        <v>5.0</v>
      </c>
      <c r="M9" s="92">
        <v>0.0</v>
      </c>
      <c r="N9" s="92">
        <v>0.0</v>
      </c>
      <c r="O9" s="92">
        <v>0.0</v>
      </c>
      <c r="P9" s="92">
        <v>0.0</v>
      </c>
      <c r="Q9" s="92">
        <v>0.0</v>
      </c>
      <c r="R9" s="92">
        <v>0.0</v>
      </c>
      <c r="S9" s="91">
        <v>1.0</v>
      </c>
      <c r="T9" s="92">
        <v>0.0</v>
      </c>
      <c r="U9" s="92">
        <v>0.0</v>
      </c>
      <c r="V9" s="92">
        <v>0.0</v>
      </c>
      <c r="W9" s="92">
        <v>0.0</v>
      </c>
      <c r="X9" s="92">
        <v>0.0</v>
      </c>
      <c r="Y9" s="8"/>
      <c r="Z9" s="8"/>
      <c r="AA9" s="8"/>
      <c r="AB9" s="8" t="s">
        <v>72</v>
      </c>
      <c r="AC9" s="11"/>
      <c r="AD9" s="8"/>
      <c r="AE9" s="8"/>
      <c r="AF9" s="8"/>
    </row>
    <row r="10" ht="15.0" customHeight="1">
      <c r="A10" s="93">
        <v>7.0</v>
      </c>
      <c r="B10" s="94">
        <v>100.0</v>
      </c>
      <c r="C10" s="8"/>
      <c r="D10" s="8"/>
      <c r="E10" s="42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86">
        <f>IFERROR(__xludf.DUMMYFUNCTION("""COMPUTED_VALUE"""),30.0)</f>
        <v>30</v>
      </c>
      <c r="G10" s="42"/>
      <c r="H10" s="86"/>
      <c r="I10" s="42"/>
      <c r="J10" s="86"/>
      <c r="K10" s="8"/>
      <c r="L10" s="90">
        <v>6.0</v>
      </c>
      <c r="M10" s="91">
        <v>30.0</v>
      </c>
      <c r="N10" s="92">
        <v>0.0</v>
      </c>
      <c r="O10" s="92">
        <v>0.0</v>
      </c>
      <c r="P10" s="92">
        <v>0.0</v>
      </c>
      <c r="Q10" s="92">
        <v>0.0</v>
      </c>
      <c r="R10" s="92">
        <v>0.0</v>
      </c>
      <c r="S10" s="92">
        <v>0.0</v>
      </c>
      <c r="T10" s="92">
        <v>0.0</v>
      </c>
      <c r="U10" s="92">
        <v>0.0</v>
      </c>
      <c r="V10" s="92">
        <v>0.0</v>
      </c>
      <c r="W10" s="92">
        <v>0.0</v>
      </c>
      <c r="X10" s="92">
        <v>0.0</v>
      </c>
      <c r="Y10" s="8"/>
      <c r="Z10" s="8"/>
      <c r="AA10" s="8"/>
      <c r="AB10" s="8" t="s">
        <v>73</v>
      </c>
      <c r="AC10" s="11"/>
      <c r="AD10" s="8"/>
      <c r="AE10" s="8"/>
      <c r="AF10" s="8"/>
    </row>
    <row r="11">
      <c r="A11" s="8"/>
      <c r="B11" s="8"/>
      <c r="C11" s="8"/>
      <c r="D11" s="8"/>
      <c r="E11" s="42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86">
        <f>IFERROR(__xludf.DUMMYFUNCTION("""COMPUTED_VALUE"""),100.0)</f>
        <v>100</v>
      </c>
      <c r="G11" s="42" t="str">
        <f>IFERROR(__xludf.DUMMYFUNCTION("""COMPUTED_VALUE"""),"")</f>
        <v/>
      </c>
      <c r="H11" s="86">
        <f>IFERROR(__xludf.DUMMYFUNCTION("""COMPUTED_VALUE"""),120.0)</f>
        <v>120</v>
      </c>
      <c r="I11" s="42" t="str">
        <f>IFERROR(__xludf.DUMMYFUNCTION("""COMPUTED_VALUE"""),"")</f>
        <v/>
      </c>
      <c r="J11" s="86">
        <f>IFERROR(__xludf.DUMMYFUNCTION("""COMPUTED_VALUE"""),60.0)</f>
        <v>60</v>
      </c>
      <c r="K11" s="8"/>
      <c r="L11" s="90">
        <v>7.0</v>
      </c>
      <c r="M11" s="91">
        <v>100.0</v>
      </c>
      <c r="N11" s="92">
        <v>0.0</v>
      </c>
      <c r="O11" s="92">
        <v>0.0</v>
      </c>
      <c r="P11" s="92">
        <v>0.0</v>
      </c>
      <c r="Q11" s="92">
        <v>0.0</v>
      </c>
      <c r="R11" s="92">
        <v>0.0</v>
      </c>
      <c r="S11" s="92">
        <v>0.0</v>
      </c>
      <c r="T11" s="92">
        <v>0.0</v>
      </c>
      <c r="U11" s="91">
        <v>120.0</v>
      </c>
      <c r="V11" s="91">
        <v>60.0</v>
      </c>
      <c r="W11" s="92">
        <v>0.0</v>
      </c>
      <c r="X11" s="92">
        <v>0.0</v>
      </c>
      <c r="Y11" s="8"/>
      <c r="Z11" s="8"/>
      <c r="AA11" s="8"/>
      <c r="AB11" s="8" t="s">
        <v>74</v>
      </c>
      <c r="AC11" s="11"/>
      <c r="AD11" s="8"/>
      <c r="AE11" s="8"/>
      <c r="AF11" s="8"/>
    </row>
    <row r="12" ht="15.0" customHeight="1">
      <c r="A12" s="50" t="s">
        <v>83</v>
      </c>
      <c r="B12" s="51">
        <f>SUM(B4:B10)</f>
        <v>182</v>
      </c>
      <c r="C12" s="8"/>
      <c r="D12" s="8"/>
      <c r="E12" s="42"/>
      <c r="F12" s="86"/>
      <c r="G12" s="42"/>
      <c r="H12" s="86"/>
      <c r="I12" s="42"/>
      <c r="J12" s="86"/>
      <c r="K12" s="8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8"/>
      <c r="Z12" s="8"/>
      <c r="AA12" s="8"/>
      <c r="AB12" s="8" t="s">
        <v>75</v>
      </c>
      <c r="AC12" s="11"/>
      <c r="AD12" s="8"/>
      <c r="AE12" s="8"/>
      <c r="AF12" s="8"/>
    </row>
    <row r="13" ht="15.0" customHeight="1">
      <c r="A13" s="50" t="s">
        <v>90</v>
      </c>
      <c r="B13" s="53">
        <f>B12/7</f>
        <v>26</v>
      </c>
      <c r="C13" s="8"/>
      <c r="D13" s="8"/>
      <c r="E13" s="42"/>
      <c r="F13" s="86"/>
      <c r="G13" s="42"/>
      <c r="H13" s="86"/>
      <c r="I13" s="42"/>
      <c r="J13" s="86"/>
      <c r="K13" s="8"/>
      <c r="L13" s="81" t="s">
        <v>91</v>
      </c>
      <c r="M13" s="82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"/>
      <c r="Z13" s="8"/>
      <c r="AA13" s="8"/>
      <c r="AB13" s="8" t="s">
        <v>76</v>
      </c>
      <c r="AC13" s="11"/>
      <c r="AD13" s="8"/>
      <c r="AE13" s="8"/>
      <c r="AF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7" t="s">
        <v>87</v>
      </c>
      <c r="M14" s="87" t="s">
        <v>89</v>
      </c>
      <c r="N14" s="87" t="s">
        <v>68</v>
      </c>
      <c r="O14" s="87" t="s">
        <v>69</v>
      </c>
      <c r="P14" s="87" t="s">
        <v>70</v>
      </c>
      <c r="Q14" s="87" t="s">
        <v>71</v>
      </c>
      <c r="R14" s="87" t="s">
        <v>72</v>
      </c>
      <c r="S14" s="87" t="s">
        <v>73</v>
      </c>
      <c r="T14" s="87" t="s">
        <v>74</v>
      </c>
      <c r="U14" s="87" t="s">
        <v>75</v>
      </c>
      <c r="V14" s="87" t="s">
        <v>76</v>
      </c>
      <c r="W14" s="87" t="s">
        <v>77</v>
      </c>
      <c r="X14" s="87" t="s">
        <v>78</v>
      </c>
      <c r="Y14" s="8"/>
      <c r="Z14" s="8"/>
      <c r="AA14" s="8"/>
      <c r="AB14" s="8" t="s">
        <v>77</v>
      </c>
      <c r="AC14" s="11"/>
      <c r="AD14" s="8"/>
      <c r="AE14" s="8"/>
      <c r="AF14" s="8"/>
    </row>
    <row r="15">
      <c r="A15" s="8"/>
      <c r="B15" s="8"/>
      <c r="C15" s="8"/>
      <c r="D15" s="8"/>
      <c r="E15" s="42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86">
        <f>IFERROR(__xludf.DUMMYFUNCTION("""COMPUTED_VALUE"""),20.0)</f>
        <v>20</v>
      </c>
      <c r="G15" s="42"/>
      <c r="H15" s="86"/>
      <c r="I15" s="42"/>
      <c r="J15" s="86"/>
      <c r="K15" s="8"/>
      <c r="L15" s="90">
        <v>1.0</v>
      </c>
      <c r="M15" s="92">
        <v>0.0</v>
      </c>
      <c r="N15" s="92">
        <v>0.0</v>
      </c>
      <c r="O15" s="92">
        <v>0.0</v>
      </c>
      <c r="P15" s="92">
        <v>0.0</v>
      </c>
      <c r="Q15" s="92">
        <v>0.0</v>
      </c>
      <c r="R15" s="92">
        <v>0.0</v>
      </c>
      <c r="S15" s="92">
        <v>0.0</v>
      </c>
      <c r="T15" s="92">
        <v>0.0</v>
      </c>
      <c r="U15" s="91">
        <v>20.0</v>
      </c>
      <c r="V15" s="92">
        <v>0.0</v>
      </c>
      <c r="W15" s="92">
        <v>0.0</v>
      </c>
      <c r="X15" s="92">
        <v>0.0</v>
      </c>
      <c r="Y15" s="8"/>
      <c r="Z15" s="8"/>
      <c r="AA15" s="8"/>
      <c r="AB15" s="8" t="s">
        <v>78</v>
      </c>
      <c r="AC15" s="11"/>
      <c r="AD15" s="8"/>
      <c r="AE15" s="8"/>
      <c r="AF15" s="8"/>
    </row>
    <row r="16">
      <c r="A16" s="8"/>
      <c r="B16" s="8"/>
      <c r="C16" s="8"/>
      <c r="D16" s="8"/>
      <c r="E16" s="42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86">
        <f>IFERROR(__xludf.DUMMYFUNCTION("""COMPUTED_VALUE"""),25.0)</f>
        <v>25</v>
      </c>
      <c r="G16" s="42"/>
      <c r="H16" s="86"/>
      <c r="I16" s="42"/>
      <c r="J16" s="86"/>
      <c r="K16" s="8"/>
      <c r="L16" s="90">
        <v>2.0</v>
      </c>
      <c r="M16" s="91">
        <v>25.0</v>
      </c>
      <c r="N16" s="92">
        <v>0.0</v>
      </c>
      <c r="O16" s="92">
        <v>0.0</v>
      </c>
      <c r="P16" s="92">
        <v>0.0</v>
      </c>
      <c r="Q16" s="92">
        <v>0.0</v>
      </c>
      <c r="R16" s="92">
        <v>0.0</v>
      </c>
      <c r="S16" s="92">
        <v>0.0</v>
      </c>
      <c r="T16" s="92">
        <v>0.0</v>
      </c>
      <c r="U16" s="92">
        <v>0.0</v>
      </c>
      <c r="V16" s="92">
        <v>0.0</v>
      </c>
      <c r="W16" s="92">
        <v>0.0</v>
      </c>
      <c r="X16" s="92">
        <v>0.0</v>
      </c>
      <c r="Y16" s="8"/>
      <c r="Z16" s="8"/>
      <c r="AA16" s="8"/>
      <c r="AB16" s="8"/>
      <c r="AC16" s="8"/>
      <c r="AD16" s="8"/>
      <c r="AE16" s="8"/>
      <c r="AF16" s="8"/>
    </row>
    <row r="17">
      <c r="A17" s="8"/>
      <c r="B17" s="8"/>
      <c r="C17" s="8"/>
      <c r="D17" s="8"/>
      <c r="E17" s="42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86">
        <f>IFERROR(__xludf.DUMMYFUNCTION("""COMPUTED_VALUE"""),1.0)</f>
        <v>1</v>
      </c>
      <c r="G17" s="42"/>
      <c r="H17" s="86"/>
      <c r="I17" s="42"/>
      <c r="J17" s="86"/>
      <c r="K17" s="8"/>
      <c r="L17" s="90">
        <v>3.0</v>
      </c>
      <c r="M17" s="92">
        <v>0.0</v>
      </c>
      <c r="N17" s="92">
        <v>0.0</v>
      </c>
      <c r="O17" s="92">
        <v>0.0</v>
      </c>
      <c r="P17" s="92">
        <v>0.0</v>
      </c>
      <c r="Q17" s="92">
        <v>0.0</v>
      </c>
      <c r="R17" s="91">
        <v>1.0</v>
      </c>
      <c r="S17" s="92">
        <v>0.0</v>
      </c>
      <c r="T17" s="92">
        <v>0.0</v>
      </c>
      <c r="U17" s="92">
        <v>0.0</v>
      </c>
      <c r="V17" s="92">
        <v>0.0</v>
      </c>
      <c r="W17" s="92">
        <v>0.0</v>
      </c>
      <c r="X17" s="92">
        <v>0.0</v>
      </c>
      <c r="Y17" s="8"/>
      <c r="Z17" s="8"/>
      <c r="AA17" s="8"/>
      <c r="AB17" s="8"/>
      <c r="AC17" s="8"/>
      <c r="AD17" s="8"/>
      <c r="AE17" s="8"/>
      <c r="AF17" s="8"/>
    </row>
    <row r="18">
      <c r="A18" s="8"/>
      <c r="B18" s="8"/>
      <c r="C18" s="8"/>
      <c r="D18" s="8"/>
      <c r="E18" s="42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86">
        <f>IFERROR(__xludf.DUMMYFUNCTION("""COMPUTED_VALUE"""),30.0)</f>
        <v>30</v>
      </c>
      <c r="G18" s="42"/>
      <c r="H18" s="86"/>
      <c r="I18" s="42"/>
      <c r="J18" s="86"/>
      <c r="K18" s="8"/>
      <c r="L18" s="90">
        <v>4.0</v>
      </c>
      <c r="M18" s="91">
        <v>30.0</v>
      </c>
      <c r="N18" s="92">
        <v>0.0</v>
      </c>
      <c r="O18" s="92">
        <v>0.0</v>
      </c>
      <c r="P18" s="92">
        <v>0.0</v>
      </c>
      <c r="Q18" s="92">
        <v>0.0</v>
      </c>
      <c r="R18" s="92">
        <v>0.0</v>
      </c>
      <c r="S18" s="92">
        <v>0.0</v>
      </c>
      <c r="T18" s="92">
        <v>0.0</v>
      </c>
      <c r="U18" s="92">
        <v>0.0</v>
      </c>
      <c r="V18" s="92">
        <v>0.0</v>
      </c>
      <c r="W18" s="92">
        <v>0.0</v>
      </c>
      <c r="X18" s="92">
        <v>0.0</v>
      </c>
      <c r="Y18" s="8"/>
      <c r="Z18" s="8"/>
      <c r="AA18" s="8"/>
      <c r="AB18" s="8"/>
      <c r="AC18" s="8"/>
      <c r="AD18" s="8"/>
      <c r="AE18" s="8"/>
      <c r="AF18" s="8"/>
    </row>
    <row r="19">
      <c r="A19" s="8"/>
      <c r="B19" s="8"/>
      <c r="C19" s="8"/>
      <c r="D19" s="8"/>
      <c r="E19" s="42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86">
        <f>IFERROR(__xludf.DUMMYFUNCTION("""COMPUTED_VALUE"""),1.0)</f>
        <v>1</v>
      </c>
      <c r="G19" s="42"/>
      <c r="H19" s="86"/>
      <c r="I19" s="42"/>
      <c r="J19" s="86"/>
      <c r="K19" s="8"/>
      <c r="L19" s="90">
        <v>5.0</v>
      </c>
      <c r="M19" s="92">
        <v>0.0</v>
      </c>
      <c r="N19" s="92">
        <v>0.0</v>
      </c>
      <c r="O19" s="92">
        <v>0.0</v>
      </c>
      <c r="P19" s="92">
        <v>0.0</v>
      </c>
      <c r="Q19" s="92">
        <v>0.0</v>
      </c>
      <c r="R19" s="92">
        <v>0.0</v>
      </c>
      <c r="S19" s="91">
        <v>1.0</v>
      </c>
      <c r="T19" s="92">
        <v>0.0</v>
      </c>
      <c r="U19" s="92">
        <v>0.0</v>
      </c>
      <c r="V19" s="92">
        <v>0.0</v>
      </c>
      <c r="W19" s="92">
        <v>0.0</v>
      </c>
      <c r="X19" s="92">
        <v>0.0</v>
      </c>
      <c r="Y19" s="8"/>
      <c r="Z19" s="8"/>
      <c r="AA19" s="8"/>
      <c r="AB19" s="8"/>
      <c r="AC19" s="8"/>
      <c r="AD19" s="8"/>
      <c r="AE19" s="8"/>
      <c r="AF19" s="8"/>
    </row>
    <row r="20">
      <c r="A20" s="8"/>
      <c r="B20" s="8"/>
      <c r="C20" s="8"/>
      <c r="D20" s="8"/>
      <c r="E20" s="42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86">
        <f>IFERROR(__xludf.DUMMYFUNCTION("""COMPUTED_VALUE"""),35.0)</f>
        <v>35</v>
      </c>
      <c r="G20" s="42"/>
      <c r="H20" s="86"/>
      <c r="I20" s="42"/>
      <c r="J20" s="86"/>
      <c r="K20" s="8"/>
      <c r="L20" s="90">
        <v>6.0</v>
      </c>
      <c r="M20" s="91">
        <v>35.0</v>
      </c>
      <c r="N20" s="92">
        <v>0.0</v>
      </c>
      <c r="O20" s="92">
        <v>0.0</v>
      </c>
      <c r="P20" s="92">
        <v>0.0</v>
      </c>
      <c r="Q20" s="92">
        <v>0.0</v>
      </c>
      <c r="R20" s="92">
        <v>0.0</v>
      </c>
      <c r="S20" s="92">
        <v>0.0</v>
      </c>
      <c r="T20" s="92">
        <v>0.0</v>
      </c>
      <c r="U20" s="92">
        <v>0.0</v>
      </c>
      <c r="V20" s="92">
        <v>0.0</v>
      </c>
      <c r="W20" s="92">
        <v>0.0</v>
      </c>
      <c r="X20" s="92">
        <v>0.0</v>
      </c>
      <c r="Y20" s="8"/>
      <c r="Z20" s="8"/>
      <c r="AA20" s="8"/>
      <c r="AB20" s="8"/>
      <c r="AC20" s="8"/>
      <c r="AD20" s="8"/>
      <c r="AE20" s="8"/>
      <c r="AF20" s="8"/>
    </row>
    <row r="21" ht="15.75" customHeight="1">
      <c r="A21" s="8"/>
      <c r="B21" s="8"/>
      <c r="C21" s="8"/>
      <c r="D21" s="8"/>
      <c r="E21" s="42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86">
        <f>IFERROR(__xludf.DUMMYFUNCTION("""COMPUTED_VALUE"""),100.0)</f>
        <v>100</v>
      </c>
      <c r="G21" s="42" t="str">
        <f>IFERROR(__xludf.DUMMYFUNCTION("""COMPUTED_VALUE"""),"")</f>
        <v/>
      </c>
      <c r="H21" s="86">
        <f>IFERROR(__xludf.DUMMYFUNCTION("""COMPUTED_VALUE"""),120.0)</f>
        <v>120</v>
      </c>
      <c r="I21" s="42" t="str">
        <f>IFERROR(__xludf.DUMMYFUNCTION("""COMPUTED_VALUE"""),"")</f>
        <v/>
      </c>
      <c r="J21" s="86">
        <f>IFERROR(__xludf.DUMMYFUNCTION("""COMPUTED_VALUE"""),60.0)</f>
        <v>60</v>
      </c>
      <c r="K21" s="8"/>
      <c r="L21" s="90">
        <v>7.0</v>
      </c>
      <c r="M21" s="91">
        <v>100.0</v>
      </c>
      <c r="N21" s="92">
        <v>0.0</v>
      </c>
      <c r="O21" s="92">
        <v>0.0</v>
      </c>
      <c r="P21" s="92">
        <v>0.0</v>
      </c>
      <c r="Q21" s="92">
        <v>0.0</v>
      </c>
      <c r="R21" s="92">
        <v>0.0</v>
      </c>
      <c r="S21" s="92">
        <v>0.0</v>
      </c>
      <c r="T21" s="92">
        <v>0.0</v>
      </c>
      <c r="U21" s="91">
        <v>120.0</v>
      </c>
      <c r="V21" s="92">
        <v>0.0</v>
      </c>
      <c r="W21" s="91">
        <v>60.0</v>
      </c>
      <c r="X21" s="92">
        <v>0.0</v>
      </c>
      <c r="Y21" s="8"/>
      <c r="Z21" s="8"/>
      <c r="AA21" s="8"/>
      <c r="AB21" s="8"/>
      <c r="AC21" s="8"/>
      <c r="AD21" s="8"/>
      <c r="AE21" s="8"/>
      <c r="AF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8"/>
      <c r="Z22" s="8"/>
      <c r="AA22" s="8"/>
      <c r="AB22" s="8"/>
      <c r="AC22" s="8"/>
      <c r="AD22" s="8"/>
      <c r="AE22" s="8"/>
      <c r="AF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1" t="s">
        <v>92</v>
      </c>
      <c r="M23" s="82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"/>
      <c r="Z23" s="8"/>
      <c r="AA23" s="8"/>
      <c r="AB23" s="8"/>
      <c r="AC23" s="8"/>
      <c r="AD23" s="8"/>
      <c r="AE23" s="8"/>
      <c r="AF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7" t="s">
        <v>87</v>
      </c>
      <c r="M24" s="87" t="s">
        <v>89</v>
      </c>
      <c r="N24" s="87" t="s">
        <v>68</v>
      </c>
      <c r="O24" s="87" t="s">
        <v>69</v>
      </c>
      <c r="P24" s="87" t="s">
        <v>70</v>
      </c>
      <c r="Q24" s="87" t="s">
        <v>71</v>
      </c>
      <c r="R24" s="87" t="s">
        <v>72</v>
      </c>
      <c r="S24" s="87" t="s">
        <v>73</v>
      </c>
      <c r="T24" s="87" t="s">
        <v>74</v>
      </c>
      <c r="U24" s="87" t="s">
        <v>75</v>
      </c>
      <c r="V24" s="87" t="s">
        <v>76</v>
      </c>
      <c r="W24" s="87" t="s">
        <v>77</v>
      </c>
      <c r="X24" s="87" t="s">
        <v>78</v>
      </c>
      <c r="Y24" s="8"/>
      <c r="Z24" s="8"/>
      <c r="AA24" s="8"/>
      <c r="AB24" s="8"/>
      <c r="AC24" s="8"/>
      <c r="AD24" s="8"/>
      <c r="AE24" s="8"/>
      <c r="AF24" s="8"/>
    </row>
    <row r="25" ht="15.75" customHeight="1">
      <c r="A25" s="8"/>
      <c r="B25" s="8"/>
      <c r="C25" s="8"/>
      <c r="D25" s="8"/>
      <c r="E25" s="42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86">
        <f>IFERROR(__xludf.DUMMYFUNCTION("""COMPUTED_VALUE"""),15.0)</f>
        <v>15</v>
      </c>
      <c r="G25" s="42"/>
      <c r="H25" s="86"/>
      <c r="I25" s="42"/>
      <c r="J25" s="86"/>
      <c r="K25" s="8"/>
      <c r="L25" s="90">
        <v>1.0</v>
      </c>
      <c r="M25" s="92">
        <v>0.0</v>
      </c>
      <c r="N25" s="92">
        <v>0.0</v>
      </c>
      <c r="O25" s="92">
        <v>0.0</v>
      </c>
      <c r="P25" s="92">
        <v>0.0</v>
      </c>
      <c r="Q25" s="92">
        <v>0.0</v>
      </c>
      <c r="R25" s="92">
        <v>0.0</v>
      </c>
      <c r="S25" s="92">
        <v>0.0</v>
      </c>
      <c r="T25" s="92">
        <v>0.0</v>
      </c>
      <c r="U25" s="91">
        <v>15.0</v>
      </c>
      <c r="V25" s="92">
        <v>0.0</v>
      </c>
      <c r="W25" s="92">
        <v>0.0</v>
      </c>
      <c r="X25" s="92">
        <v>0.0</v>
      </c>
      <c r="Y25" s="8"/>
      <c r="Z25" s="8"/>
      <c r="AA25" s="8"/>
      <c r="AB25" s="8"/>
      <c r="AC25" s="8"/>
      <c r="AD25" s="8"/>
      <c r="AE25" s="8"/>
      <c r="AF25" s="8"/>
    </row>
    <row r="26" ht="15.75" customHeight="1">
      <c r="A26" s="8"/>
      <c r="B26" s="8"/>
      <c r="C26" s="8"/>
      <c r="D26" s="8"/>
      <c r="E26" s="42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86">
        <f>IFERROR(__xludf.DUMMYFUNCTION("""COMPUTED_VALUE"""),20.0)</f>
        <v>20</v>
      </c>
      <c r="G26" s="42"/>
      <c r="H26" s="86"/>
      <c r="I26" s="42"/>
      <c r="J26" s="86"/>
      <c r="K26" s="8"/>
      <c r="L26" s="90">
        <v>2.0</v>
      </c>
      <c r="M26" s="91">
        <v>20.0</v>
      </c>
      <c r="N26" s="92">
        <v>0.0</v>
      </c>
      <c r="O26" s="92">
        <v>0.0</v>
      </c>
      <c r="P26" s="92">
        <v>0.0</v>
      </c>
      <c r="Q26" s="92">
        <v>0.0</v>
      </c>
      <c r="R26" s="92">
        <v>0.0</v>
      </c>
      <c r="S26" s="92">
        <v>0.0</v>
      </c>
      <c r="T26" s="92">
        <v>0.0</v>
      </c>
      <c r="U26" s="92">
        <v>0.0</v>
      </c>
      <c r="V26" s="92">
        <v>0.0</v>
      </c>
      <c r="W26" s="92">
        <v>0.0</v>
      </c>
      <c r="X26" s="92">
        <v>0.0</v>
      </c>
      <c r="Y26" s="8"/>
      <c r="Z26" s="8"/>
      <c r="AA26" s="8"/>
      <c r="AB26" s="8"/>
      <c r="AC26" s="8"/>
      <c r="AD26" s="8"/>
      <c r="AE26" s="8"/>
      <c r="AF26" s="8"/>
    </row>
    <row r="27" ht="15.75" customHeight="1">
      <c r="A27" s="8"/>
      <c r="B27" s="8"/>
      <c r="C27" s="8"/>
      <c r="D27" s="8"/>
      <c r="E27" s="42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86">
        <f>IFERROR(__xludf.DUMMYFUNCTION("""COMPUTED_VALUE"""),1.0)</f>
        <v>1</v>
      </c>
      <c r="G27" s="42"/>
      <c r="H27" s="86"/>
      <c r="I27" s="42"/>
      <c r="J27" s="86"/>
      <c r="K27" s="8"/>
      <c r="L27" s="90">
        <v>3.0</v>
      </c>
      <c r="M27" s="92">
        <v>0.0</v>
      </c>
      <c r="N27" s="92">
        <v>0.0</v>
      </c>
      <c r="O27" s="92">
        <v>0.0</v>
      </c>
      <c r="P27" s="92">
        <v>0.0</v>
      </c>
      <c r="Q27" s="92">
        <v>0.0</v>
      </c>
      <c r="R27" s="91">
        <v>1.0</v>
      </c>
      <c r="S27" s="92">
        <v>0.0</v>
      </c>
      <c r="T27" s="92">
        <v>0.0</v>
      </c>
      <c r="U27" s="92">
        <v>0.0</v>
      </c>
      <c r="V27" s="92">
        <v>0.0</v>
      </c>
      <c r="W27" s="92">
        <v>0.0</v>
      </c>
      <c r="X27" s="92">
        <v>0.0</v>
      </c>
      <c r="Y27" s="8"/>
      <c r="Z27" s="8"/>
      <c r="AA27" s="8"/>
      <c r="AB27" s="8"/>
      <c r="AC27" s="8"/>
      <c r="AD27" s="8"/>
      <c r="AE27" s="8"/>
      <c r="AF27" s="8"/>
    </row>
    <row r="28" ht="15.75" customHeight="1">
      <c r="A28" s="8"/>
      <c r="B28" s="8"/>
      <c r="C28" s="8"/>
      <c r="D28" s="8"/>
      <c r="E28" s="42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86">
        <f>IFERROR(__xludf.DUMMYFUNCTION("""COMPUTED_VALUE"""),25.0)</f>
        <v>25</v>
      </c>
      <c r="G28" s="42"/>
      <c r="H28" s="86"/>
      <c r="I28" s="42"/>
      <c r="J28" s="86"/>
      <c r="K28" s="8"/>
      <c r="L28" s="90">
        <v>4.0</v>
      </c>
      <c r="M28" s="91">
        <v>25.0</v>
      </c>
      <c r="N28" s="92">
        <v>0.0</v>
      </c>
      <c r="O28" s="92">
        <v>0.0</v>
      </c>
      <c r="P28" s="92">
        <v>0.0</v>
      </c>
      <c r="Q28" s="92">
        <v>0.0</v>
      </c>
      <c r="R28" s="92">
        <v>0.0</v>
      </c>
      <c r="S28" s="92">
        <v>0.0</v>
      </c>
      <c r="T28" s="92">
        <v>0.0</v>
      </c>
      <c r="U28" s="92">
        <v>0.0</v>
      </c>
      <c r="V28" s="92">
        <v>0.0</v>
      </c>
      <c r="W28" s="92">
        <v>0.0</v>
      </c>
      <c r="X28" s="92">
        <v>0.0</v>
      </c>
      <c r="Y28" s="8"/>
      <c r="Z28" s="8"/>
      <c r="AA28" s="8"/>
      <c r="AB28" s="8"/>
      <c r="AC28" s="8"/>
      <c r="AD28" s="8"/>
      <c r="AE28" s="8"/>
      <c r="AF28" s="8"/>
    </row>
    <row r="29" ht="15.75" customHeight="1">
      <c r="A29" s="8"/>
      <c r="B29" s="8"/>
      <c r="C29" s="8"/>
      <c r="D29" s="8"/>
      <c r="E29" s="42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86">
        <f>IFERROR(__xludf.DUMMYFUNCTION("""COMPUTED_VALUE"""),1.0)</f>
        <v>1</v>
      </c>
      <c r="G29" s="42"/>
      <c r="H29" s="86"/>
      <c r="I29" s="42"/>
      <c r="J29" s="86"/>
      <c r="K29" s="8"/>
      <c r="L29" s="90">
        <v>5.0</v>
      </c>
      <c r="M29" s="92">
        <v>0.0</v>
      </c>
      <c r="N29" s="92">
        <v>0.0</v>
      </c>
      <c r="O29" s="92">
        <v>0.0</v>
      </c>
      <c r="P29" s="92">
        <v>0.0</v>
      </c>
      <c r="Q29" s="92">
        <v>0.0</v>
      </c>
      <c r="R29" s="92">
        <v>0.0</v>
      </c>
      <c r="S29" s="91">
        <v>1.0</v>
      </c>
      <c r="T29" s="92">
        <v>0.0</v>
      </c>
      <c r="U29" s="92">
        <v>0.0</v>
      </c>
      <c r="V29" s="92">
        <v>0.0</v>
      </c>
      <c r="W29" s="92">
        <v>0.0</v>
      </c>
      <c r="X29" s="92">
        <v>0.0</v>
      </c>
      <c r="Y29" s="8"/>
      <c r="Z29" s="8"/>
      <c r="AA29" s="8"/>
      <c r="AB29" s="8"/>
      <c r="AC29" s="8"/>
      <c r="AD29" s="8"/>
      <c r="AE29" s="8"/>
      <c r="AF29" s="8"/>
    </row>
    <row r="30" ht="15.75" customHeight="1">
      <c r="A30" s="8"/>
      <c r="B30" s="8"/>
      <c r="C30" s="8"/>
      <c r="D30" s="8"/>
      <c r="E30" s="42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86">
        <f>IFERROR(__xludf.DUMMYFUNCTION("""COMPUTED_VALUE"""),30.0)</f>
        <v>30</v>
      </c>
      <c r="G30" s="42"/>
      <c r="H30" s="86"/>
      <c r="I30" s="42"/>
      <c r="J30" s="86"/>
      <c r="K30" s="8"/>
      <c r="L30" s="90">
        <v>6.0</v>
      </c>
      <c r="M30" s="91">
        <v>30.0</v>
      </c>
      <c r="N30" s="92">
        <v>0.0</v>
      </c>
      <c r="O30" s="92">
        <v>0.0</v>
      </c>
      <c r="P30" s="92">
        <v>0.0</v>
      </c>
      <c r="Q30" s="92">
        <v>0.0</v>
      </c>
      <c r="R30" s="92">
        <v>0.0</v>
      </c>
      <c r="S30" s="92">
        <v>0.0</v>
      </c>
      <c r="T30" s="92">
        <v>0.0</v>
      </c>
      <c r="U30" s="92">
        <v>0.0</v>
      </c>
      <c r="V30" s="92">
        <v>0.0</v>
      </c>
      <c r="W30" s="92">
        <v>0.0</v>
      </c>
      <c r="X30" s="92">
        <v>0.0</v>
      </c>
      <c r="Y30" s="8"/>
      <c r="Z30" s="8"/>
      <c r="AA30" s="8"/>
      <c r="AB30" s="8"/>
      <c r="AC30" s="8"/>
      <c r="AD30" s="8"/>
      <c r="AE30" s="8"/>
      <c r="AF30" s="8"/>
    </row>
    <row r="31" ht="15.75" customHeight="1">
      <c r="A31" s="8"/>
      <c r="B31" s="8"/>
      <c r="C31" s="8"/>
      <c r="D31" s="8"/>
      <c r="E31" s="42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86">
        <f>IFERROR(__xludf.DUMMYFUNCTION("""COMPUTED_VALUE"""),100.0)</f>
        <v>100</v>
      </c>
      <c r="G31" s="42" t="str">
        <f>IFERROR(__xludf.DUMMYFUNCTION("""COMPUTED_VALUE"""),"")</f>
        <v/>
      </c>
      <c r="H31" s="86">
        <f>IFERROR(__xludf.DUMMYFUNCTION("""COMPUTED_VALUE"""),120.0)</f>
        <v>120</v>
      </c>
      <c r="I31" s="42" t="str">
        <f>IFERROR(__xludf.DUMMYFUNCTION("""COMPUTED_VALUE"""),"")</f>
        <v/>
      </c>
      <c r="J31" s="86">
        <f>IFERROR(__xludf.DUMMYFUNCTION("""COMPUTED_VALUE"""),30.0)</f>
        <v>30</v>
      </c>
      <c r="K31" s="8"/>
      <c r="L31" s="90">
        <v>7.0</v>
      </c>
      <c r="M31" s="91">
        <v>100.0</v>
      </c>
      <c r="N31" s="92">
        <v>0.0</v>
      </c>
      <c r="O31" s="92">
        <v>0.0</v>
      </c>
      <c r="P31" s="92">
        <v>0.0</v>
      </c>
      <c r="Q31" s="92">
        <v>0.0</v>
      </c>
      <c r="R31" s="92">
        <v>0.0</v>
      </c>
      <c r="S31" s="92">
        <v>0.0</v>
      </c>
      <c r="T31" s="92">
        <v>0.0</v>
      </c>
      <c r="U31" s="91">
        <v>120.0</v>
      </c>
      <c r="V31" s="92">
        <v>0.0</v>
      </c>
      <c r="W31" s="92">
        <v>0.0</v>
      </c>
      <c r="X31" s="91">
        <v>30.0</v>
      </c>
      <c r="Y31" s="8"/>
      <c r="Z31" s="8"/>
      <c r="AA31" s="8"/>
      <c r="AB31" s="8"/>
      <c r="AC31" s="8"/>
      <c r="AD31" s="8"/>
      <c r="AE31" s="8"/>
      <c r="AF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8"/>
      <c r="Z32" s="8"/>
      <c r="AA32" s="8"/>
      <c r="AB32" s="8"/>
      <c r="AC32" s="8"/>
      <c r="AD32" s="8"/>
      <c r="AE32" s="8"/>
      <c r="AF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1" t="s">
        <v>93</v>
      </c>
      <c r="M33" s="82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"/>
      <c r="Z33" s="8"/>
      <c r="AA33" s="8"/>
      <c r="AB33" s="8"/>
      <c r="AC33" s="8"/>
      <c r="AD33" s="8"/>
      <c r="AE33" s="8"/>
      <c r="AF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7" t="s">
        <v>87</v>
      </c>
      <c r="M34" s="87" t="s">
        <v>89</v>
      </c>
      <c r="N34" s="87" t="s">
        <v>68</v>
      </c>
      <c r="O34" s="87" t="s">
        <v>69</v>
      </c>
      <c r="P34" s="87" t="s">
        <v>70</v>
      </c>
      <c r="Q34" s="87" t="s">
        <v>71</v>
      </c>
      <c r="R34" s="87" t="s">
        <v>72</v>
      </c>
      <c r="S34" s="87" t="s">
        <v>73</v>
      </c>
      <c r="T34" s="87" t="s">
        <v>74</v>
      </c>
      <c r="U34" s="87" t="s">
        <v>75</v>
      </c>
      <c r="V34" s="87" t="s">
        <v>76</v>
      </c>
      <c r="W34" s="87" t="s">
        <v>77</v>
      </c>
      <c r="X34" s="87" t="s">
        <v>78</v>
      </c>
      <c r="Y34" s="8"/>
      <c r="Z34" s="8"/>
      <c r="AA34" s="8"/>
      <c r="AB34" s="8"/>
      <c r="AC34" s="8"/>
      <c r="AD34" s="8"/>
      <c r="AE34" s="8"/>
      <c r="AF34" s="8"/>
    </row>
    <row r="35" ht="15.75" customHeight="1">
      <c r="A35" s="8"/>
      <c r="B35" s="8"/>
      <c r="C35" s="8"/>
      <c r="D35" s="8"/>
      <c r="E35" s="42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86">
        <f>IFERROR(__xludf.DUMMYFUNCTION("""COMPUTED_VALUE"""),25.0)</f>
        <v>25</v>
      </c>
      <c r="G35" s="42"/>
      <c r="H35" s="86"/>
      <c r="I35" s="42"/>
      <c r="J35" s="86"/>
      <c r="K35" s="8"/>
      <c r="L35" s="90">
        <v>1.0</v>
      </c>
      <c r="M35" s="91">
        <v>25.0</v>
      </c>
      <c r="N35" s="92">
        <v>0.0</v>
      </c>
      <c r="O35" s="92">
        <v>0.0</v>
      </c>
      <c r="P35" s="92">
        <v>0.0</v>
      </c>
      <c r="Q35" s="92">
        <v>0.0</v>
      </c>
      <c r="R35" s="92">
        <v>0.0</v>
      </c>
      <c r="S35" s="92">
        <v>0.0</v>
      </c>
      <c r="T35" s="92">
        <v>0.0</v>
      </c>
      <c r="U35" s="92">
        <v>0.0</v>
      </c>
      <c r="V35" s="92">
        <v>0.0</v>
      </c>
      <c r="W35" s="92">
        <v>0.0</v>
      </c>
      <c r="X35" s="92">
        <v>0.0</v>
      </c>
      <c r="Y35" s="8"/>
      <c r="Z35" s="8"/>
      <c r="AA35" s="8"/>
      <c r="AB35" s="8"/>
      <c r="AC35" s="8"/>
      <c r="AD35" s="8"/>
      <c r="AE35" s="8"/>
      <c r="AF35" s="8"/>
    </row>
    <row r="36" ht="15.75" customHeight="1">
      <c r="A36" s="8"/>
      <c r="B36" s="8"/>
      <c r="C36" s="8"/>
      <c r="D36" s="8"/>
      <c r="E36" s="42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86">
        <f>IFERROR(__xludf.DUMMYFUNCTION("""COMPUTED_VALUE"""),30.0)</f>
        <v>30</v>
      </c>
      <c r="G36" s="42"/>
      <c r="H36" s="86"/>
      <c r="I36" s="42"/>
      <c r="J36" s="86"/>
      <c r="K36" s="8"/>
      <c r="L36" s="90">
        <v>2.0</v>
      </c>
      <c r="M36" s="92">
        <v>0.0</v>
      </c>
      <c r="N36" s="92">
        <v>0.0</v>
      </c>
      <c r="O36" s="92">
        <v>0.0</v>
      </c>
      <c r="P36" s="92">
        <v>0.0</v>
      </c>
      <c r="Q36" s="92">
        <v>0.0</v>
      </c>
      <c r="R36" s="92">
        <v>0.0</v>
      </c>
      <c r="S36" s="92">
        <v>0.0</v>
      </c>
      <c r="T36" s="92">
        <v>0.0</v>
      </c>
      <c r="U36" s="91">
        <v>30.0</v>
      </c>
      <c r="V36" s="92">
        <v>0.0</v>
      </c>
      <c r="W36" s="92">
        <v>0.0</v>
      </c>
      <c r="X36" s="92">
        <v>0.0</v>
      </c>
      <c r="Y36" s="8"/>
      <c r="Z36" s="8"/>
      <c r="AA36" s="8"/>
      <c r="AB36" s="8"/>
      <c r="AC36" s="8"/>
      <c r="AD36" s="8"/>
      <c r="AE36" s="8"/>
      <c r="AF36" s="8"/>
    </row>
    <row r="37" ht="15.75" customHeight="1">
      <c r="A37" s="8"/>
      <c r="B37" s="8"/>
      <c r="C37" s="8"/>
      <c r="D37" s="8"/>
      <c r="E37" s="42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86">
        <f>IFERROR(__xludf.DUMMYFUNCTION("""COMPUTED_VALUE"""),1.0)</f>
        <v>1</v>
      </c>
      <c r="G37" s="42"/>
      <c r="H37" s="86"/>
      <c r="I37" s="42"/>
      <c r="J37" s="86"/>
      <c r="K37" s="8"/>
      <c r="L37" s="90">
        <v>3.0</v>
      </c>
      <c r="M37" s="92">
        <v>0.0</v>
      </c>
      <c r="N37" s="92">
        <v>0.0</v>
      </c>
      <c r="O37" s="92">
        <v>0.0</v>
      </c>
      <c r="P37" s="92">
        <v>0.0</v>
      </c>
      <c r="Q37" s="92">
        <v>0.0</v>
      </c>
      <c r="R37" s="92">
        <v>0.0</v>
      </c>
      <c r="S37" s="91">
        <v>1.0</v>
      </c>
      <c r="T37" s="92">
        <v>0.0</v>
      </c>
      <c r="U37" s="92">
        <v>0.0</v>
      </c>
      <c r="V37" s="92">
        <v>0.0</v>
      </c>
      <c r="W37" s="92">
        <v>0.0</v>
      </c>
      <c r="X37" s="92">
        <v>0.0</v>
      </c>
      <c r="Y37" s="8"/>
      <c r="Z37" s="8"/>
      <c r="AA37" s="8"/>
      <c r="AB37" s="8"/>
      <c r="AC37" s="8"/>
      <c r="AD37" s="8"/>
      <c r="AE37" s="8"/>
      <c r="AF37" s="8"/>
    </row>
    <row r="38" ht="15.75" customHeight="1">
      <c r="A38" s="8"/>
      <c r="B38" s="8"/>
      <c r="C38" s="8"/>
      <c r="D38" s="8"/>
      <c r="E38" s="42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86">
        <f>IFERROR(__xludf.DUMMYFUNCTION("""COMPUTED_VALUE"""),1.0)</f>
        <v>1</v>
      </c>
      <c r="G38" s="42"/>
      <c r="H38" s="86"/>
      <c r="I38" s="42"/>
      <c r="J38" s="86"/>
      <c r="K38" s="8"/>
      <c r="L38" s="90">
        <v>4.0</v>
      </c>
      <c r="M38" s="92">
        <v>0.0</v>
      </c>
      <c r="N38" s="92">
        <v>0.0</v>
      </c>
      <c r="O38" s="92">
        <v>0.0</v>
      </c>
      <c r="P38" s="92">
        <v>0.0</v>
      </c>
      <c r="Q38" s="92">
        <v>0.0</v>
      </c>
      <c r="R38" s="91">
        <v>1.0</v>
      </c>
      <c r="S38" s="92">
        <v>0.0</v>
      </c>
      <c r="T38" s="92">
        <v>0.0</v>
      </c>
      <c r="U38" s="92">
        <v>0.0</v>
      </c>
      <c r="V38" s="92">
        <v>0.0</v>
      </c>
      <c r="W38" s="92">
        <v>0.0</v>
      </c>
      <c r="X38" s="92">
        <v>0.0</v>
      </c>
      <c r="Y38" s="8"/>
      <c r="Z38" s="8"/>
      <c r="AA38" s="8"/>
      <c r="AB38" s="8"/>
      <c r="AC38" s="8"/>
      <c r="AD38" s="8"/>
      <c r="AE38" s="8"/>
      <c r="AF38" s="8"/>
    </row>
    <row r="39" ht="15.75" customHeight="1">
      <c r="A39" s="8"/>
      <c r="B39" s="8"/>
      <c r="C39" s="8"/>
      <c r="D39" s="8"/>
      <c r="E39" s="42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86">
        <f>IFERROR(__xludf.DUMMYFUNCTION("""COMPUTED_VALUE"""),30.0)</f>
        <v>30</v>
      </c>
      <c r="G39" s="42"/>
      <c r="H39" s="86"/>
      <c r="I39" s="42"/>
      <c r="J39" s="86"/>
      <c r="K39" s="8"/>
      <c r="L39" s="90">
        <v>5.0</v>
      </c>
      <c r="M39" s="91">
        <v>30.0</v>
      </c>
      <c r="N39" s="92">
        <v>0.0</v>
      </c>
      <c r="O39" s="92">
        <v>0.0</v>
      </c>
      <c r="P39" s="92">
        <v>0.0</v>
      </c>
      <c r="Q39" s="92">
        <v>0.0</v>
      </c>
      <c r="R39" s="92">
        <v>0.0</v>
      </c>
      <c r="S39" s="92">
        <v>0.0</v>
      </c>
      <c r="T39" s="92">
        <v>0.0</v>
      </c>
      <c r="U39" s="92">
        <v>0.0</v>
      </c>
      <c r="V39" s="92">
        <v>0.0</v>
      </c>
      <c r="W39" s="92">
        <v>0.0</v>
      </c>
      <c r="X39" s="92">
        <v>0.0</v>
      </c>
      <c r="Y39" s="8"/>
      <c r="Z39" s="8"/>
      <c r="AA39" s="8"/>
      <c r="AB39" s="8"/>
      <c r="AC39" s="8"/>
      <c r="AD39" s="8"/>
      <c r="AE39" s="8"/>
      <c r="AF39" s="8"/>
    </row>
    <row r="40" ht="15.75" customHeight="1">
      <c r="A40" s="8"/>
      <c r="B40" s="8"/>
      <c r="C40" s="8"/>
      <c r="D40" s="8"/>
      <c r="E40" s="42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86">
        <f>IFERROR(__xludf.DUMMYFUNCTION("""COMPUTED_VALUE"""),1.0)</f>
        <v>1</v>
      </c>
      <c r="G40" s="42"/>
      <c r="H40" s="86"/>
      <c r="I40" s="42"/>
      <c r="J40" s="86"/>
      <c r="K40" s="8"/>
      <c r="L40" s="90">
        <v>6.0</v>
      </c>
      <c r="M40" s="92">
        <v>0.0</v>
      </c>
      <c r="N40" s="92">
        <v>0.0</v>
      </c>
      <c r="O40" s="92">
        <v>0.0</v>
      </c>
      <c r="P40" s="92">
        <v>0.0</v>
      </c>
      <c r="Q40" s="92">
        <v>0.0</v>
      </c>
      <c r="R40" s="91">
        <v>1.0</v>
      </c>
      <c r="S40" s="92">
        <v>0.0</v>
      </c>
      <c r="T40" s="92">
        <v>0.0</v>
      </c>
      <c r="U40" s="92">
        <v>0.0</v>
      </c>
      <c r="V40" s="92">
        <v>0.0</v>
      </c>
      <c r="W40" s="92">
        <v>0.0</v>
      </c>
      <c r="X40" s="92">
        <v>0.0</v>
      </c>
      <c r="Y40" s="8"/>
      <c r="Z40" s="8"/>
      <c r="AA40" s="8"/>
      <c r="AB40" s="8"/>
      <c r="AC40" s="8"/>
      <c r="AD40" s="8"/>
      <c r="AE40" s="8"/>
      <c r="AF40" s="8"/>
    </row>
    <row r="41" ht="15.75" customHeight="1">
      <c r="A41" s="8"/>
      <c r="B41" s="8"/>
      <c r="C41" s="8"/>
      <c r="D41" s="8"/>
      <c r="E41" s="42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86">
        <f>IFERROR(__xludf.DUMMYFUNCTION("""COMPUTED_VALUE"""),100.0)</f>
        <v>100</v>
      </c>
      <c r="G41" s="42" t="str">
        <f>IFERROR(__xludf.DUMMYFUNCTION("""COMPUTED_VALUE"""),"")</f>
        <v/>
      </c>
      <c r="H41" s="86">
        <f>IFERROR(__xludf.DUMMYFUNCTION("""COMPUTED_VALUE"""),1.0)</f>
        <v>1</v>
      </c>
      <c r="I41" s="42" t="str">
        <f>IFERROR(__xludf.DUMMYFUNCTION("""COMPUTED_VALUE"""),"")</f>
        <v/>
      </c>
      <c r="J41" s="86">
        <f>IFERROR(__xludf.DUMMYFUNCTION("""COMPUTED_VALUE"""),120.0)</f>
        <v>120</v>
      </c>
      <c r="K41" s="8"/>
      <c r="L41" s="90">
        <v>7.0</v>
      </c>
      <c r="M41" s="91">
        <v>100.0</v>
      </c>
      <c r="N41" s="92">
        <v>0.0</v>
      </c>
      <c r="O41" s="92">
        <v>0.0</v>
      </c>
      <c r="P41" s="92">
        <v>0.0</v>
      </c>
      <c r="Q41" s="92">
        <v>0.0</v>
      </c>
      <c r="R41" s="92">
        <v>0.0</v>
      </c>
      <c r="S41" s="92">
        <v>0.0</v>
      </c>
      <c r="T41" s="91">
        <v>1.0</v>
      </c>
      <c r="U41" s="91">
        <v>120.0</v>
      </c>
      <c r="V41" s="92">
        <v>0.0</v>
      </c>
      <c r="W41" s="92">
        <v>0.0</v>
      </c>
      <c r="X41" s="92">
        <v>0.0</v>
      </c>
      <c r="Y41" s="8"/>
      <c r="Z41" s="8"/>
      <c r="AA41" s="8"/>
      <c r="AB41" s="8"/>
      <c r="AC41" s="8"/>
      <c r="AD41" s="8"/>
      <c r="AE41" s="8"/>
      <c r="AF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8"/>
      <c r="Z42" s="8"/>
      <c r="AA42" s="8"/>
      <c r="AB42" s="8"/>
      <c r="AC42" s="8"/>
      <c r="AD42" s="8"/>
      <c r="AE42" s="8"/>
      <c r="AF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1" t="s">
        <v>94</v>
      </c>
      <c r="M43" s="82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"/>
      <c r="Z43" s="8"/>
      <c r="AA43" s="8"/>
      <c r="AB43" s="8"/>
      <c r="AC43" s="8"/>
      <c r="AD43" s="8"/>
      <c r="AE43" s="8"/>
      <c r="AF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7" t="s">
        <v>87</v>
      </c>
      <c r="M44" s="87" t="s">
        <v>89</v>
      </c>
      <c r="N44" s="87" t="s">
        <v>68</v>
      </c>
      <c r="O44" s="87" t="s">
        <v>69</v>
      </c>
      <c r="P44" s="87" t="s">
        <v>70</v>
      </c>
      <c r="Q44" s="87" t="s">
        <v>71</v>
      </c>
      <c r="R44" s="87" t="s">
        <v>72</v>
      </c>
      <c r="S44" s="87" t="s">
        <v>73</v>
      </c>
      <c r="T44" s="87" t="s">
        <v>74</v>
      </c>
      <c r="U44" s="87" t="s">
        <v>75</v>
      </c>
      <c r="V44" s="87" t="s">
        <v>76</v>
      </c>
      <c r="W44" s="87" t="s">
        <v>77</v>
      </c>
      <c r="X44" s="87" t="s">
        <v>78</v>
      </c>
      <c r="Y44" s="8"/>
      <c r="Z44" s="8"/>
      <c r="AA44" s="8"/>
      <c r="AB44" s="8"/>
      <c r="AC44" s="8"/>
      <c r="AD44" s="8"/>
      <c r="AE44" s="8"/>
      <c r="AF44" s="8"/>
    </row>
    <row r="45" ht="15.75" customHeight="1">
      <c r="A45" s="8"/>
      <c r="B45" s="8"/>
      <c r="C45" s="8"/>
      <c r="D45" s="8"/>
      <c r="E45" s="42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86">
        <f>IFERROR(__xludf.DUMMYFUNCTION("""COMPUTED_VALUE"""),20.0)</f>
        <v>20</v>
      </c>
      <c r="G45" s="42"/>
      <c r="H45" s="86"/>
      <c r="I45" s="42"/>
      <c r="J45" s="86"/>
      <c r="K45" s="8"/>
      <c r="L45" s="90">
        <v>1.0</v>
      </c>
      <c r="M45" s="91">
        <v>20.0</v>
      </c>
      <c r="N45" s="92">
        <v>0.0</v>
      </c>
      <c r="O45" s="92">
        <v>0.0</v>
      </c>
      <c r="P45" s="92">
        <v>0.0</v>
      </c>
      <c r="Q45" s="92">
        <v>0.0</v>
      </c>
      <c r="R45" s="92">
        <v>0.0</v>
      </c>
      <c r="S45" s="92">
        <v>0.0</v>
      </c>
      <c r="T45" s="92">
        <v>0.0</v>
      </c>
      <c r="U45" s="92">
        <v>0.0</v>
      </c>
      <c r="V45" s="92">
        <v>0.0</v>
      </c>
      <c r="W45" s="92">
        <v>0.0</v>
      </c>
      <c r="X45" s="92">
        <v>0.0</v>
      </c>
      <c r="Y45" s="8"/>
      <c r="Z45" s="8"/>
      <c r="AA45" s="8"/>
      <c r="AB45" s="8"/>
      <c r="AC45" s="8"/>
      <c r="AD45" s="8"/>
      <c r="AE45" s="8"/>
      <c r="AF45" s="8"/>
    </row>
    <row r="46" ht="15.75" customHeight="1">
      <c r="A46" s="8"/>
      <c r="B46" s="8"/>
      <c r="C46" s="8"/>
      <c r="D46" s="8"/>
      <c r="E46" s="42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86">
        <f>IFERROR(__xludf.DUMMYFUNCTION("""COMPUTED_VALUE"""),15.0)</f>
        <v>15</v>
      </c>
      <c r="G46" s="42"/>
      <c r="H46" s="86"/>
      <c r="I46" s="42"/>
      <c r="J46" s="86"/>
      <c r="K46" s="8"/>
      <c r="L46" s="90">
        <v>2.0</v>
      </c>
      <c r="M46" s="92">
        <v>0.0</v>
      </c>
      <c r="N46" s="92">
        <v>0.0</v>
      </c>
      <c r="O46" s="92">
        <v>0.0</v>
      </c>
      <c r="P46" s="92">
        <v>0.0</v>
      </c>
      <c r="Q46" s="92">
        <v>0.0</v>
      </c>
      <c r="R46" s="92">
        <v>0.0</v>
      </c>
      <c r="S46" s="92">
        <v>0.0</v>
      </c>
      <c r="T46" s="92">
        <v>0.0</v>
      </c>
      <c r="U46" s="91">
        <v>15.0</v>
      </c>
      <c r="V46" s="92">
        <v>0.0</v>
      </c>
      <c r="W46" s="92">
        <v>0.0</v>
      </c>
      <c r="X46" s="92">
        <v>0.0</v>
      </c>
      <c r="Y46" s="8"/>
      <c r="Z46" s="8"/>
      <c r="AA46" s="8"/>
      <c r="AB46" s="8"/>
      <c r="AC46" s="8"/>
      <c r="AD46" s="8"/>
      <c r="AE46" s="8"/>
      <c r="AF46" s="8"/>
    </row>
    <row r="47" ht="15.75" customHeight="1">
      <c r="A47" s="8"/>
      <c r="B47" s="8"/>
      <c r="C47" s="8"/>
      <c r="D47" s="8"/>
      <c r="E47" s="42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86">
        <f>IFERROR(__xludf.DUMMYFUNCTION("""COMPUTED_VALUE"""),1.0)</f>
        <v>1</v>
      </c>
      <c r="G47" s="42"/>
      <c r="H47" s="86"/>
      <c r="I47" s="42"/>
      <c r="J47" s="86"/>
      <c r="K47" s="8"/>
      <c r="L47" s="90">
        <v>3.0</v>
      </c>
      <c r="M47" s="92">
        <v>0.0</v>
      </c>
      <c r="N47" s="92">
        <v>0.0</v>
      </c>
      <c r="O47" s="92">
        <v>0.0</v>
      </c>
      <c r="P47" s="92">
        <v>0.0</v>
      </c>
      <c r="Q47" s="92">
        <v>0.0</v>
      </c>
      <c r="R47" s="91">
        <v>1.0</v>
      </c>
      <c r="S47" s="92">
        <v>0.0</v>
      </c>
      <c r="T47" s="92">
        <v>0.0</v>
      </c>
      <c r="U47" s="92">
        <v>0.0</v>
      </c>
      <c r="V47" s="92">
        <v>0.0</v>
      </c>
      <c r="W47" s="92">
        <v>0.0</v>
      </c>
      <c r="X47" s="92">
        <v>0.0</v>
      </c>
      <c r="Y47" s="8"/>
      <c r="Z47" s="8"/>
      <c r="AA47" s="8"/>
      <c r="AB47" s="8"/>
      <c r="AC47" s="8"/>
      <c r="AD47" s="8"/>
      <c r="AE47" s="8"/>
      <c r="AF47" s="8"/>
    </row>
    <row r="48" ht="15.75" customHeight="1">
      <c r="A48" s="8"/>
      <c r="B48" s="8"/>
      <c r="C48" s="8"/>
      <c r="D48" s="8"/>
      <c r="E48" s="42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86">
        <f>IFERROR(__xludf.DUMMYFUNCTION("""COMPUTED_VALUE"""),1.0)</f>
        <v>1</v>
      </c>
      <c r="G48" s="42"/>
      <c r="H48" s="86"/>
      <c r="I48" s="42"/>
      <c r="J48" s="86"/>
      <c r="K48" s="8"/>
      <c r="L48" s="90">
        <v>4.0</v>
      </c>
      <c r="M48" s="92">
        <v>0.0</v>
      </c>
      <c r="N48" s="92">
        <v>0.0</v>
      </c>
      <c r="O48" s="92">
        <v>0.0</v>
      </c>
      <c r="P48" s="92">
        <v>0.0</v>
      </c>
      <c r="Q48" s="92">
        <v>0.0</v>
      </c>
      <c r="R48" s="92">
        <v>0.0</v>
      </c>
      <c r="S48" s="91">
        <v>1.0</v>
      </c>
      <c r="T48" s="92">
        <v>0.0</v>
      </c>
      <c r="U48" s="92">
        <v>0.0</v>
      </c>
      <c r="V48" s="92">
        <v>0.0</v>
      </c>
      <c r="W48" s="92">
        <v>0.0</v>
      </c>
      <c r="X48" s="92">
        <v>0.0</v>
      </c>
      <c r="Y48" s="8"/>
      <c r="Z48" s="8"/>
      <c r="AA48" s="8"/>
      <c r="AB48" s="8"/>
      <c r="AC48" s="8"/>
      <c r="AD48" s="8"/>
      <c r="AE48" s="8"/>
      <c r="AF48" s="8"/>
    </row>
    <row r="49" ht="15.75" customHeight="1">
      <c r="A49" s="8"/>
      <c r="B49" s="8"/>
      <c r="C49" s="8"/>
      <c r="D49" s="8"/>
      <c r="E49" s="42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86">
        <f>IFERROR(__xludf.DUMMYFUNCTION("""COMPUTED_VALUE"""),60.0)</f>
        <v>60</v>
      </c>
      <c r="G49" s="42"/>
      <c r="H49" s="86"/>
      <c r="I49" s="42"/>
      <c r="J49" s="86"/>
      <c r="K49" s="8"/>
      <c r="L49" s="90">
        <v>5.0</v>
      </c>
      <c r="M49" s="92">
        <v>0.0</v>
      </c>
      <c r="N49" s="92">
        <v>0.0</v>
      </c>
      <c r="O49" s="92">
        <v>0.0</v>
      </c>
      <c r="P49" s="92">
        <v>0.0</v>
      </c>
      <c r="Q49" s="92">
        <v>0.0</v>
      </c>
      <c r="R49" s="92">
        <v>0.0</v>
      </c>
      <c r="S49" s="92">
        <v>0.0</v>
      </c>
      <c r="T49" s="92">
        <v>0.0</v>
      </c>
      <c r="U49" s="91">
        <v>60.0</v>
      </c>
      <c r="V49" s="92">
        <v>0.0</v>
      </c>
      <c r="W49" s="92">
        <v>0.0</v>
      </c>
      <c r="X49" s="92">
        <v>0.0</v>
      </c>
      <c r="Y49" s="8"/>
      <c r="Z49" s="8"/>
      <c r="AA49" s="8"/>
      <c r="AB49" s="8"/>
      <c r="AC49" s="8"/>
      <c r="AD49" s="8"/>
      <c r="AE49" s="8"/>
      <c r="AF49" s="8"/>
    </row>
    <row r="50" ht="15.75" customHeight="1">
      <c r="A50" s="8"/>
      <c r="B50" s="8"/>
      <c r="C50" s="8"/>
      <c r="D50" s="8"/>
      <c r="E50" s="42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86">
        <f>IFERROR(__xludf.DUMMYFUNCTION("""COMPUTED_VALUE"""),35.0)</f>
        <v>35</v>
      </c>
      <c r="G50" s="42"/>
      <c r="H50" s="86"/>
      <c r="I50" s="42"/>
      <c r="J50" s="86"/>
      <c r="K50" s="8"/>
      <c r="L50" s="90">
        <v>6.0</v>
      </c>
      <c r="M50" s="91">
        <v>35.0</v>
      </c>
      <c r="N50" s="92">
        <v>0.0</v>
      </c>
      <c r="O50" s="92">
        <v>0.0</v>
      </c>
      <c r="P50" s="92">
        <v>0.0</v>
      </c>
      <c r="Q50" s="92">
        <v>0.0</v>
      </c>
      <c r="R50" s="92">
        <v>0.0</v>
      </c>
      <c r="S50" s="92">
        <v>0.0</v>
      </c>
      <c r="T50" s="92">
        <v>0.0</v>
      </c>
      <c r="U50" s="92">
        <v>0.0</v>
      </c>
      <c r="V50" s="92">
        <v>0.0</v>
      </c>
      <c r="W50" s="92">
        <v>0.0</v>
      </c>
      <c r="X50" s="92">
        <v>0.0</v>
      </c>
      <c r="Y50" s="8"/>
      <c r="Z50" s="8"/>
      <c r="AA50" s="8"/>
      <c r="AB50" s="8"/>
      <c r="AC50" s="8"/>
      <c r="AD50" s="8"/>
      <c r="AE50" s="8"/>
      <c r="AF50" s="8"/>
    </row>
    <row r="51" ht="15.75" customHeight="1">
      <c r="A51" s="8"/>
      <c r="B51" s="8"/>
      <c r="C51" s="8"/>
      <c r="D51" s="8"/>
      <c r="E51" s="42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86">
        <f>IFERROR(__xludf.DUMMYFUNCTION("""COMPUTED_VALUE"""),100.0)</f>
        <v>100</v>
      </c>
      <c r="G51" s="42" t="str">
        <f>IFERROR(__xludf.DUMMYFUNCTION("""COMPUTED_VALUE"""),"")</f>
        <v/>
      </c>
      <c r="H51" s="86">
        <f>IFERROR(__xludf.DUMMYFUNCTION("""COMPUTED_VALUE"""),1.0)</f>
        <v>1</v>
      </c>
      <c r="I51" s="42" t="str">
        <f>IFERROR(__xludf.DUMMYFUNCTION("""COMPUTED_VALUE"""),"")</f>
        <v/>
      </c>
      <c r="J51" s="86">
        <f>IFERROR(__xludf.DUMMYFUNCTION("""COMPUTED_VALUE"""),120.0)</f>
        <v>120</v>
      </c>
      <c r="K51" s="8"/>
      <c r="L51" s="90">
        <v>7.0</v>
      </c>
      <c r="M51" s="91">
        <v>100.0</v>
      </c>
      <c r="N51" s="92">
        <v>0.0</v>
      </c>
      <c r="O51" s="92">
        <v>0.0</v>
      </c>
      <c r="P51" s="92">
        <v>0.0</v>
      </c>
      <c r="Q51" s="92">
        <v>0.0</v>
      </c>
      <c r="R51" s="91">
        <v>1.0</v>
      </c>
      <c r="S51" s="92">
        <v>0.0</v>
      </c>
      <c r="T51" s="92">
        <v>0.0</v>
      </c>
      <c r="U51" s="91">
        <v>120.0</v>
      </c>
      <c r="V51" s="92">
        <v>0.0</v>
      </c>
      <c r="W51" s="92">
        <v>0.0</v>
      </c>
      <c r="X51" s="92">
        <v>0.0</v>
      </c>
      <c r="Y51" s="8"/>
      <c r="Z51" s="8"/>
      <c r="AA51" s="8"/>
      <c r="AB51" s="8"/>
      <c r="AC51" s="8"/>
      <c r="AD51" s="8"/>
      <c r="AE51" s="8"/>
      <c r="AF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</row>
  </sheetData>
  <mergeCells count="1">
    <mergeCell ref="E3:J3"/>
  </mergeCells>
  <conditionalFormatting sqref="M4:X51">
    <cfRule type="cellIs" dxfId="4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24" width="7.25"/>
    <col hidden="1" min="28" max="29" width="12.63"/>
  </cols>
  <sheetData>
    <row r="1" ht="17.25" customHeight="1">
      <c r="A1" s="95" t="s">
        <v>95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8"/>
      <c r="AE1" s="8"/>
      <c r="AF1" s="8"/>
    </row>
    <row r="2" ht="15.0" customHeight="1">
      <c r="A2" s="9"/>
      <c r="B2" s="22"/>
      <c r="C2" s="22"/>
      <c r="D2" s="22"/>
      <c r="E2" s="22"/>
      <c r="F2" s="22"/>
      <c r="G2" s="22"/>
      <c r="H2" s="22"/>
      <c r="I2" s="22"/>
      <c r="J2" s="22"/>
      <c r="K2" s="22"/>
      <c r="L2" s="96" t="s">
        <v>61</v>
      </c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8"/>
      <c r="AE2" s="8"/>
      <c r="AF2" s="8"/>
    </row>
    <row r="3" ht="15.0" customHeight="1">
      <c r="A3" s="12" t="s">
        <v>87</v>
      </c>
      <c r="B3" s="12" t="s">
        <v>64</v>
      </c>
      <c r="C3" s="22"/>
      <c r="D3" s="22"/>
      <c r="E3" s="97" t="s">
        <v>65</v>
      </c>
      <c r="K3" s="22"/>
      <c r="L3" s="81" t="s">
        <v>88</v>
      </c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22"/>
      <c r="Z3" s="22"/>
      <c r="AA3" s="22"/>
      <c r="AB3" s="12" t="s">
        <v>80</v>
      </c>
      <c r="AC3" s="12" t="s">
        <v>81</v>
      </c>
      <c r="AD3" s="8"/>
      <c r="AE3" s="8"/>
      <c r="AF3" s="8"/>
    </row>
    <row r="4" ht="15.0" customHeight="1">
      <c r="A4" s="61">
        <v>1.0</v>
      </c>
      <c r="B4" s="99">
        <f>average(M5,M16,M26,M35,M45)</f>
        <v>10</v>
      </c>
      <c r="C4" s="22"/>
      <c r="D4" s="22"/>
      <c r="E4" s="100"/>
      <c r="F4" s="100"/>
      <c r="G4" s="25"/>
      <c r="H4" s="24"/>
      <c r="I4" s="25"/>
      <c r="J4" s="24"/>
      <c r="K4" s="22"/>
      <c r="L4" s="101" t="s">
        <v>87</v>
      </c>
      <c r="M4" s="101" t="s">
        <v>89</v>
      </c>
      <c r="N4" s="101" t="s">
        <v>68</v>
      </c>
      <c r="O4" s="101" t="s">
        <v>69</v>
      </c>
      <c r="P4" s="101" t="s">
        <v>70</v>
      </c>
      <c r="Q4" s="101" t="s">
        <v>71</v>
      </c>
      <c r="R4" s="101" t="s">
        <v>72</v>
      </c>
      <c r="S4" s="101" t="s">
        <v>73</v>
      </c>
      <c r="T4" s="101" t="s">
        <v>74</v>
      </c>
      <c r="U4" s="101" t="s">
        <v>75</v>
      </c>
      <c r="V4" s="101" t="s">
        <v>76</v>
      </c>
      <c r="W4" s="101" t="s">
        <v>77</v>
      </c>
      <c r="X4" s="101" t="s">
        <v>78</v>
      </c>
      <c r="Y4" s="22"/>
      <c r="Z4" s="22"/>
      <c r="AA4" s="22"/>
      <c r="AB4" s="58" t="s">
        <v>82</v>
      </c>
      <c r="AC4" s="58"/>
      <c r="AD4" s="8"/>
      <c r="AE4" s="8"/>
      <c r="AF4" s="8"/>
    </row>
    <row r="5" ht="15.0" customHeight="1">
      <c r="A5" s="66">
        <v>2.0</v>
      </c>
      <c r="B5" s="102">
        <v>0.0</v>
      </c>
      <c r="C5" s="22"/>
      <c r="D5" s="22"/>
      <c r="E5" s="25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68">
        <f>IFERROR(__xludf.DUMMYFUNCTION("""COMPUTED_VALUE"""),10.0)</f>
        <v>10</v>
      </c>
      <c r="G5" s="25"/>
      <c r="H5" s="24"/>
      <c r="I5" s="25"/>
      <c r="J5" s="24"/>
      <c r="K5" s="22"/>
      <c r="L5" s="103">
        <v>1.0</v>
      </c>
      <c r="M5" s="104">
        <v>10.0</v>
      </c>
      <c r="N5" s="105">
        <v>0.0</v>
      </c>
      <c r="O5" s="105">
        <v>0.0</v>
      </c>
      <c r="P5" s="105">
        <v>0.0</v>
      </c>
      <c r="Q5" s="105">
        <v>0.0</v>
      </c>
      <c r="R5" s="105">
        <v>0.0</v>
      </c>
      <c r="S5" s="105">
        <v>0.0</v>
      </c>
      <c r="T5" s="105">
        <v>0.0</v>
      </c>
      <c r="U5" s="105">
        <v>0.0</v>
      </c>
      <c r="V5" s="105">
        <v>0.0</v>
      </c>
      <c r="W5" s="105">
        <v>0.0</v>
      </c>
      <c r="X5" s="105">
        <v>0.0</v>
      </c>
      <c r="Y5" s="22"/>
      <c r="Z5" s="22"/>
      <c r="AA5" s="22"/>
      <c r="AB5" s="22" t="s">
        <v>68</v>
      </c>
      <c r="AC5" s="22"/>
      <c r="AD5" s="8"/>
      <c r="AE5" s="8"/>
      <c r="AF5" s="8"/>
    </row>
    <row r="6" ht="15.0" customHeight="1">
      <c r="A6" s="66">
        <v>3.0</v>
      </c>
      <c r="B6" s="102">
        <v>0.0</v>
      </c>
      <c r="C6" s="22"/>
      <c r="D6" s="22"/>
      <c r="E6" s="25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24">
        <f>IFERROR(__xludf.DUMMYFUNCTION("""COMPUTED_VALUE"""),15.0)</f>
        <v>15</v>
      </c>
      <c r="G6" s="25"/>
      <c r="H6" s="24"/>
      <c r="I6" s="25"/>
      <c r="J6" s="24"/>
      <c r="K6" s="22"/>
      <c r="L6" s="103">
        <v>2.0</v>
      </c>
      <c r="M6" s="105">
        <v>0.0</v>
      </c>
      <c r="N6" s="105">
        <v>0.0</v>
      </c>
      <c r="O6" s="105">
        <v>0.0</v>
      </c>
      <c r="P6" s="105">
        <v>0.0</v>
      </c>
      <c r="Q6" s="105">
        <v>0.0</v>
      </c>
      <c r="R6" s="105">
        <v>0.0</v>
      </c>
      <c r="S6" s="105">
        <v>0.0</v>
      </c>
      <c r="T6" s="105">
        <v>0.0</v>
      </c>
      <c r="U6" s="105">
        <v>15.0</v>
      </c>
      <c r="V6" s="105">
        <v>0.0</v>
      </c>
      <c r="W6" s="105">
        <v>0.0</v>
      </c>
      <c r="X6" s="105">
        <v>0.0</v>
      </c>
      <c r="Y6" s="22"/>
      <c r="Z6" s="22"/>
      <c r="AA6" s="22"/>
      <c r="AB6" s="22" t="s">
        <v>69</v>
      </c>
      <c r="AC6" s="58"/>
      <c r="AD6" s="8"/>
      <c r="AE6" s="8"/>
      <c r="AF6" s="8"/>
    </row>
    <row r="7" ht="15.0" customHeight="1">
      <c r="A7" s="66">
        <v>4.0</v>
      </c>
      <c r="B7" s="102">
        <f>mround(average(M8,M18,M28), 1)</f>
        <v>10</v>
      </c>
      <c r="C7" s="22"/>
      <c r="D7" s="22"/>
      <c r="E7" s="25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24">
        <f>IFERROR(__xludf.DUMMYFUNCTION("""COMPUTED_VALUE"""),1.0)</f>
        <v>1</v>
      </c>
      <c r="G7" s="25"/>
      <c r="H7" s="24"/>
      <c r="I7" s="25"/>
      <c r="J7" s="24"/>
      <c r="K7" s="22"/>
      <c r="L7" s="103">
        <v>3.0</v>
      </c>
      <c r="M7" s="105">
        <v>0.0</v>
      </c>
      <c r="N7" s="105">
        <v>0.0</v>
      </c>
      <c r="O7" s="105">
        <v>0.0</v>
      </c>
      <c r="P7" s="105">
        <v>0.0</v>
      </c>
      <c r="Q7" s="105">
        <v>0.0</v>
      </c>
      <c r="R7" s="105">
        <v>1.0</v>
      </c>
      <c r="S7" s="105">
        <v>0.0</v>
      </c>
      <c r="T7" s="105">
        <v>0.0</v>
      </c>
      <c r="U7" s="105">
        <v>0.0</v>
      </c>
      <c r="V7" s="105">
        <v>0.0</v>
      </c>
      <c r="W7" s="105">
        <v>0.0</v>
      </c>
      <c r="X7" s="105">
        <v>0.0</v>
      </c>
      <c r="Y7" s="22"/>
      <c r="Z7" s="22"/>
      <c r="AA7" s="22"/>
      <c r="AB7" s="22" t="s">
        <v>70</v>
      </c>
      <c r="AC7" s="58"/>
      <c r="AD7" s="8"/>
      <c r="AE7" s="8"/>
      <c r="AF7" s="8"/>
    </row>
    <row r="8" ht="15.0" customHeight="1">
      <c r="A8" s="66">
        <v>5.0</v>
      </c>
      <c r="B8" s="102">
        <v>0.0</v>
      </c>
      <c r="C8" s="22"/>
      <c r="D8" s="22"/>
      <c r="E8" s="25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68">
        <f>IFERROR(__xludf.DUMMYFUNCTION("""COMPUTED_VALUE"""),10.0)</f>
        <v>10</v>
      </c>
      <c r="G8" s="25"/>
      <c r="H8" s="24"/>
      <c r="I8" s="25"/>
      <c r="J8" s="24"/>
      <c r="K8" s="22"/>
      <c r="L8" s="103">
        <v>4.0</v>
      </c>
      <c r="M8" s="104">
        <v>10.0</v>
      </c>
      <c r="N8" s="105">
        <v>0.0</v>
      </c>
      <c r="O8" s="105">
        <v>0.0</v>
      </c>
      <c r="P8" s="105">
        <v>0.0</v>
      </c>
      <c r="Q8" s="105">
        <v>0.0</v>
      </c>
      <c r="R8" s="105">
        <v>0.0</v>
      </c>
      <c r="S8" s="105">
        <v>0.0</v>
      </c>
      <c r="T8" s="105">
        <v>0.0</v>
      </c>
      <c r="U8" s="105">
        <v>0.0</v>
      </c>
      <c r="V8" s="105">
        <v>0.0</v>
      </c>
      <c r="W8" s="105">
        <v>0.0</v>
      </c>
      <c r="X8" s="105">
        <v>0.0</v>
      </c>
      <c r="Y8" s="22"/>
      <c r="Z8" s="22"/>
      <c r="AA8" s="22"/>
      <c r="AB8" s="22" t="s">
        <v>71</v>
      </c>
      <c r="AC8" s="58"/>
      <c r="AD8" s="8"/>
      <c r="AE8" s="8"/>
      <c r="AF8" s="8"/>
    </row>
    <row r="9" ht="15.0" customHeight="1">
      <c r="A9" s="66">
        <v>6.0</v>
      </c>
      <c r="B9" s="102">
        <f>mround(AVERAGE(M10, M20, M30, M50),1)</f>
        <v>10</v>
      </c>
      <c r="C9" s="22"/>
      <c r="D9" s="22"/>
      <c r="E9" s="25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24">
        <f>IFERROR(__xludf.DUMMYFUNCTION("""COMPUTED_VALUE"""),1.0)</f>
        <v>1</v>
      </c>
      <c r="G9" s="25"/>
      <c r="H9" s="24"/>
      <c r="I9" s="25"/>
      <c r="J9" s="24"/>
      <c r="K9" s="22"/>
      <c r="L9" s="103">
        <v>5.0</v>
      </c>
      <c r="M9" s="105">
        <v>0.0</v>
      </c>
      <c r="N9" s="105">
        <v>0.0</v>
      </c>
      <c r="O9" s="105">
        <v>0.0</v>
      </c>
      <c r="P9" s="105">
        <v>0.0</v>
      </c>
      <c r="Q9" s="105">
        <v>0.0</v>
      </c>
      <c r="R9" s="105">
        <v>0.0</v>
      </c>
      <c r="S9" s="105">
        <v>1.0</v>
      </c>
      <c r="T9" s="105">
        <v>0.0</v>
      </c>
      <c r="U9" s="105">
        <v>0.0</v>
      </c>
      <c r="V9" s="105">
        <v>0.0</v>
      </c>
      <c r="W9" s="105">
        <v>0.0</v>
      </c>
      <c r="X9" s="105">
        <v>0.0</v>
      </c>
      <c r="Y9" s="22"/>
      <c r="Z9" s="22"/>
      <c r="AA9" s="22"/>
      <c r="AB9" s="22" t="s">
        <v>72</v>
      </c>
      <c r="AC9" s="58"/>
      <c r="AD9" s="8"/>
      <c r="AE9" s="8"/>
      <c r="AF9" s="8"/>
    </row>
    <row r="10" ht="15.0" customHeight="1">
      <c r="A10" s="70">
        <v>7.0</v>
      </c>
      <c r="B10" s="106">
        <v>100.0</v>
      </c>
      <c r="C10" s="22"/>
      <c r="D10" s="22"/>
      <c r="E10" s="25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68">
        <f>IFERROR(__xludf.DUMMYFUNCTION("""COMPUTED_VALUE"""),10.0)</f>
        <v>10</v>
      </c>
      <c r="G10" s="25"/>
      <c r="H10" s="24"/>
      <c r="I10" s="25"/>
      <c r="J10" s="24"/>
      <c r="K10" s="22"/>
      <c r="L10" s="103">
        <v>6.0</v>
      </c>
      <c r="M10" s="104">
        <v>10.0</v>
      </c>
      <c r="N10" s="105">
        <v>0.0</v>
      </c>
      <c r="O10" s="105">
        <v>0.0</v>
      </c>
      <c r="P10" s="105">
        <v>0.0</v>
      </c>
      <c r="Q10" s="105">
        <v>0.0</v>
      </c>
      <c r="R10" s="105">
        <v>0.0</v>
      </c>
      <c r="S10" s="105">
        <v>0.0</v>
      </c>
      <c r="T10" s="105">
        <v>0.0</v>
      </c>
      <c r="U10" s="105">
        <v>0.0</v>
      </c>
      <c r="V10" s="105">
        <v>0.0</v>
      </c>
      <c r="W10" s="105">
        <v>0.0</v>
      </c>
      <c r="X10" s="105">
        <v>0.0</v>
      </c>
      <c r="Y10" s="22"/>
      <c r="Z10" s="22"/>
      <c r="AA10" s="22"/>
      <c r="AB10" s="22" t="s">
        <v>73</v>
      </c>
      <c r="AC10" s="58"/>
      <c r="AD10" s="8"/>
      <c r="AE10" s="8"/>
      <c r="AF10" s="8"/>
    </row>
    <row r="11">
      <c r="A11" s="22"/>
      <c r="B11" s="22"/>
      <c r="C11" s="22"/>
      <c r="D11" s="22"/>
      <c r="E11" s="25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24">
        <f>IFERROR(__xludf.DUMMYFUNCTION("""COMPUTED_VALUE"""),100.0)</f>
        <v>100</v>
      </c>
      <c r="G11" s="25" t="str">
        <f>IFERROR(__xludf.DUMMYFUNCTION("""COMPUTED_VALUE"""),"")</f>
        <v/>
      </c>
      <c r="H11" s="24">
        <f>IFERROR(__xludf.DUMMYFUNCTION("""COMPUTED_VALUE"""),120.0)</f>
        <v>120</v>
      </c>
      <c r="I11" s="25" t="str">
        <f>IFERROR(__xludf.DUMMYFUNCTION("""COMPUTED_VALUE"""),"")</f>
        <v/>
      </c>
      <c r="J11" s="24">
        <f>IFERROR(__xludf.DUMMYFUNCTION("""COMPUTED_VALUE"""),60.0)</f>
        <v>60</v>
      </c>
      <c r="K11" s="22"/>
      <c r="L11" s="103">
        <v>7.0</v>
      </c>
      <c r="M11" s="105">
        <v>100.0</v>
      </c>
      <c r="N11" s="105">
        <v>0.0</v>
      </c>
      <c r="O11" s="105">
        <v>0.0</v>
      </c>
      <c r="P11" s="105">
        <v>0.0</v>
      </c>
      <c r="Q11" s="105">
        <v>0.0</v>
      </c>
      <c r="R11" s="105">
        <v>0.0</v>
      </c>
      <c r="S11" s="105">
        <v>0.0</v>
      </c>
      <c r="T11" s="105">
        <v>0.0</v>
      </c>
      <c r="U11" s="105">
        <v>120.0</v>
      </c>
      <c r="V11" s="105">
        <v>60.0</v>
      </c>
      <c r="W11" s="105">
        <v>0.0</v>
      </c>
      <c r="X11" s="105">
        <v>0.0</v>
      </c>
      <c r="Y11" s="22"/>
      <c r="Z11" s="22"/>
      <c r="AA11" s="22"/>
      <c r="AB11" s="22" t="s">
        <v>74</v>
      </c>
      <c r="AC11" s="58"/>
      <c r="AD11" s="8"/>
      <c r="AE11" s="8"/>
      <c r="AF11" s="8"/>
    </row>
    <row r="12" ht="15.0" customHeight="1">
      <c r="A12" s="73" t="s">
        <v>83</v>
      </c>
      <c r="B12" s="51">
        <f>SUM(B4:B10)</f>
        <v>130</v>
      </c>
      <c r="C12" s="22"/>
      <c r="D12" s="22"/>
      <c r="E12" s="25"/>
      <c r="F12" s="24"/>
      <c r="G12" s="25"/>
      <c r="H12" s="24"/>
      <c r="I12" s="25"/>
      <c r="J12" s="24"/>
      <c r="K12" s="22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22"/>
      <c r="Z12" s="22"/>
      <c r="AA12" s="22"/>
      <c r="AB12" s="22" t="s">
        <v>75</v>
      </c>
      <c r="AC12" s="58"/>
      <c r="AD12" s="8"/>
      <c r="AE12" s="8"/>
      <c r="AF12" s="8"/>
    </row>
    <row r="13" ht="15.0" customHeight="1">
      <c r="A13" s="73" t="s">
        <v>90</v>
      </c>
      <c r="B13" s="53">
        <f>B12/7</f>
        <v>18.57142857</v>
      </c>
      <c r="C13" s="22"/>
      <c r="D13" s="22"/>
      <c r="E13" s="25"/>
      <c r="F13" s="24"/>
      <c r="G13" s="25"/>
      <c r="H13" s="24"/>
      <c r="I13" s="25"/>
      <c r="J13" s="24"/>
      <c r="K13" s="22"/>
      <c r="L13" s="107" t="s">
        <v>91</v>
      </c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22"/>
      <c r="Z13" s="22"/>
      <c r="AA13" s="22"/>
      <c r="AB13" s="22" t="s">
        <v>76</v>
      </c>
      <c r="AC13" s="58"/>
      <c r="AD13" s="8"/>
      <c r="AE13" s="8"/>
      <c r="AF13" s="8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101" t="s">
        <v>87</v>
      </c>
      <c r="M14" s="101" t="s">
        <v>89</v>
      </c>
      <c r="N14" s="101" t="s">
        <v>68</v>
      </c>
      <c r="O14" s="101" t="s">
        <v>69</v>
      </c>
      <c r="P14" s="101" t="s">
        <v>70</v>
      </c>
      <c r="Q14" s="101" t="s">
        <v>71</v>
      </c>
      <c r="R14" s="101" t="s">
        <v>72</v>
      </c>
      <c r="S14" s="101" t="s">
        <v>73</v>
      </c>
      <c r="T14" s="101" t="s">
        <v>74</v>
      </c>
      <c r="U14" s="101" t="s">
        <v>75</v>
      </c>
      <c r="V14" s="101" t="s">
        <v>76</v>
      </c>
      <c r="W14" s="101" t="s">
        <v>77</v>
      </c>
      <c r="X14" s="101" t="s">
        <v>78</v>
      </c>
      <c r="Y14" s="22"/>
      <c r="Z14" s="22"/>
      <c r="AA14" s="22"/>
      <c r="AB14" s="22" t="s">
        <v>77</v>
      </c>
      <c r="AC14" s="58"/>
      <c r="AD14" s="8"/>
      <c r="AE14" s="8"/>
      <c r="AF14" s="8"/>
    </row>
    <row r="15" ht="15.0" customHeight="1">
      <c r="A15" s="108" t="s">
        <v>96</v>
      </c>
      <c r="B15" s="109">
        <f>B12/c_day!B12</f>
        <v>0.7142857143</v>
      </c>
      <c r="C15" s="22"/>
      <c r="D15" s="22"/>
      <c r="E15" s="25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24">
        <f>IFERROR(__xludf.DUMMYFUNCTION("""COMPUTED_VALUE"""),20.0)</f>
        <v>20</v>
      </c>
      <c r="G15" s="25"/>
      <c r="H15" s="24"/>
      <c r="I15" s="25"/>
      <c r="J15" s="24"/>
      <c r="K15" s="22"/>
      <c r="L15" s="103">
        <v>1.0</v>
      </c>
      <c r="M15" s="105">
        <v>0.0</v>
      </c>
      <c r="N15" s="105">
        <v>0.0</v>
      </c>
      <c r="O15" s="105">
        <v>0.0</v>
      </c>
      <c r="P15" s="105">
        <v>0.0</v>
      </c>
      <c r="Q15" s="105">
        <v>0.0</v>
      </c>
      <c r="R15" s="105">
        <v>0.0</v>
      </c>
      <c r="S15" s="105">
        <v>0.0</v>
      </c>
      <c r="T15" s="105">
        <v>0.0</v>
      </c>
      <c r="U15" s="105">
        <v>20.0</v>
      </c>
      <c r="V15" s="105">
        <v>0.0</v>
      </c>
      <c r="W15" s="105">
        <v>0.0</v>
      </c>
      <c r="X15" s="105">
        <v>0.0</v>
      </c>
      <c r="Y15" s="22"/>
      <c r="Z15" s="22"/>
      <c r="AA15" s="22"/>
      <c r="AB15" s="22" t="s">
        <v>78</v>
      </c>
      <c r="AC15" s="58"/>
      <c r="AD15" s="8"/>
      <c r="AE15" s="8"/>
      <c r="AF15" s="8"/>
    </row>
    <row r="16">
      <c r="A16" s="22"/>
      <c r="B16" s="22"/>
      <c r="C16" s="22"/>
      <c r="D16" s="22"/>
      <c r="E16" s="25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68">
        <f>IFERROR(__xludf.DUMMYFUNCTION("""COMPUTED_VALUE"""),10.0)</f>
        <v>10</v>
      </c>
      <c r="G16" s="25"/>
      <c r="H16" s="24"/>
      <c r="I16" s="25"/>
      <c r="J16" s="24"/>
      <c r="K16" s="22"/>
      <c r="L16" s="103">
        <v>2.0</v>
      </c>
      <c r="M16" s="104">
        <v>10.0</v>
      </c>
      <c r="N16" s="105">
        <v>0.0</v>
      </c>
      <c r="O16" s="105">
        <v>0.0</v>
      </c>
      <c r="P16" s="105">
        <v>0.0</v>
      </c>
      <c r="Q16" s="105">
        <v>0.0</v>
      </c>
      <c r="R16" s="105">
        <v>0.0</v>
      </c>
      <c r="S16" s="105">
        <v>0.0</v>
      </c>
      <c r="T16" s="105">
        <v>0.0</v>
      </c>
      <c r="U16" s="105">
        <v>0.0</v>
      </c>
      <c r="V16" s="105">
        <v>0.0</v>
      </c>
      <c r="W16" s="105">
        <v>0.0</v>
      </c>
      <c r="X16" s="105">
        <v>0.0</v>
      </c>
      <c r="Y16" s="22"/>
      <c r="Z16" s="22"/>
      <c r="AA16" s="22"/>
      <c r="AB16" s="22"/>
      <c r="AC16" s="22"/>
      <c r="AD16" s="8"/>
      <c r="AE16" s="8"/>
      <c r="AF16" s="8"/>
    </row>
    <row r="17">
      <c r="A17" s="22"/>
      <c r="B17" s="22"/>
      <c r="C17" s="22"/>
      <c r="D17" s="22"/>
      <c r="E17" s="25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24">
        <f>IFERROR(__xludf.DUMMYFUNCTION("""COMPUTED_VALUE"""),1.0)</f>
        <v>1</v>
      </c>
      <c r="G17" s="25"/>
      <c r="H17" s="24"/>
      <c r="I17" s="25"/>
      <c r="J17" s="24"/>
      <c r="K17" s="22"/>
      <c r="L17" s="103">
        <v>3.0</v>
      </c>
      <c r="M17" s="105">
        <v>0.0</v>
      </c>
      <c r="N17" s="105">
        <v>0.0</v>
      </c>
      <c r="O17" s="105">
        <v>0.0</v>
      </c>
      <c r="P17" s="105">
        <v>0.0</v>
      </c>
      <c r="Q17" s="105">
        <v>0.0</v>
      </c>
      <c r="R17" s="105">
        <v>1.0</v>
      </c>
      <c r="S17" s="105">
        <v>0.0</v>
      </c>
      <c r="T17" s="105">
        <v>0.0</v>
      </c>
      <c r="U17" s="105">
        <v>0.0</v>
      </c>
      <c r="V17" s="105">
        <v>0.0</v>
      </c>
      <c r="W17" s="105">
        <v>0.0</v>
      </c>
      <c r="X17" s="105">
        <v>0.0</v>
      </c>
      <c r="Y17" s="22"/>
      <c r="Z17" s="22"/>
      <c r="AA17" s="22"/>
      <c r="AB17" s="22"/>
      <c r="AC17" s="22"/>
      <c r="AD17" s="8"/>
      <c r="AE17" s="8"/>
      <c r="AF17" s="8"/>
    </row>
    <row r="18">
      <c r="A18" s="22"/>
      <c r="B18" s="22"/>
      <c r="C18" s="22"/>
      <c r="D18" s="22"/>
      <c r="E18" s="25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68">
        <f>IFERROR(__xludf.DUMMYFUNCTION("""COMPUTED_VALUE"""),10.0)</f>
        <v>10</v>
      </c>
      <c r="G18" s="25"/>
      <c r="H18" s="24"/>
      <c r="I18" s="25"/>
      <c r="J18" s="24"/>
      <c r="K18" s="22"/>
      <c r="L18" s="103">
        <v>4.0</v>
      </c>
      <c r="M18" s="104">
        <v>10.0</v>
      </c>
      <c r="N18" s="105">
        <v>0.0</v>
      </c>
      <c r="O18" s="105">
        <v>0.0</v>
      </c>
      <c r="P18" s="105">
        <v>0.0</v>
      </c>
      <c r="Q18" s="105">
        <v>0.0</v>
      </c>
      <c r="R18" s="105">
        <v>0.0</v>
      </c>
      <c r="S18" s="105">
        <v>0.0</v>
      </c>
      <c r="T18" s="105">
        <v>0.0</v>
      </c>
      <c r="U18" s="105">
        <v>0.0</v>
      </c>
      <c r="V18" s="105">
        <v>0.0</v>
      </c>
      <c r="W18" s="105">
        <v>0.0</v>
      </c>
      <c r="X18" s="105">
        <v>0.0</v>
      </c>
      <c r="Y18" s="22"/>
      <c r="Z18" s="22"/>
      <c r="AA18" s="22"/>
      <c r="AB18" s="22"/>
      <c r="AC18" s="22"/>
      <c r="AD18" s="8"/>
      <c r="AE18" s="8"/>
      <c r="AF18" s="8"/>
    </row>
    <row r="19">
      <c r="A19" s="22"/>
      <c r="B19" s="22"/>
      <c r="C19" s="22"/>
      <c r="D19" s="22"/>
      <c r="E19" s="25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24">
        <f>IFERROR(__xludf.DUMMYFUNCTION("""COMPUTED_VALUE"""),1.0)</f>
        <v>1</v>
      </c>
      <c r="G19" s="25"/>
      <c r="H19" s="24"/>
      <c r="I19" s="25"/>
      <c r="J19" s="24"/>
      <c r="K19" s="22"/>
      <c r="L19" s="103">
        <v>5.0</v>
      </c>
      <c r="M19" s="105">
        <v>0.0</v>
      </c>
      <c r="N19" s="105">
        <v>0.0</v>
      </c>
      <c r="O19" s="105">
        <v>0.0</v>
      </c>
      <c r="P19" s="105">
        <v>0.0</v>
      </c>
      <c r="Q19" s="105">
        <v>0.0</v>
      </c>
      <c r="R19" s="105">
        <v>0.0</v>
      </c>
      <c r="S19" s="105">
        <v>1.0</v>
      </c>
      <c r="T19" s="105">
        <v>0.0</v>
      </c>
      <c r="U19" s="105">
        <v>0.0</v>
      </c>
      <c r="V19" s="105">
        <v>0.0</v>
      </c>
      <c r="W19" s="105">
        <v>0.0</v>
      </c>
      <c r="X19" s="105">
        <v>0.0</v>
      </c>
      <c r="Y19" s="22"/>
      <c r="Z19" s="22"/>
      <c r="AA19" s="22"/>
      <c r="AB19" s="22"/>
      <c r="AC19" s="22"/>
      <c r="AD19" s="8"/>
      <c r="AE19" s="8"/>
      <c r="AF19" s="8"/>
    </row>
    <row r="20">
      <c r="A20" s="22"/>
      <c r="B20" s="22"/>
      <c r="C20" s="22"/>
      <c r="D20" s="22"/>
      <c r="E20" s="25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68">
        <f>IFERROR(__xludf.DUMMYFUNCTION("""COMPUTED_VALUE"""),10.0)</f>
        <v>10</v>
      </c>
      <c r="G20" s="25"/>
      <c r="H20" s="24"/>
      <c r="I20" s="25"/>
      <c r="J20" s="24"/>
      <c r="K20" s="22"/>
      <c r="L20" s="103">
        <v>6.0</v>
      </c>
      <c r="M20" s="104">
        <v>10.0</v>
      </c>
      <c r="N20" s="105">
        <v>0.0</v>
      </c>
      <c r="O20" s="105">
        <v>0.0</v>
      </c>
      <c r="P20" s="105">
        <v>0.0</v>
      </c>
      <c r="Q20" s="105">
        <v>0.0</v>
      </c>
      <c r="R20" s="105">
        <v>0.0</v>
      </c>
      <c r="S20" s="105">
        <v>0.0</v>
      </c>
      <c r="T20" s="105">
        <v>0.0</v>
      </c>
      <c r="U20" s="105">
        <v>0.0</v>
      </c>
      <c r="V20" s="105">
        <v>0.0</v>
      </c>
      <c r="W20" s="105">
        <v>0.0</v>
      </c>
      <c r="X20" s="105">
        <v>0.0</v>
      </c>
      <c r="Y20" s="22"/>
      <c r="Z20" s="22"/>
      <c r="AA20" s="22"/>
      <c r="AB20" s="22"/>
      <c r="AC20" s="22"/>
      <c r="AD20" s="8"/>
      <c r="AE20" s="8"/>
      <c r="AF20" s="8"/>
    </row>
    <row r="21" ht="15.75" customHeight="1">
      <c r="A21" s="22"/>
      <c r="B21" s="22"/>
      <c r="C21" s="22"/>
      <c r="D21" s="22"/>
      <c r="E21" s="25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24">
        <f>IFERROR(__xludf.DUMMYFUNCTION("""COMPUTED_VALUE"""),100.0)</f>
        <v>100</v>
      </c>
      <c r="G21" s="25" t="str">
        <f>IFERROR(__xludf.DUMMYFUNCTION("""COMPUTED_VALUE"""),"")</f>
        <v/>
      </c>
      <c r="H21" s="24">
        <f>IFERROR(__xludf.DUMMYFUNCTION("""COMPUTED_VALUE"""),120.0)</f>
        <v>120</v>
      </c>
      <c r="I21" s="25" t="str">
        <f>IFERROR(__xludf.DUMMYFUNCTION("""COMPUTED_VALUE"""),"")</f>
        <v/>
      </c>
      <c r="J21" s="24">
        <f>IFERROR(__xludf.DUMMYFUNCTION("""COMPUTED_VALUE"""),60.0)</f>
        <v>60</v>
      </c>
      <c r="K21" s="22"/>
      <c r="L21" s="103">
        <v>7.0</v>
      </c>
      <c r="M21" s="105">
        <v>100.0</v>
      </c>
      <c r="N21" s="105">
        <v>0.0</v>
      </c>
      <c r="O21" s="105">
        <v>0.0</v>
      </c>
      <c r="P21" s="105">
        <v>0.0</v>
      </c>
      <c r="Q21" s="105">
        <v>0.0</v>
      </c>
      <c r="R21" s="105">
        <v>0.0</v>
      </c>
      <c r="S21" s="105">
        <v>0.0</v>
      </c>
      <c r="T21" s="105">
        <v>0.0</v>
      </c>
      <c r="U21" s="105">
        <v>120.0</v>
      </c>
      <c r="V21" s="105">
        <v>0.0</v>
      </c>
      <c r="W21" s="105">
        <v>60.0</v>
      </c>
      <c r="X21" s="105">
        <v>0.0</v>
      </c>
      <c r="Y21" s="22"/>
      <c r="Z21" s="22"/>
      <c r="AA21" s="22"/>
      <c r="AB21" s="22"/>
      <c r="AC21" s="22"/>
      <c r="AD21" s="8"/>
      <c r="AE21" s="8"/>
      <c r="AF21" s="8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22"/>
      <c r="Z22" s="22"/>
      <c r="AA22" s="22"/>
      <c r="AB22" s="22"/>
      <c r="AC22" s="22"/>
      <c r="AD22" s="8"/>
      <c r="AE22" s="8"/>
      <c r="AF22" s="8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107" t="s">
        <v>92</v>
      </c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22"/>
      <c r="Z23" s="22"/>
      <c r="AA23" s="22"/>
      <c r="AB23" s="22"/>
      <c r="AC23" s="22"/>
      <c r="AD23" s="8"/>
      <c r="AE23" s="8"/>
      <c r="AF23" s="8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101" t="s">
        <v>87</v>
      </c>
      <c r="M24" s="101" t="s">
        <v>89</v>
      </c>
      <c r="N24" s="101" t="s">
        <v>68</v>
      </c>
      <c r="O24" s="101" t="s">
        <v>69</v>
      </c>
      <c r="P24" s="101" t="s">
        <v>70</v>
      </c>
      <c r="Q24" s="101" t="s">
        <v>71</v>
      </c>
      <c r="R24" s="101" t="s">
        <v>72</v>
      </c>
      <c r="S24" s="101" t="s">
        <v>73</v>
      </c>
      <c r="T24" s="101" t="s">
        <v>74</v>
      </c>
      <c r="U24" s="101" t="s">
        <v>75</v>
      </c>
      <c r="V24" s="101" t="s">
        <v>76</v>
      </c>
      <c r="W24" s="101" t="s">
        <v>77</v>
      </c>
      <c r="X24" s="101" t="s">
        <v>78</v>
      </c>
      <c r="Y24" s="22"/>
      <c r="Z24" s="22"/>
      <c r="AA24" s="22"/>
      <c r="AB24" s="22"/>
      <c r="AC24" s="22"/>
      <c r="AD24" s="8"/>
      <c r="AE24" s="8"/>
      <c r="AF24" s="8"/>
    </row>
    <row r="25" ht="15.75" customHeight="1">
      <c r="A25" s="22"/>
      <c r="B25" s="22"/>
      <c r="C25" s="22"/>
      <c r="D25" s="22"/>
      <c r="E25" s="25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24">
        <f>IFERROR(__xludf.DUMMYFUNCTION("""COMPUTED_VALUE"""),15.0)</f>
        <v>15</v>
      </c>
      <c r="G25" s="25"/>
      <c r="H25" s="24"/>
      <c r="I25" s="25"/>
      <c r="J25" s="24"/>
      <c r="K25" s="22"/>
      <c r="L25" s="103">
        <v>1.0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105">
        <v>15.0</v>
      </c>
      <c r="V25" s="105">
        <v>0.0</v>
      </c>
      <c r="W25" s="105">
        <v>0.0</v>
      </c>
      <c r="X25" s="105">
        <v>0.0</v>
      </c>
      <c r="Y25" s="22"/>
      <c r="Z25" s="22"/>
      <c r="AA25" s="22"/>
      <c r="AB25" s="22"/>
      <c r="AC25" s="22"/>
      <c r="AD25" s="8"/>
      <c r="AE25" s="8"/>
      <c r="AF25" s="8"/>
    </row>
    <row r="26" ht="15.75" customHeight="1">
      <c r="A26" s="22"/>
      <c r="B26" s="22"/>
      <c r="C26" s="22"/>
      <c r="D26" s="22"/>
      <c r="E26" s="25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68">
        <f>IFERROR(__xludf.DUMMYFUNCTION("""COMPUTED_VALUE"""),10.0)</f>
        <v>10</v>
      </c>
      <c r="G26" s="25"/>
      <c r="H26" s="24"/>
      <c r="I26" s="25"/>
      <c r="J26" s="24"/>
      <c r="K26" s="22"/>
      <c r="L26" s="103">
        <v>2.0</v>
      </c>
      <c r="M26" s="104">
        <v>10.0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105">
        <v>0.0</v>
      </c>
      <c r="V26" s="105">
        <v>0.0</v>
      </c>
      <c r="W26" s="105">
        <v>0.0</v>
      </c>
      <c r="X26" s="105">
        <v>0.0</v>
      </c>
      <c r="Y26" s="22"/>
      <c r="Z26" s="22"/>
      <c r="AA26" s="22"/>
      <c r="AB26" s="22"/>
      <c r="AC26" s="22"/>
      <c r="AD26" s="8"/>
      <c r="AE26" s="8"/>
      <c r="AF26" s="8"/>
    </row>
    <row r="27" ht="15.75" customHeight="1">
      <c r="A27" s="22"/>
      <c r="B27" s="22"/>
      <c r="C27" s="22"/>
      <c r="D27" s="22"/>
      <c r="E27" s="25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24">
        <f>IFERROR(__xludf.DUMMYFUNCTION("""COMPUTED_VALUE"""),1.0)</f>
        <v>1</v>
      </c>
      <c r="G27" s="25"/>
      <c r="H27" s="24"/>
      <c r="I27" s="25"/>
      <c r="J27" s="24"/>
      <c r="K27" s="22"/>
      <c r="L27" s="103">
        <v>3.0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1.0</v>
      </c>
      <c r="S27" s="105">
        <v>0.0</v>
      </c>
      <c r="T27" s="105">
        <v>0.0</v>
      </c>
      <c r="U27" s="105">
        <v>0.0</v>
      </c>
      <c r="V27" s="105">
        <v>0.0</v>
      </c>
      <c r="W27" s="105">
        <v>0.0</v>
      </c>
      <c r="X27" s="105">
        <v>0.0</v>
      </c>
      <c r="Y27" s="22"/>
      <c r="Z27" s="22"/>
      <c r="AA27" s="22"/>
      <c r="AB27" s="22"/>
      <c r="AC27" s="22"/>
      <c r="AD27" s="8"/>
      <c r="AE27" s="8"/>
      <c r="AF27" s="8"/>
    </row>
    <row r="28" ht="15.75" customHeight="1">
      <c r="A28" s="22"/>
      <c r="B28" s="22"/>
      <c r="C28" s="22"/>
      <c r="D28" s="22"/>
      <c r="E28" s="25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68">
        <f>IFERROR(__xludf.DUMMYFUNCTION("""COMPUTED_VALUE"""),10.0)</f>
        <v>10</v>
      </c>
      <c r="G28" s="25"/>
      <c r="H28" s="24"/>
      <c r="I28" s="25"/>
      <c r="J28" s="24"/>
      <c r="K28" s="22"/>
      <c r="L28" s="103">
        <v>4.0</v>
      </c>
      <c r="M28" s="104">
        <v>10.0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105">
        <v>0.0</v>
      </c>
      <c r="V28" s="105">
        <v>0.0</v>
      </c>
      <c r="W28" s="105">
        <v>0.0</v>
      </c>
      <c r="X28" s="105">
        <v>0.0</v>
      </c>
      <c r="Y28" s="22"/>
      <c r="Z28" s="22"/>
      <c r="AA28" s="22"/>
      <c r="AB28" s="22"/>
      <c r="AC28" s="22"/>
      <c r="AD28" s="8"/>
      <c r="AE28" s="8"/>
      <c r="AF28" s="8"/>
    </row>
    <row r="29" ht="15.75" customHeight="1">
      <c r="A29" s="22"/>
      <c r="B29" s="22"/>
      <c r="C29" s="22"/>
      <c r="D29" s="22"/>
      <c r="E29" s="25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24">
        <f>IFERROR(__xludf.DUMMYFUNCTION("""COMPUTED_VALUE"""),1.0)</f>
        <v>1</v>
      </c>
      <c r="G29" s="25"/>
      <c r="H29" s="24"/>
      <c r="I29" s="25"/>
      <c r="J29" s="24"/>
      <c r="K29" s="22"/>
      <c r="L29" s="103">
        <v>5.0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1.0</v>
      </c>
      <c r="T29" s="105">
        <v>0.0</v>
      </c>
      <c r="U29" s="105">
        <v>0.0</v>
      </c>
      <c r="V29" s="105">
        <v>0.0</v>
      </c>
      <c r="W29" s="105">
        <v>0.0</v>
      </c>
      <c r="X29" s="105">
        <v>0.0</v>
      </c>
      <c r="Y29" s="22"/>
      <c r="Z29" s="22"/>
      <c r="AA29" s="22"/>
      <c r="AB29" s="22"/>
      <c r="AC29" s="22"/>
      <c r="AD29" s="8"/>
      <c r="AE29" s="8"/>
      <c r="AF29" s="8"/>
    </row>
    <row r="30" ht="15.75" customHeight="1">
      <c r="A30" s="22"/>
      <c r="B30" s="22"/>
      <c r="C30" s="22"/>
      <c r="D30" s="22"/>
      <c r="E30" s="25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68">
        <f>IFERROR(__xludf.DUMMYFUNCTION("""COMPUTED_VALUE"""),10.0)</f>
        <v>10</v>
      </c>
      <c r="G30" s="25"/>
      <c r="H30" s="24"/>
      <c r="I30" s="25"/>
      <c r="J30" s="24"/>
      <c r="K30" s="22"/>
      <c r="L30" s="103">
        <v>6.0</v>
      </c>
      <c r="M30" s="104">
        <v>10.0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105">
        <v>0.0</v>
      </c>
      <c r="V30" s="105">
        <v>0.0</v>
      </c>
      <c r="W30" s="105">
        <v>0.0</v>
      </c>
      <c r="X30" s="105">
        <v>0.0</v>
      </c>
      <c r="Y30" s="22"/>
      <c r="Z30" s="22"/>
      <c r="AA30" s="22"/>
      <c r="AB30" s="22"/>
      <c r="AC30" s="22"/>
      <c r="AD30" s="8"/>
      <c r="AE30" s="8"/>
      <c r="AF30" s="8"/>
    </row>
    <row r="31" ht="15.75" customHeight="1">
      <c r="A31" s="22"/>
      <c r="B31" s="22"/>
      <c r="C31" s="22"/>
      <c r="D31" s="22"/>
      <c r="E31" s="25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24">
        <f>IFERROR(__xludf.DUMMYFUNCTION("""COMPUTED_VALUE"""),100.0)</f>
        <v>100</v>
      </c>
      <c r="G31" s="25" t="str">
        <f>IFERROR(__xludf.DUMMYFUNCTION("""COMPUTED_VALUE"""),"")</f>
        <v/>
      </c>
      <c r="H31" s="24">
        <f>IFERROR(__xludf.DUMMYFUNCTION("""COMPUTED_VALUE"""),120.0)</f>
        <v>120</v>
      </c>
      <c r="I31" s="25" t="str">
        <f>IFERROR(__xludf.DUMMYFUNCTION("""COMPUTED_VALUE"""),"")</f>
        <v/>
      </c>
      <c r="J31" s="24">
        <f>IFERROR(__xludf.DUMMYFUNCTION("""COMPUTED_VALUE"""),30.0)</f>
        <v>30</v>
      </c>
      <c r="K31" s="22"/>
      <c r="L31" s="103">
        <v>7.0</v>
      </c>
      <c r="M31" s="105">
        <v>100.0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105">
        <v>120.0</v>
      </c>
      <c r="V31" s="105">
        <v>0.0</v>
      </c>
      <c r="W31" s="105">
        <v>0.0</v>
      </c>
      <c r="X31" s="105">
        <v>30.0</v>
      </c>
      <c r="Y31" s="22"/>
      <c r="Z31" s="22"/>
      <c r="AA31" s="22"/>
      <c r="AB31" s="22"/>
      <c r="AC31" s="22"/>
      <c r="AD31" s="8"/>
      <c r="AE31" s="8"/>
      <c r="AF31" s="8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22"/>
      <c r="Z32" s="22"/>
      <c r="AA32" s="22"/>
      <c r="AB32" s="22"/>
      <c r="AC32" s="22"/>
      <c r="AD32" s="8"/>
      <c r="AE32" s="8"/>
      <c r="AF32" s="8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107" t="s">
        <v>93</v>
      </c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22"/>
      <c r="Z33" s="22"/>
      <c r="AA33" s="22"/>
      <c r="AB33" s="22"/>
      <c r="AC33" s="22"/>
      <c r="AD33" s="8"/>
      <c r="AE33" s="8"/>
      <c r="AF33" s="8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101" t="s">
        <v>87</v>
      </c>
      <c r="M34" s="101" t="s">
        <v>89</v>
      </c>
      <c r="N34" s="101" t="s">
        <v>68</v>
      </c>
      <c r="O34" s="101" t="s">
        <v>69</v>
      </c>
      <c r="P34" s="101" t="s">
        <v>70</v>
      </c>
      <c r="Q34" s="101" t="s">
        <v>71</v>
      </c>
      <c r="R34" s="101" t="s">
        <v>72</v>
      </c>
      <c r="S34" s="101" t="s">
        <v>73</v>
      </c>
      <c r="T34" s="101" t="s">
        <v>74</v>
      </c>
      <c r="U34" s="101" t="s">
        <v>75</v>
      </c>
      <c r="V34" s="101" t="s">
        <v>76</v>
      </c>
      <c r="W34" s="101" t="s">
        <v>77</v>
      </c>
      <c r="X34" s="101" t="s">
        <v>78</v>
      </c>
      <c r="Y34" s="22"/>
      <c r="Z34" s="22"/>
      <c r="AA34" s="22"/>
      <c r="AB34" s="22"/>
      <c r="AC34" s="22"/>
      <c r="AD34" s="8"/>
      <c r="AE34" s="8"/>
      <c r="AF34" s="8"/>
    </row>
    <row r="35" ht="15.75" customHeight="1">
      <c r="A35" s="22"/>
      <c r="B35" s="22"/>
      <c r="C35" s="22"/>
      <c r="D35" s="22"/>
      <c r="E35" s="25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68">
        <f>IFERROR(__xludf.DUMMYFUNCTION("""COMPUTED_VALUE"""),10.0)</f>
        <v>10</v>
      </c>
      <c r="G35" s="25"/>
      <c r="H35" s="24"/>
      <c r="I35" s="25"/>
      <c r="J35" s="24"/>
      <c r="K35" s="22"/>
      <c r="L35" s="103">
        <v>1.0</v>
      </c>
      <c r="M35" s="104">
        <v>10.0</v>
      </c>
      <c r="N35" s="105">
        <v>0.0</v>
      </c>
      <c r="O35" s="105">
        <v>0.0</v>
      </c>
      <c r="P35" s="105">
        <v>0.0</v>
      </c>
      <c r="Q35" s="105">
        <v>0.0</v>
      </c>
      <c r="R35" s="105">
        <v>0.0</v>
      </c>
      <c r="S35" s="105">
        <v>0.0</v>
      </c>
      <c r="T35" s="105">
        <v>0.0</v>
      </c>
      <c r="U35" s="105">
        <v>0.0</v>
      </c>
      <c r="V35" s="105">
        <v>0.0</v>
      </c>
      <c r="W35" s="105">
        <v>0.0</v>
      </c>
      <c r="X35" s="105">
        <v>0.0</v>
      </c>
      <c r="Y35" s="22"/>
      <c r="Z35" s="22"/>
      <c r="AA35" s="22"/>
      <c r="AB35" s="22"/>
      <c r="AC35" s="22"/>
      <c r="AD35" s="8"/>
      <c r="AE35" s="8"/>
      <c r="AF35" s="8"/>
    </row>
    <row r="36" ht="15.75" customHeight="1">
      <c r="A36" s="22"/>
      <c r="B36" s="22"/>
      <c r="C36" s="22"/>
      <c r="D36" s="22"/>
      <c r="E36" s="25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24">
        <f>IFERROR(__xludf.DUMMYFUNCTION("""COMPUTED_VALUE"""),30.0)</f>
        <v>30</v>
      </c>
      <c r="G36" s="25"/>
      <c r="H36" s="24"/>
      <c r="I36" s="25"/>
      <c r="J36" s="24"/>
      <c r="K36" s="22"/>
      <c r="L36" s="103">
        <v>2.0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0.0</v>
      </c>
      <c r="S36" s="105">
        <v>0.0</v>
      </c>
      <c r="T36" s="105">
        <v>0.0</v>
      </c>
      <c r="U36" s="105">
        <v>30.0</v>
      </c>
      <c r="V36" s="105">
        <v>0.0</v>
      </c>
      <c r="W36" s="105">
        <v>0.0</v>
      </c>
      <c r="X36" s="105">
        <v>0.0</v>
      </c>
      <c r="Y36" s="22"/>
      <c r="Z36" s="22"/>
      <c r="AA36" s="22"/>
      <c r="AB36" s="22"/>
      <c r="AC36" s="22"/>
      <c r="AD36" s="8"/>
      <c r="AE36" s="8"/>
      <c r="AF36" s="8"/>
    </row>
    <row r="37" ht="15.75" customHeight="1">
      <c r="A37" s="22"/>
      <c r="B37" s="22"/>
      <c r="C37" s="22"/>
      <c r="D37" s="22"/>
      <c r="E37" s="25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24">
        <f>IFERROR(__xludf.DUMMYFUNCTION("""COMPUTED_VALUE"""),1.0)</f>
        <v>1</v>
      </c>
      <c r="G37" s="25"/>
      <c r="H37" s="24"/>
      <c r="I37" s="25"/>
      <c r="J37" s="24"/>
      <c r="K37" s="22"/>
      <c r="L37" s="103">
        <v>3.0</v>
      </c>
      <c r="M37" s="105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0.0</v>
      </c>
      <c r="S37" s="105">
        <v>1.0</v>
      </c>
      <c r="T37" s="105">
        <v>0.0</v>
      </c>
      <c r="U37" s="105">
        <v>0.0</v>
      </c>
      <c r="V37" s="105">
        <v>0.0</v>
      </c>
      <c r="W37" s="105">
        <v>0.0</v>
      </c>
      <c r="X37" s="105">
        <v>0.0</v>
      </c>
      <c r="Y37" s="22"/>
      <c r="Z37" s="22"/>
      <c r="AA37" s="22"/>
      <c r="AB37" s="22"/>
      <c r="AC37" s="22"/>
      <c r="AD37" s="8"/>
      <c r="AE37" s="8"/>
      <c r="AF37" s="8"/>
    </row>
    <row r="38" ht="15.75" customHeight="1">
      <c r="A38" s="22"/>
      <c r="B38" s="22"/>
      <c r="C38" s="22"/>
      <c r="D38" s="22"/>
      <c r="E38" s="25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24">
        <f>IFERROR(__xludf.DUMMYFUNCTION("""COMPUTED_VALUE"""),1.0)</f>
        <v>1</v>
      </c>
      <c r="G38" s="25"/>
      <c r="H38" s="24"/>
      <c r="I38" s="25"/>
      <c r="J38" s="24"/>
      <c r="K38" s="22"/>
      <c r="L38" s="103">
        <v>4.0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1.0</v>
      </c>
      <c r="S38" s="105">
        <v>0.0</v>
      </c>
      <c r="T38" s="105">
        <v>0.0</v>
      </c>
      <c r="U38" s="105">
        <v>0.0</v>
      </c>
      <c r="V38" s="105">
        <v>0.0</v>
      </c>
      <c r="W38" s="105">
        <v>0.0</v>
      </c>
      <c r="X38" s="105">
        <v>0.0</v>
      </c>
      <c r="Y38" s="22"/>
      <c r="Z38" s="22"/>
      <c r="AA38" s="22"/>
      <c r="AB38" s="22"/>
      <c r="AC38" s="22"/>
      <c r="AD38" s="8"/>
      <c r="AE38" s="8"/>
      <c r="AF38" s="8"/>
    </row>
    <row r="39" ht="15.75" customHeight="1">
      <c r="A39" s="22"/>
      <c r="B39" s="22"/>
      <c r="C39" s="22"/>
      <c r="D39" s="22"/>
      <c r="E39" s="25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68">
        <f>IFERROR(__xludf.DUMMYFUNCTION("""COMPUTED_VALUE"""),10.0)</f>
        <v>10</v>
      </c>
      <c r="G39" s="25"/>
      <c r="H39" s="24"/>
      <c r="I39" s="25"/>
      <c r="J39" s="24"/>
      <c r="K39" s="22"/>
      <c r="L39" s="103">
        <v>5.0</v>
      </c>
      <c r="M39" s="104">
        <v>10.0</v>
      </c>
      <c r="N39" s="105">
        <v>0.0</v>
      </c>
      <c r="O39" s="105">
        <v>0.0</v>
      </c>
      <c r="P39" s="105">
        <v>0.0</v>
      </c>
      <c r="Q39" s="105">
        <v>0.0</v>
      </c>
      <c r="R39" s="105">
        <v>0.0</v>
      </c>
      <c r="S39" s="105">
        <v>0.0</v>
      </c>
      <c r="T39" s="105">
        <v>0.0</v>
      </c>
      <c r="U39" s="105">
        <v>0.0</v>
      </c>
      <c r="V39" s="105">
        <v>0.0</v>
      </c>
      <c r="W39" s="105">
        <v>0.0</v>
      </c>
      <c r="X39" s="105">
        <v>0.0</v>
      </c>
      <c r="Y39" s="22"/>
      <c r="Z39" s="22"/>
      <c r="AA39" s="22"/>
      <c r="AB39" s="22"/>
      <c r="AC39" s="22"/>
      <c r="AD39" s="8"/>
      <c r="AE39" s="8"/>
      <c r="AF39" s="8"/>
    </row>
    <row r="40" ht="15.75" customHeight="1">
      <c r="A40" s="22"/>
      <c r="B40" s="22"/>
      <c r="C40" s="22"/>
      <c r="D40" s="22"/>
      <c r="E40" s="25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24">
        <f>IFERROR(__xludf.DUMMYFUNCTION("""COMPUTED_VALUE"""),1.0)</f>
        <v>1</v>
      </c>
      <c r="G40" s="25"/>
      <c r="H40" s="24"/>
      <c r="I40" s="25"/>
      <c r="J40" s="24"/>
      <c r="K40" s="22"/>
      <c r="L40" s="103">
        <v>6.0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1.0</v>
      </c>
      <c r="S40" s="105">
        <v>0.0</v>
      </c>
      <c r="T40" s="105">
        <v>0.0</v>
      </c>
      <c r="U40" s="105">
        <v>0.0</v>
      </c>
      <c r="V40" s="105">
        <v>0.0</v>
      </c>
      <c r="W40" s="105">
        <v>0.0</v>
      </c>
      <c r="X40" s="105">
        <v>0.0</v>
      </c>
      <c r="Y40" s="22"/>
      <c r="Z40" s="22"/>
      <c r="AA40" s="22"/>
      <c r="AB40" s="22"/>
      <c r="AC40" s="22"/>
      <c r="AD40" s="8"/>
      <c r="AE40" s="8"/>
      <c r="AF40" s="8"/>
    </row>
    <row r="41" ht="15.75" customHeight="1">
      <c r="A41" s="22"/>
      <c r="B41" s="22"/>
      <c r="C41" s="22"/>
      <c r="D41" s="22"/>
      <c r="E41" s="25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24">
        <f>IFERROR(__xludf.DUMMYFUNCTION("""COMPUTED_VALUE"""),100.0)</f>
        <v>100</v>
      </c>
      <c r="G41" s="25" t="str">
        <f>IFERROR(__xludf.DUMMYFUNCTION("""COMPUTED_VALUE"""),"")</f>
        <v/>
      </c>
      <c r="H41" s="24">
        <f>IFERROR(__xludf.DUMMYFUNCTION("""COMPUTED_VALUE"""),1.0)</f>
        <v>1</v>
      </c>
      <c r="I41" s="25" t="str">
        <f>IFERROR(__xludf.DUMMYFUNCTION("""COMPUTED_VALUE"""),"")</f>
        <v/>
      </c>
      <c r="J41" s="24">
        <f>IFERROR(__xludf.DUMMYFUNCTION("""COMPUTED_VALUE"""),120.0)</f>
        <v>120</v>
      </c>
      <c r="K41" s="22"/>
      <c r="L41" s="103">
        <v>7.0</v>
      </c>
      <c r="M41" s="105">
        <v>100.0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0.0</v>
      </c>
      <c r="S41" s="105">
        <v>0.0</v>
      </c>
      <c r="T41" s="110">
        <v>1.0</v>
      </c>
      <c r="U41" s="105">
        <v>120.0</v>
      </c>
      <c r="V41" s="105">
        <v>0.0</v>
      </c>
      <c r="W41" s="105">
        <v>0.0</v>
      </c>
      <c r="X41" s="105">
        <v>0.0</v>
      </c>
      <c r="Y41" s="22"/>
      <c r="Z41" s="22"/>
      <c r="AA41" s="22"/>
      <c r="AB41" s="22"/>
      <c r="AC41" s="22"/>
      <c r="AD41" s="8"/>
      <c r="AE41" s="8"/>
      <c r="AF41" s="8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22"/>
      <c r="Z42" s="22"/>
      <c r="AA42" s="22"/>
      <c r="AB42" s="22"/>
      <c r="AC42" s="22"/>
      <c r="AD42" s="8"/>
      <c r="AE42" s="8"/>
      <c r="AF42" s="8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107" t="s">
        <v>94</v>
      </c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22"/>
      <c r="Z43" s="22"/>
      <c r="AA43" s="22"/>
      <c r="AB43" s="22"/>
      <c r="AC43" s="22"/>
      <c r="AD43" s="8"/>
      <c r="AE43" s="8"/>
      <c r="AF43" s="8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101" t="s">
        <v>87</v>
      </c>
      <c r="M44" s="101" t="s">
        <v>89</v>
      </c>
      <c r="N44" s="101" t="s">
        <v>68</v>
      </c>
      <c r="O44" s="101" t="s">
        <v>69</v>
      </c>
      <c r="P44" s="101" t="s">
        <v>70</v>
      </c>
      <c r="Q44" s="101" t="s">
        <v>71</v>
      </c>
      <c r="R44" s="101" t="s">
        <v>72</v>
      </c>
      <c r="S44" s="101" t="s">
        <v>73</v>
      </c>
      <c r="T44" s="101" t="s">
        <v>74</v>
      </c>
      <c r="U44" s="101" t="s">
        <v>75</v>
      </c>
      <c r="V44" s="101" t="s">
        <v>76</v>
      </c>
      <c r="W44" s="101" t="s">
        <v>77</v>
      </c>
      <c r="X44" s="101" t="s">
        <v>78</v>
      </c>
      <c r="Y44" s="22"/>
      <c r="Z44" s="22"/>
      <c r="AA44" s="22"/>
      <c r="AB44" s="22"/>
      <c r="AC44" s="22"/>
      <c r="AD44" s="8"/>
      <c r="AE44" s="8"/>
      <c r="AF44" s="8"/>
    </row>
    <row r="45" ht="15.75" customHeight="1">
      <c r="A45" s="22"/>
      <c r="B45" s="22"/>
      <c r="C45" s="22"/>
      <c r="D45" s="22"/>
      <c r="E45" s="25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68">
        <f>IFERROR(__xludf.DUMMYFUNCTION("""COMPUTED_VALUE"""),10.0)</f>
        <v>10</v>
      </c>
      <c r="G45" s="25"/>
      <c r="H45" s="24"/>
      <c r="I45" s="25"/>
      <c r="J45" s="24"/>
      <c r="K45" s="22"/>
      <c r="L45" s="103">
        <v>1.0</v>
      </c>
      <c r="M45" s="104">
        <v>10.0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105">
        <v>0.0</v>
      </c>
      <c r="V45" s="105">
        <v>0.0</v>
      </c>
      <c r="W45" s="105">
        <v>0.0</v>
      </c>
      <c r="X45" s="105">
        <v>0.0</v>
      </c>
      <c r="Y45" s="22"/>
      <c r="Z45" s="22"/>
      <c r="AA45" s="22"/>
      <c r="AB45" s="22"/>
      <c r="AC45" s="22"/>
      <c r="AD45" s="8"/>
      <c r="AE45" s="8"/>
      <c r="AF45" s="8"/>
    </row>
    <row r="46" ht="15.75" customHeight="1">
      <c r="A46" s="22"/>
      <c r="B46" s="22"/>
      <c r="C46" s="22"/>
      <c r="D46" s="22"/>
      <c r="E46" s="25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24">
        <f>IFERROR(__xludf.DUMMYFUNCTION("""COMPUTED_VALUE"""),15.0)</f>
        <v>15</v>
      </c>
      <c r="G46" s="25"/>
      <c r="H46" s="24"/>
      <c r="I46" s="25"/>
      <c r="J46" s="24"/>
      <c r="K46" s="22"/>
      <c r="L46" s="103">
        <v>2.0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105">
        <v>15.0</v>
      </c>
      <c r="V46" s="105">
        <v>0.0</v>
      </c>
      <c r="W46" s="105">
        <v>0.0</v>
      </c>
      <c r="X46" s="105">
        <v>0.0</v>
      </c>
      <c r="Y46" s="22"/>
      <c r="Z46" s="22"/>
      <c r="AA46" s="22"/>
      <c r="AB46" s="22"/>
      <c r="AC46" s="22"/>
      <c r="AD46" s="8"/>
      <c r="AE46" s="8"/>
      <c r="AF46" s="8"/>
    </row>
    <row r="47" ht="15.75" customHeight="1">
      <c r="A47" s="22"/>
      <c r="B47" s="22"/>
      <c r="C47" s="22"/>
      <c r="D47" s="22"/>
      <c r="E47" s="25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24">
        <f>IFERROR(__xludf.DUMMYFUNCTION("""COMPUTED_VALUE"""),1.0)</f>
        <v>1</v>
      </c>
      <c r="G47" s="25"/>
      <c r="H47" s="24"/>
      <c r="I47" s="25"/>
      <c r="J47" s="24"/>
      <c r="K47" s="22"/>
      <c r="L47" s="103">
        <v>3.0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1.0</v>
      </c>
      <c r="S47" s="105">
        <v>0.0</v>
      </c>
      <c r="T47" s="105">
        <v>0.0</v>
      </c>
      <c r="U47" s="105">
        <v>0.0</v>
      </c>
      <c r="V47" s="105">
        <v>0.0</v>
      </c>
      <c r="W47" s="105">
        <v>0.0</v>
      </c>
      <c r="X47" s="105">
        <v>0.0</v>
      </c>
      <c r="Y47" s="22"/>
      <c r="Z47" s="22"/>
      <c r="AA47" s="22"/>
      <c r="AB47" s="22"/>
      <c r="AC47" s="22"/>
      <c r="AD47" s="8"/>
      <c r="AE47" s="8"/>
      <c r="AF47" s="8"/>
    </row>
    <row r="48" ht="15.75" customHeight="1">
      <c r="A48" s="22"/>
      <c r="B48" s="22"/>
      <c r="C48" s="22"/>
      <c r="D48" s="22"/>
      <c r="E48" s="25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24">
        <f>IFERROR(__xludf.DUMMYFUNCTION("""COMPUTED_VALUE"""),1.0)</f>
        <v>1</v>
      </c>
      <c r="G48" s="25"/>
      <c r="H48" s="24"/>
      <c r="I48" s="25"/>
      <c r="J48" s="24"/>
      <c r="K48" s="22"/>
      <c r="L48" s="103">
        <v>4.0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1.0</v>
      </c>
      <c r="T48" s="105">
        <v>0.0</v>
      </c>
      <c r="U48" s="105">
        <v>0.0</v>
      </c>
      <c r="V48" s="105">
        <v>0.0</v>
      </c>
      <c r="W48" s="105">
        <v>0.0</v>
      </c>
      <c r="X48" s="105">
        <v>0.0</v>
      </c>
      <c r="Y48" s="22"/>
      <c r="Z48" s="22"/>
      <c r="AA48" s="22"/>
      <c r="AB48" s="22"/>
      <c r="AC48" s="22"/>
      <c r="AD48" s="8"/>
      <c r="AE48" s="8"/>
      <c r="AF48" s="8"/>
    </row>
    <row r="49" ht="15.75" customHeight="1">
      <c r="A49" s="22"/>
      <c r="B49" s="22"/>
      <c r="C49" s="22"/>
      <c r="D49" s="22"/>
      <c r="E49" s="25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24">
        <f>IFERROR(__xludf.DUMMYFUNCTION("""COMPUTED_VALUE"""),60.0)</f>
        <v>60</v>
      </c>
      <c r="G49" s="25"/>
      <c r="H49" s="24"/>
      <c r="I49" s="25"/>
      <c r="J49" s="24"/>
      <c r="K49" s="22"/>
      <c r="L49" s="103">
        <v>5.0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105">
        <v>60.0</v>
      </c>
      <c r="V49" s="105">
        <v>0.0</v>
      </c>
      <c r="W49" s="105">
        <v>0.0</v>
      </c>
      <c r="X49" s="105">
        <v>0.0</v>
      </c>
      <c r="Y49" s="22"/>
      <c r="Z49" s="22"/>
      <c r="AA49" s="22"/>
      <c r="AB49" s="22"/>
      <c r="AC49" s="22"/>
      <c r="AD49" s="8"/>
      <c r="AE49" s="8"/>
      <c r="AF49" s="8"/>
    </row>
    <row r="50" ht="15.75" customHeight="1">
      <c r="A50" s="22"/>
      <c r="B50" s="22"/>
      <c r="C50" s="22"/>
      <c r="D50" s="22"/>
      <c r="E50" s="25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68">
        <f>IFERROR(__xludf.DUMMYFUNCTION("""COMPUTED_VALUE"""),10.0)</f>
        <v>10</v>
      </c>
      <c r="G50" s="25"/>
      <c r="H50" s="24"/>
      <c r="I50" s="25"/>
      <c r="J50" s="24"/>
      <c r="K50" s="22"/>
      <c r="L50" s="103">
        <v>6.0</v>
      </c>
      <c r="M50" s="104">
        <v>10.0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105">
        <v>0.0</v>
      </c>
      <c r="V50" s="105">
        <v>0.0</v>
      </c>
      <c r="W50" s="105">
        <v>0.0</v>
      </c>
      <c r="X50" s="105">
        <v>0.0</v>
      </c>
      <c r="Y50" s="22"/>
      <c r="Z50" s="22"/>
      <c r="AA50" s="22"/>
      <c r="AB50" s="22"/>
      <c r="AC50" s="22"/>
      <c r="AD50" s="8"/>
      <c r="AE50" s="8"/>
      <c r="AF50" s="8"/>
    </row>
    <row r="51" ht="15.75" customHeight="1">
      <c r="A51" s="22"/>
      <c r="B51" s="22"/>
      <c r="C51" s="22"/>
      <c r="D51" s="22"/>
      <c r="E51" s="25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24">
        <f>IFERROR(__xludf.DUMMYFUNCTION("""COMPUTED_VALUE"""),100.0)</f>
        <v>100</v>
      </c>
      <c r="G51" s="25" t="str">
        <f>IFERROR(__xludf.DUMMYFUNCTION("""COMPUTED_VALUE"""),"")</f>
        <v/>
      </c>
      <c r="H51" s="24">
        <f>IFERROR(__xludf.DUMMYFUNCTION("""COMPUTED_VALUE"""),1.0)</f>
        <v>1</v>
      </c>
      <c r="I51" s="25" t="str">
        <f>IFERROR(__xludf.DUMMYFUNCTION("""COMPUTED_VALUE"""),"")</f>
        <v/>
      </c>
      <c r="J51" s="24">
        <f>IFERROR(__xludf.DUMMYFUNCTION("""COMPUTED_VALUE"""),120.0)</f>
        <v>120</v>
      </c>
      <c r="K51" s="22"/>
      <c r="L51" s="103">
        <v>7.0</v>
      </c>
      <c r="M51" s="105">
        <v>100.0</v>
      </c>
      <c r="N51" s="105">
        <v>0.0</v>
      </c>
      <c r="O51" s="105">
        <v>0.0</v>
      </c>
      <c r="P51" s="105">
        <v>0.0</v>
      </c>
      <c r="Q51" s="105">
        <v>0.0</v>
      </c>
      <c r="R51" s="105">
        <v>1.0</v>
      </c>
      <c r="S51" s="105">
        <v>0.0</v>
      </c>
      <c r="T51" s="105">
        <v>0.0</v>
      </c>
      <c r="U51" s="105">
        <v>120.0</v>
      </c>
      <c r="V51" s="105">
        <v>0.0</v>
      </c>
      <c r="W51" s="105">
        <v>0.0</v>
      </c>
      <c r="X51" s="105">
        <v>0.0</v>
      </c>
      <c r="Y51" s="22"/>
      <c r="Z51" s="22"/>
      <c r="AA51" s="22"/>
      <c r="AB51" s="22"/>
      <c r="AC51" s="22"/>
      <c r="AD51" s="8"/>
      <c r="AE51" s="8"/>
      <c r="AF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</row>
  </sheetData>
  <mergeCells count="6">
    <mergeCell ref="E3:J3"/>
    <mergeCell ref="L3:M3"/>
    <mergeCell ref="L13:M13"/>
    <mergeCell ref="L23:M23"/>
    <mergeCell ref="L33:M33"/>
    <mergeCell ref="L43:M43"/>
  </mergeCells>
  <conditionalFormatting sqref="Q41:T41">
    <cfRule type="cellIs" dxfId="4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9.0"/>
    <col customWidth="1" min="3" max="3" width="8.0"/>
    <col customWidth="1" min="4" max="43" width="5.0"/>
  </cols>
  <sheetData>
    <row r="1" ht="21.75" customHeight="1">
      <c r="A1" s="79" t="s">
        <v>39</v>
      </c>
    </row>
    <row r="2" ht="19.5" customHeight="1">
      <c r="A2" s="111" t="s">
        <v>97</v>
      </c>
      <c r="B2" s="112"/>
      <c r="C2" s="112"/>
      <c r="D2" s="111" t="s">
        <v>97</v>
      </c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</row>
    <row r="3">
      <c r="A3" s="113" t="s">
        <v>98</v>
      </c>
      <c r="B3" s="113"/>
      <c r="C3" s="114"/>
      <c r="D3" s="115" t="s">
        <v>99</v>
      </c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4"/>
      <c r="X3" s="115" t="s">
        <v>100</v>
      </c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</row>
    <row r="4" ht="90.0" customHeight="1">
      <c r="A4" s="116" t="s">
        <v>98</v>
      </c>
      <c r="B4" s="116" t="s">
        <v>101</v>
      </c>
      <c r="C4" s="117" t="s">
        <v>102</v>
      </c>
      <c r="D4" s="118" t="s">
        <v>82</v>
      </c>
      <c r="E4" s="119" t="s">
        <v>68</v>
      </c>
      <c r="F4" s="119" t="s">
        <v>103</v>
      </c>
      <c r="G4" s="119" t="s">
        <v>69</v>
      </c>
      <c r="H4" s="119" t="s">
        <v>70</v>
      </c>
      <c r="I4" s="119" t="s">
        <v>71</v>
      </c>
      <c r="J4" s="119" t="s">
        <v>72</v>
      </c>
      <c r="K4" s="119" t="s">
        <v>73</v>
      </c>
      <c r="L4" s="119" t="s">
        <v>74</v>
      </c>
      <c r="M4" s="119" t="s">
        <v>75</v>
      </c>
      <c r="N4" s="119" t="s">
        <v>76</v>
      </c>
      <c r="O4" s="119" t="s">
        <v>77</v>
      </c>
      <c r="P4" s="119" t="s">
        <v>78</v>
      </c>
      <c r="Q4" s="119" t="s">
        <v>104</v>
      </c>
      <c r="R4" s="119" t="s">
        <v>105</v>
      </c>
      <c r="S4" s="119" t="s">
        <v>106</v>
      </c>
      <c r="T4" s="119" t="s">
        <v>107</v>
      </c>
      <c r="U4" s="119" t="s">
        <v>108</v>
      </c>
      <c r="V4" s="119" t="s">
        <v>109</v>
      </c>
      <c r="W4" s="120" t="s">
        <v>110</v>
      </c>
      <c r="X4" s="118" t="s">
        <v>82</v>
      </c>
      <c r="Y4" s="119" t="s">
        <v>68</v>
      </c>
      <c r="Z4" s="119" t="s">
        <v>103</v>
      </c>
      <c r="AA4" s="119" t="s">
        <v>69</v>
      </c>
      <c r="AB4" s="119" t="s">
        <v>70</v>
      </c>
      <c r="AC4" s="119" t="s">
        <v>71</v>
      </c>
      <c r="AD4" s="119" t="s">
        <v>72</v>
      </c>
      <c r="AE4" s="119" t="s">
        <v>73</v>
      </c>
      <c r="AF4" s="119" t="s">
        <v>74</v>
      </c>
      <c r="AG4" s="119" t="s">
        <v>75</v>
      </c>
      <c r="AH4" s="119" t="s">
        <v>76</v>
      </c>
      <c r="AI4" s="119" t="s">
        <v>77</v>
      </c>
      <c r="AJ4" s="119" t="s">
        <v>78</v>
      </c>
      <c r="AK4" s="119" t="s">
        <v>104</v>
      </c>
      <c r="AL4" s="119" t="s">
        <v>105</v>
      </c>
      <c r="AM4" s="119" t="s">
        <v>106</v>
      </c>
      <c r="AN4" s="119" t="s">
        <v>107</v>
      </c>
      <c r="AO4" s="119" t="s">
        <v>108</v>
      </c>
      <c r="AP4" s="119" t="s">
        <v>109</v>
      </c>
      <c r="AQ4" s="119" t="s">
        <v>110</v>
      </c>
    </row>
    <row r="5">
      <c r="A5" s="121">
        <v>1.0</v>
      </c>
      <c r="B5" s="121">
        <v>10.0</v>
      </c>
      <c r="C5" s="122">
        <f>B5</f>
        <v>10</v>
      </c>
      <c r="D5" s="123">
        <v>0.0</v>
      </c>
      <c r="E5" s="124">
        <v>0.0</v>
      </c>
      <c r="F5" s="124">
        <v>0.0</v>
      </c>
      <c r="G5" s="124">
        <v>0.0</v>
      </c>
      <c r="H5" s="124">
        <v>1.0</v>
      </c>
      <c r="I5" s="124">
        <v>0.0</v>
      </c>
      <c r="J5" s="124">
        <v>0.0</v>
      </c>
      <c r="K5" s="124">
        <v>0.0</v>
      </c>
      <c r="L5" s="124">
        <v>0.0</v>
      </c>
      <c r="M5" s="124">
        <v>0.0</v>
      </c>
      <c r="N5" s="124">
        <v>10.0</v>
      </c>
      <c r="O5" s="124">
        <v>0.0</v>
      </c>
      <c r="P5" s="124">
        <v>0.0</v>
      </c>
      <c r="Q5" s="124">
        <v>0.0</v>
      </c>
      <c r="R5" s="124">
        <v>0.0</v>
      </c>
      <c r="S5" s="124">
        <v>0.0</v>
      </c>
      <c r="T5" s="124">
        <v>0.0</v>
      </c>
      <c r="U5" s="124">
        <v>0.0</v>
      </c>
      <c r="V5" s="124">
        <v>0.0</v>
      </c>
      <c r="W5" s="124">
        <v>0.0</v>
      </c>
      <c r="X5" s="123">
        <v>0.0</v>
      </c>
      <c r="Y5" s="124">
        <v>0.0</v>
      </c>
      <c r="Z5" s="124">
        <v>0.0</v>
      </c>
      <c r="AA5" s="124">
        <v>0.0</v>
      </c>
      <c r="AB5" s="124">
        <v>0.0</v>
      </c>
      <c r="AC5" s="124">
        <v>0.0</v>
      </c>
      <c r="AD5" s="124">
        <v>0.0</v>
      </c>
      <c r="AE5" s="124">
        <v>0.0</v>
      </c>
      <c r="AF5" s="124">
        <v>0.0</v>
      </c>
      <c r="AG5" s="124">
        <v>120.0</v>
      </c>
      <c r="AH5" s="124">
        <v>0.0</v>
      </c>
      <c r="AI5" s="124">
        <v>15.0</v>
      </c>
      <c r="AJ5" s="124">
        <v>0.0</v>
      </c>
      <c r="AK5" s="124">
        <v>0.0</v>
      </c>
      <c r="AL5" s="124">
        <v>0.0</v>
      </c>
      <c r="AM5" s="124">
        <v>0.0</v>
      </c>
      <c r="AN5" s="124">
        <v>0.0</v>
      </c>
      <c r="AO5" s="124">
        <v>0.0</v>
      </c>
      <c r="AP5" s="124">
        <v>0.0</v>
      </c>
      <c r="AQ5" s="124">
        <v>0.0</v>
      </c>
    </row>
    <row r="6">
      <c r="A6" s="121">
        <f t="shared" ref="A6:A34" si="1">A5+1</f>
        <v>2</v>
      </c>
      <c r="B6" s="121">
        <v>14.0</v>
      </c>
      <c r="C6" s="122">
        <f t="shared" ref="C6:C34" si="2">B6+C5</f>
        <v>24</v>
      </c>
      <c r="D6" s="123">
        <v>10.0</v>
      </c>
      <c r="E6" s="124">
        <v>0.0</v>
      </c>
      <c r="F6" s="124">
        <v>0.0</v>
      </c>
      <c r="G6" s="124">
        <v>0.0</v>
      </c>
      <c r="H6" s="124">
        <v>0.0</v>
      </c>
      <c r="I6" s="124">
        <v>0.0</v>
      </c>
      <c r="J6" s="124">
        <v>0.0</v>
      </c>
      <c r="K6" s="124">
        <v>0.0</v>
      </c>
      <c r="L6" s="124">
        <v>0.0</v>
      </c>
      <c r="M6" s="124">
        <v>0.0</v>
      </c>
      <c r="N6" s="124">
        <v>0.0</v>
      </c>
      <c r="O6" s="124">
        <v>0.0</v>
      </c>
      <c r="P6" s="124">
        <v>0.0</v>
      </c>
      <c r="Q6" s="124">
        <v>0.0</v>
      </c>
      <c r="R6" s="124">
        <v>0.0</v>
      </c>
      <c r="S6" s="124">
        <v>0.0</v>
      </c>
      <c r="T6" s="124">
        <v>0.0</v>
      </c>
      <c r="U6" s="124">
        <v>0.0</v>
      </c>
      <c r="V6" s="124">
        <v>0.0</v>
      </c>
      <c r="W6" s="124">
        <v>0.0</v>
      </c>
      <c r="X6" s="123">
        <v>25.0</v>
      </c>
      <c r="Y6" s="124">
        <v>0.0</v>
      </c>
      <c r="Z6" s="124">
        <v>0.0</v>
      </c>
      <c r="AA6" s="124">
        <v>0.0</v>
      </c>
      <c r="AB6" s="124">
        <v>0.0</v>
      </c>
      <c r="AC6" s="124">
        <v>0.0</v>
      </c>
      <c r="AD6" s="124">
        <v>0.0</v>
      </c>
      <c r="AE6" s="124">
        <v>0.0</v>
      </c>
      <c r="AF6" s="124">
        <v>0.0</v>
      </c>
      <c r="AG6" s="124">
        <v>0.0</v>
      </c>
      <c r="AH6" s="124">
        <v>0.0</v>
      </c>
      <c r="AI6" s="124">
        <v>0.0</v>
      </c>
      <c r="AJ6" s="124">
        <v>0.0</v>
      </c>
      <c r="AK6" s="124">
        <v>0.0</v>
      </c>
      <c r="AL6" s="124">
        <v>0.0</v>
      </c>
      <c r="AM6" s="124">
        <v>0.0</v>
      </c>
      <c r="AN6" s="124">
        <v>0.0</v>
      </c>
      <c r="AO6" s="124">
        <v>0.0</v>
      </c>
      <c r="AP6" s="124">
        <v>0.0</v>
      </c>
      <c r="AQ6" s="124">
        <v>0.0</v>
      </c>
    </row>
    <row r="7">
      <c r="A7" s="121">
        <f t="shared" si="1"/>
        <v>3</v>
      </c>
      <c r="B7" s="121">
        <v>20.0</v>
      </c>
      <c r="C7" s="122">
        <f t="shared" si="2"/>
        <v>44</v>
      </c>
      <c r="D7" s="123">
        <v>0.0</v>
      </c>
      <c r="E7" s="124">
        <v>0.0</v>
      </c>
      <c r="F7" s="124">
        <v>0.0</v>
      </c>
      <c r="G7" s="124">
        <v>0.0</v>
      </c>
      <c r="H7" s="124">
        <v>0.0</v>
      </c>
      <c r="I7" s="124">
        <v>0.0</v>
      </c>
      <c r="J7" s="124">
        <v>0.0</v>
      </c>
      <c r="K7" s="124">
        <v>0.0</v>
      </c>
      <c r="L7" s="124">
        <v>0.0</v>
      </c>
      <c r="M7" s="124">
        <v>60.0</v>
      </c>
      <c r="N7" s="124">
        <v>0.0</v>
      </c>
      <c r="O7" s="124">
        <v>0.0</v>
      </c>
      <c r="P7" s="124">
        <v>0.0</v>
      </c>
      <c r="Q7" s="124">
        <v>0.0</v>
      </c>
      <c r="R7" s="124">
        <v>0.0</v>
      </c>
      <c r="S7" s="124">
        <v>0.0</v>
      </c>
      <c r="T7" s="124">
        <v>0.0</v>
      </c>
      <c r="U7" s="124">
        <v>0.0</v>
      </c>
      <c r="V7" s="124">
        <v>0.0</v>
      </c>
      <c r="W7" s="124">
        <v>0.0</v>
      </c>
      <c r="X7" s="123">
        <v>0.0</v>
      </c>
      <c r="Y7" s="124">
        <v>0.0</v>
      </c>
      <c r="Z7" s="124">
        <v>0.0</v>
      </c>
      <c r="AA7" s="124">
        <v>1.0</v>
      </c>
      <c r="AB7" s="124">
        <v>0.0</v>
      </c>
      <c r="AC7" s="124">
        <v>0.0</v>
      </c>
      <c r="AD7" s="124">
        <v>0.0</v>
      </c>
      <c r="AE7" s="124">
        <v>0.0</v>
      </c>
      <c r="AF7" s="124">
        <v>0.0</v>
      </c>
      <c r="AG7" s="124">
        <v>0.0</v>
      </c>
      <c r="AH7" s="124">
        <v>0.0</v>
      </c>
      <c r="AI7" s="124">
        <v>0.0</v>
      </c>
      <c r="AJ7" s="124">
        <v>0.0</v>
      </c>
      <c r="AK7" s="124">
        <v>0.0</v>
      </c>
      <c r="AL7" s="124">
        <v>0.0</v>
      </c>
      <c r="AM7" s="124">
        <v>0.0</v>
      </c>
      <c r="AN7" s="124">
        <v>0.0</v>
      </c>
      <c r="AO7" s="124">
        <v>0.0</v>
      </c>
      <c r="AP7" s="124">
        <v>0.0</v>
      </c>
      <c r="AQ7" s="124">
        <v>0.0</v>
      </c>
    </row>
    <row r="8">
      <c r="A8" s="121">
        <f t="shared" si="1"/>
        <v>4</v>
      </c>
      <c r="B8" s="121">
        <v>28.0</v>
      </c>
      <c r="C8" s="122">
        <f t="shared" si="2"/>
        <v>72</v>
      </c>
      <c r="D8" s="123">
        <v>0.0</v>
      </c>
      <c r="E8" s="124">
        <v>0.0</v>
      </c>
      <c r="F8" s="124">
        <v>0.0</v>
      </c>
      <c r="G8" s="124">
        <v>0.0</v>
      </c>
      <c r="H8" s="124">
        <v>0.0</v>
      </c>
      <c r="I8" s="124">
        <v>0.0</v>
      </c>
      <c r="J8" s="124">
        <v>0.0</v>
      </c>
      <c r="K8" s="124">
        <v>0.0</v>
      </c>
      <c r="L8" s="124">
        <v>0.0</v>
      </c>
      <c r="M8" s="124">
        <v>0.0</v>
      </c>
      <c r="N8" s="124">
        <v>0.0</v>
      </c>
      <c r="O8" s="124">
        <v>15.0</v>
      </c>
      <c r="P8" s="124">
        <v>0.0</v>
      </c>
      <c r="Q8" s="124">
        <v>0.0</v>
      </c>
      <c r="R8" s="124">
        <v>0.0</v>
      </c>
      <c r="S8" s="124">
        <v>0.0</v>
      </c>
      <c r="T8" s="124">
        <v>0.0</v>
      </c>
      <c r="U8" s="124">
        <v>0.0</v>
      </c>
      <c r="V8" s="124">
        <v>0.0</v>
      </c>
      <c r="W8" s="124">
        <v>0.0</v>
      </c>
      <c r="X8" s="123">
        <v>0.0</v>
      </c>
      <c r="Y8" s="124">
        <v>0.0</v>
      </c>
      <c r="Z8" s="124">
        <v>0.0</v>
      </c>
      <c r="AA8" s="124">
        <v>0.0</v>
      </c>
      <c r="AB8" s="124">
        <v>0.0</v>
      </c>
      <c r="AC8" s="124">
        <v>0.0</v>
      </c>
      <c r="AD8" s="124">
        <v>0.0</v>
      </c>
      <c r="AE8" s="124">
        <v>1.0</v>
      </c>
      <c r="AF8" s="124">
        <v>0.0</v>
      </c>
      <c r="AG8" s="124">
        <v>0.0</v>
      </c>
      <c r="AH8" s="124">
        <v>0.0</v>
      </c>
      <c r="AI8" s="124">
        <v>0.0</v>
      </c>
      <c r="AJ8" s="124">
        <v>0.0</v>
      </c>
      <c r="AK8" s="124">
        <v>0.0</v>
      </c>
      <c r="AL8" s="124">
        <v>0.0</v>
      </c>
      <c r="AM8" s="124">
        <v>0.0</v>
      </c>
      <c r="AN8" s="124">
        <v>0.0</v>
      </c>
      <c r="AO8" s="124">
        <v>0.0</v>
      </c>
      <c r="AP8" s="124">
        <v>0.0</v>
      </c>
      <c r="AQ8" s="124">
        <v>0.0</v>
      </c>
    </row>
    <row r="9">
      <c r="A9" s="121">
        <f t="shared" si="1"/>
        <v>5</v>
      </c>
      <c r="B9" s="121">
        <v>35.0</v>
      </c>
      <c r="C9" s="122">
        <f t="shared" si="2"/>
        <v>107</v>
      </c>
      <c r="D9" s="123">
        <v>10.0</v>
      </c>
      <c r="E9" s="124">
        <v>0.0</v>
      </c>
      <c r="F9" s="124">
        <v>0.0</v>
      </c>
      <c r="G9" s="124">
        <v>0.0</v>
      </c>
      <c r="H9" s="124">
        <v>0.0</v>
      </c>
      <c r="I9" s="124">
        <v>0.0</v>
      </c>
      <c r="J9" s="124">
        <v>0.0</v>
      </c>
      <c r="K9" s="124">
        <v>0.0</v>
      </c>
      <c r="L9" s="124">
        <v>0.0</v>
      </c>
      <c r="M9" s="124">
        <v>0.0</v>
      </c>
      <c r="N9" s="124">
        <v>0.0</v>
      </c>
      <c r="O9" s="124">
        <v>0.0</v>
      </c>
      <c r="P9" s="124">
        <v>0.0</v>
      </c>
      <c r="Q9" s="124">
        <v>0.0</v>
      </c>
      <c r="R9" s="124">
        <v>0.0</v>
      </c>
      <c r="S9" s="124">
        <v>0.0</v>
      </c>
      <c r="T9" s="124">
        <v>0.0</v>
      </c>
      <c r="U9" s="124">
        <v>0.0</v>
      </c>
      <c r="V9" s="124">
        <v>0.0</v>
      </c>
      <c r="W9" s="124">
        <v>0.0</v>
      </c>
      <c r="X9" s="123">
        <v>25.0</v>
      </c>
      <c r="Y9" s="124">
        <v>0.0</v>
      </c>
      <c r="Z9" s="124">
        <v>0.0</v>
      </c>
      <c r="AA9" s="124">
        <v>0.0</v>
      </c>
      <c r="AB9" s="124">
        <v>0.0</v>
      </c>
      <c r="AC9" s="124">
        <v>0.0</v>
      </c>
      <c r="AD9" s="124">
        <v>0.0</v>
      </c>
      <c r="AE9" s="124">
        <v>0.0</v>
      </c>
      <c r="AF9" s="124">
        <v>0.0</v>
      </c>
      <c r="AG9" s="124">
        <v>30.0</v>
      </c>
      <c r="AH9" s="124">
        <v>0.0</v>
      </c>
      <c r="AI9" s="124">
        <v>0.0</v>
      </c>
      <c r="AJ9" s="124">
        <v>0.0</v>
      </c>
      <c r="AK9" s="124">
        <v>0.0</v>
      </c>
      <c r="AL9" s="124">
        <v>0.0</v>
      </c>
      <c r="AM9" s="124">
        <v>0.0</v>
      </c>
      <c r="AN9" s="124">
        <v>0.0</v>
      </c>
      <c r="AO9" s="124">
        <v>0.0</v>
      </c>
      <c r="AP9" s="124">
        <v>0.0</v>
      </c>
      <c r="AQ9" s="124">
        <v>0.0</v>
      </c>
    </row>
    <row r="10">
      <c r="A10" s="121">
        <f t="shared" si="1"/>
        <v>6</v>
      </c>
      <c r="B10" s="121">
        <v>70.0</v>
      </c>
      <c r="C10" s="122">
        <f t="shared" si="2"/>
        <v>177</v>
      </c>
      <c r="D10" s="123">
        <v>0.0</v>
      </c>
      <c r="E10" s="124">
        <v>0.0</v>
      </c>
      <c r="F10" s="124">
        <v>0.0</v>
      </c>
      <c r="G10" s="124">
        <v>1.0</v>
      </c>
      <c r="H10" s="124">
        <v>0.0</v>
      </c>
      <c r="I10" s="124">
        <v>0.0</v>
      </c>
      <c r="J10" s="124">
        <v>0.0</v>
      </c>
      <c r="K10" s="124">
        <v>0.0</v>
      </c>
      <c r="L10" s="124">
        <v>0.0</v>
      </c>
      <c r="M10" s="124">
        <v>0.0</v>
      </c>
      <c r="N10" s="124">
        <v>0.0</v>
      </c>
      <c r="O10" s="124">
        <v>0.0</v>
      </c>
      <c r="P10" s="124">
        <v>0.0</v>
      </c>
      <c r="Q10" s="124">
        <v>0.0</v>
      </c>
      <c r="R10" s="124">
        <v>0.0</v>
      </c>
      <c r="S10" s="124">
        <v>0.0</v>
      </c>
      <c r="T10" s="124">
        <v>0.0</v>
      </c>
      <c r="U10" s="124">
        <v>0.0</v>
      </c>
      <c r="V10" s="124">
        <v>0.0</v>
      </c>
      <c r="W10" s="124">
        <v>0.0</v>
      </c>
      <c r="X10" s="123">
        <v>0.0</v>
      </c>
      <c r="Y10" s="124">
        <v>0.0</v>
      </c>
      <c r="Z10" s="124">
        <v>0.0</v>
      </c>
      <c r="AA10" s="124">
        <v>0.0</v>
      </c>
      <c r="AB10" s="124">
        <v>0.0</v>
      </c>
      <c r="AC10" s="124">
        <v>1.0</v>
      </c>
      <c r="AD10" s="124">
        <v>0.0</v>
      </c>
      <c r="AE10" s="124">
        <v>0.0</v>
      </c>
      <c r="AF10" s="124">
        <v>0.0</v>
      </c>
      <c r="AG10" s="124">
        <v>0.0</v>
      </c>
      <c r="AH10" s="124">
        <v>0.0</v>
      </c>
      <c r="AI10" s="124">
        <v>0.0</v>
      </c>
      <c r="AJ10" s="124">
        <v>0.0</v>
      </c>
      <c r="AK10" s="124">
        <v>0.0</v>
      </c>
      <c r="AL10" s="124">
        <v>0.0</v>
      </c>
      <c r="AM10" s="124">
        <v>0.0</v>
      </c>
      <c r="AN10" s="124">
        <v>0.0</v>
      </c>
      <c r="AO10" s="124">
        <v>0.0</v>
      </c>
      <c r="AP10" s="124">
        <v>0.0</v>
      </c>
      <c r="AQ10" s="124">
        <v>0.0</v>
      </c>
    </row>
    <row r="11">
      <c r="A11" s="121">
        <f t="shared" si="1"/>
        <v>7</v>
      </c>
      <c r="B11" s="121">
        <v>70.0</v>
      </c>
      <c r="C11" s="122">
        <f t="shared" si="2"/>
        <v>247</v>
      </c>
      <c r="D11" s="123">
        <v>0.0</v>
      </c>
      <c r="E11" s="124">
        <v>0.0</v>
      </c>
      <c r="F11" s="124">
        <v>0.0</v>
      </c>
      <c r="G11" s="124">
        <v>0.0</v>
      </c>
      <c r="H11" s="124">
        <v>1.0</v>
      </c>
      <c r="I11" s="124">
        <v>0.0</v>
      </c>
      <c r="J11" s="124">
        <v>0.0</v>
      </c>
      <c r="K11" s="124">
        <v>0.0</v>
      </c>
      <c r="L11" s="124">
        <v>0.0</v>
      </c>
      <c r="M11" s="124">
        <v>0.0</v>
      </c>
      <c r="N11" s="124">
        <v>0.0</v>
      </c>
      <c r="O11" s="124">
        <v>0.0</v>
      </c>
      <c r="P11" s="124">
        <v>0.0</v>
      </c>
      <c r="Q11" s="124">
        <v>0.0</v>
      </c>
      <c r="R11" s="124">
        <v>0.0</v>
      </c>
      <c r="S11" s="124">
        <v>0.0</v>
      </c>
      <c r="T11" s="124">
        <v>0.0</v>
      </c>
      <c r="U11" s="124">
        <v>0.0</v>
      </c>
      <c r="V11" s="124">
        <v>0.0</v>
      </c>
      <c r="W11" s="124">
        <v>0.0</v>
      </c>
      <c r="X11" s="123">
        <v>0.0</v>
      </c>
      <c r="Y11" s="124">
        <v>0.0</v>
      </c>
      <c r="Z11" s="124">
        <v>0.0</v>
      </c>
      <c r="AA11" s="124">
        <v>0.0</v>
      </c>
      <c r="AB11" s="124">
        <v>0.0</v>
      </c>
      <c r="AC11" s="124">
        <v>0.0</v>
      </c>
      <c r="AD11" s="124">
        <v>0.0</v>
      </c>
      <c r="AE11" s="124">
        <v>0.0</v>
      </c>
      <c r="AF11" s="124">
        <v>0.0</v>
      </c>
      <c r="AG11" s="124">
        <v>0.0</v>
      </c>
      <c r="AH11" s="124">
        <v>0.0</v>
      </c>
      <c r="AI11" s="124">
        <v>0.0</v>
      </c>
      <c r="AJ11" s="124">
        <v>10.0</v>
      </c>
      <c r="AK11" s="124">
        <v>0.0</v>
      </c>
      <c r="AL11" s="124">
        <v>0.0</v>
      </c>
      <c r="AM11" s="124">
        <v>0.0</v>
      </c>
      <c r="AN11" s="124">
        <v>0.0</v>
      </c>
      <c r="AO11" s="124">
        <v>0.0</v>
      </c>
      <c r="AP11" s="124">
        <v>0.0</v>
      </c>
      <c r="AQ11" s="124">
        <v>0.0</v>
      </c>
    </row>
    <row r="12">
      <c r="A12" s="121">
        <f t="shared" si="1"/>
        <v>8</v>
      </c>
      <c r="B12" s="121">
        <v>70.0</v>
      </c>
      <c r="C12" s="122">
        <f t="shared" si="2"/>
        <v>317</v>
      </c>
      <c r="D12" s="123">
        <v>0.0</v>
      </c>
      <c r="E12" s="124">
        <v>0.0</v>
      </c>
      <c r="F12" s="124">
        <v>0.0</v>
      </c>
      <c r="G12" s="124">
        <v>0.0</v>
      </c>
      <c r="H12" s="124">
        <v>0.0</v>
      </c>
      <c r="I12" s="124">
        <v>0.0</v>
      </c>
      <c r="J12" s="124">
        <v>0.0</v>
      </c>
      <c r="K12" s="124">
        <v>0.0</v>
      </c>
      <c r="L12" s="124">
        <v>0.0</v>
      </c>
      <c r="M12" s="124">
        <v>15.0</v>
      </c>
      <c r="N12" s="124">
        <v>0.0</v>
      </c>
      <c r="O12" s="124">
        <v>0.0</v>
      </c>
      <c r="P12" s="124">
        <v>0.0</v>
      </c>
      <c r="Q12" s="124">
        <v>0.0</v>
      </c>
      <c r="R12" s="124">
        <v>0.0</v>
      </c>
      <c r="S12" s="124">
        <v>0.0</v>
      </c>
      <c r="T12" s="124">
        <v>0.0</v>
      </c>
      <c r="U12" s="124">
        <v>0.0</v>
      </c>
      <c r="V12" s="124">
        <v>0.0</v>
      </c>
      <c r="W12" s="124">
        <v>0.0</v>
      </c>
      <c r="X12" s="123">
        <v>0.0</v>
      </c>
      <c r="Y12" s="124">
        <v>0.0</v>
      </c>
      <c r="Z12" s="124">
        <v>0.0</v>
      </c>
      <c r="AA12" s="124">
        <v>0.0</v>
      </c>
      <c r="AB12" s="124">
        <v>0.0</v>
      </c>
      <c r="AC12" s="124">
        <v>0.0</v>
      </c>
      <c r="AD12" s="124">
        <v>1.0</v>
      </c>
      <c r="AE12" s="124">
        <v>0.0</v>
      </c>
      <c r="AF12" s="124">
        <v>0.0</v>
      </c>
      <c r="AG12" s="124">
        <v>0.0</v>
      </c>
      <c r="AH12" s="124">
        <v>0.0</v>
      </c>
      <c r="AI12" s="124">
        <v>0.0</v>
      </c>
      <c r="AJ12" s="124">
        <v>0.0</v>
      </c>
      <c r="AK12" s="124">
        <v>0.0</v>
      </c>
      <c r="AL12" s="124">
        <v>0.0</v>
      </c>
      <c r="AM12" s="124">
        <v>0.0</v>
      </c>
      <c r="AN12" s="124">
        <v>0.0</v>
      </c>
      <c r="AO12" s="124">
        <v>0.0</v>
      </c>
      <c r="AP12" s="124">
        <v>0.0</v>
      </c>
      <c r="AQ12" s="124">
        <v>0.0</v>
      </c>
    </row>
    <row r="13">
      <c r="A13" s="121">
        <f t="shared" si="1"/>
        <v>9</v>
      </c>
      <c r="B13" s="121">
        <v>70.0</v>
      </c>
      <c r="C13" s="122">
        <f t="shared" si="2"/>
        <v>387</v>
      </c>
      <c r="D13" s="123">
        <v>0.0</v>
      </c>
      <c r="E13" s="124">
        <v>0.0</v>
      </c>
      <c r="F13" s="124">
        <v>0.0</v>
      </c>
      <c r="G13" s="124">
        <v>0.0</v>
      </c>
      <c r="H13" s="124">
        <v>0.0</v>
      </c>
      <c r="I13" s="124">
        <v>0.0</v>
      </c>
      <c r="J13" s="124">
        <v>0.0</v>
      </c>
      <c r="K13" s="124">
        <v>0.0</v>
      </c>
      <c r="L13" s="124">
        <v>0.0</v>
      </c>
      <c r="M13" s="124">
        <v>0.0</v>
      </c>
      <c r="N13" s="124">
        <v>10.0</v>
      </c>
      <c r="O13" s="124">
        <v>0.0</v>
      </c>
      <c r="P13" s="124">
        <v>0.0</v>
      </c>
      <c r="Q13" s="124">
        <v>0.0</v>
      </c>
      <c r="R13" s="124">
        <v>0.0</v>
      </c>
      <c r="S13" s="124">
        <v>0.0</v>
      </c>
      <c r="T13" s="124">
        <v>0.0</v>
      </c>
      <c r="U13" s="124">
        <v>0.0</v>
      </c>
      <c r="V13" s="124">
        <v>0.0</v>
      </c>
      <c r="W13" s="124">
        <v>0.0</v>
      </c>
      <c r="X13" s="123">
        <v>0.0</v>
      </c>
      <c r="Y13" s="124">
        <v>0.0</v>
      </c>
      <c r="Z13" s="124">
        <v>0.0</v>
      </c>
      <c r="AA13" s="124">
        <v>0.0</v>
      </c>
      <c r="AB13" s="124">
        <v>0.0</v>
      </c>
      <c r="AC13" s="124">
        <v>0.0</v>
      </c>
      <c r="AD13" s="124">
        <v>0.0</v>
      </c>
      <c r="AE13" s="124">
        <v>1.0</v>
      </c>
      <c r="AF13" s="124">
        <v>0.0</v>
      </c>
      <c r="AG13" s="124">
        <v>0.0</v>
      </c>
      <c r="AH13" s="124">
        <v>0.0</v>
      </c>
      <c r="AI13" s="124">
        <v>0.0</v>
      </c>
      <c r="AJ13" s="124">
        <v>0.0</v>
      </c>
      <c r="AK13" s="124">
        <v>0.0</v>
      </c>
      <c r="AL13" s="124">
        <v>0.0</v>
      </c>
      <c r="AM13" s="124">
        <v>0.0</v>
      </c>
      <c r="AN13" s="124">
        <v>0.0</v>
      </c>
      <c r="AO13" s="124">
        <v>0.0</v>
      </c>
      <c r="AP13" s="124">
        <v>0.0</v>
      </c>
      <c r="AQ13" s="124">
        <v>0.0</v>
      </c>
    </row>
    <row r="14">
      <c r="A14" s="121">
        <f t="shared" si="1"/>
        <v>10</v>
      </c>
      <c r="B14" s="121">
        <v>100.0</v>
      </c>
      <c r="C14" s="122">
        <f t="shared" si="2"/>
        <v>487</v>
      </c>
      <c r="D14" s="123">
        <v>10.0</v>
      </c>
      <c r="E14" s="124">
        <v>0.0</v>
      </c>
      <c r="F14" s="124">
        <v>0.0</v>
      </c>
      <c r="G14" s="124">
        <v>0.0</v>
      </c>
      <c r="H14" s="124">
        <v>0.0</v>
      </c>
      <c r="I14" s="124">
        <v>0.0</v>
      </c>
      <c r="J14" s="124">
        <v>0.0</v>
      </c>
      <c r="K14" s="124">
        <v>0.0</v>
      </c>
      <c r="L14" s="124">
        <v>0.0</v>
      </c>
      <c r="M14" s="124">
        <v>0.0</v>
      </c>
      <c r="N14" s="124">
        <v>0.0</v>
      </c>
      <c r="O14" s="124">
        <v>0.0</v>
      </c>
      <c r="P14" s="124">
        <v>0.0</v>
      </c>
      <c r="Q14" s="124">
        <v>0.0</v>
      </c>
      <c r="R14" s="124">
        <v>0.0</v>
      </c>
      <c r="S14" s="124">
        <v>0.0</v>
      </c>
      <c r="T14" s="124">
        <v>0.0</v>
      </c>
      <c r="U14" s="124">
        <v>0.0</v>
      </c>
      <c r="V14" s="124">
        <v>0.0</v>
      </c>
      <c r="W14" s="124">
        <v>0.0</v>
      </c>
      <c r="X14" s="123">
        <v>25.0</v>
      </c>
      <c r="Y14" s="124">
        <v>0.0</v>
      </c>
      <c r="Z14" s="124">
        <v>0.0</v>
      </c>
      <c r="AA14" s="124">
        <v>0.0</v>
      </c>
      <c r="AB14" s="124">
        <v>0.0</v>
      </c>
      <c r="AC14" s="124">
        <v>0.0</v>
      </c>
      <c r="AD14" s="124">
        <v>0.0</v>
      </c>
      <c r="AE14" s="124">
        <v>0.0</v>
      </c>
      <c r="AF14" s="124">
        <v>0.0</v>
      </c>
      <c r="AG14" s="124">
        <v>30.0</v>
      </c>
      <c r="AH14" s="124">
        <v>0.0</v>
      </c>
      <c r="AI14" s="124">
        <v>0.0</v>
      </c>
      <c r="AJ14" s="124">
        <v>0.0</v>
      </c>
      <c r="AK14" s="124">
        <v>0.0</v>
      </c>
      <c r="AL14" s="124">
        <v>0.0</v>
      </c>
      <c r="AM14" s="124">
        <v>0.0</v>
      </c>
      <c r="AN14" s="124">
        <v>0.0</v>
      </c>
      <c r="AO14" s="124">
        <v>0.0</v>
      </c>
      <c r="AP14" s="124">
        <v>0.0</v>
      </c>
      <c r="AQ14" s="124">
        <v>0.0</v>
      </c>
    </row>
    <row r="15">
      <c r="A15" s="121">
        <f t="shared" si="1"/>
        <v>11</v>
      </c>
      <c r="B15" s="121">
        <v>100.0</v>
      </c>
      <c r="C15" s="122">
        <f t="shared" si="2"/>
        <v>587</v>
      </c>
      <c r="D15" s="123">
        <v>0.0</v>
      </c>
      <c r="E15" s="124">
        <v>0.0</v>
      </c>
      <c r="F15" s="124">
        <v>0.0</v>
      </c>
      <c r="G15" s="124">
        <v>0.0</v>
      </c>
      <c r="H15" s="124">
        <v>0.0</v>
      </c>
      <c r="I15" s="124">
        <v>0.0</v>
      </c>
      <c r="J15" s="124">
        <v>0.0</v>
      </c>
      <c r="K15" s="124">
        <v>0.0</v>
      </c>
      <c r="L15" s="124">
        <v>0.0</v>
      </c>
      <c r="M15" s="124">
        <v>15.0</v>
      </c>
      <c r="N15" s="124">
        <v>0.0</v>
      </c>
      <c r="O15" s="124">
        <v>0.0</v>
      </c>
      <c r="P15" s="124">
        <v>0.0</v>
      </c>
      <c r="Q15" s="124">
        <v>0.0</v>
      </c>
      <c r="R15" s="124">
        <v>0.0</v>
      </c>
      <c r="S15" s="124">
        <v>0.0</v>
      </c>
      <c r="T15" s="124">
        <v>0.0</v>
      </c>
      <c r="U15" s="124">
        <v>0.0</v>
      </c>
      <c r="V15" s="124">
        <v>0.0</v>
      </c>
      <c r="W15" s="124">
        <v>0.0</v>
      </c>
      <c r="X15" s="123">
        <v>0.0</v>
      </c>
      <c r="Y15" s="124">
        <v>0.0</v>
      </c>
      <c r="Z15" s="124">
        <v>0.0</v>
      </c>
      <c r="AA15" s="124">
        <v>0.0</v>
      </c>
      <c r="AB15" s="124">
        <v>0.0</v>
      </c>
      <c r="AC15" s="124">
        <v>0.0</v>
      </c>
      <c r="AD15" s="124">
        <v>0.0</v>
      </c>
      <c r="AE15" s="124">
        <v>0.0</v>
      </c>
      <c r="AF15" s="124">
        <v>1.0</v>
      </c>
      <c r="AG15" s="124">
        <v>0.0</v>
      </c>
      <c r="AH15" s="124">
        <v>0.0</v>
      </c>
      <c r="AI15" s="124">
        <v>0.0</v>
      </c>
      <c r="AJ15" s="124">
        <v>0.0</v>
      </c>
      <c r="AK15" s="124">
        <v>0.0</v>
      </c>
      <c r="AL15" s="124">
        <v>0.0</v>
      </c>
      <c r="AM15" s="124">
        <v>0.0</v>
      </c>
      <c r="AN15" s="124">
        <v>0.0</v>
      </c>
      <c r="AO15" s="124">
        <v>0.0</v>
      </c>
      <c r="AP15" s="124">
        <v>0.0</v>
      </c>
      <c r="AQ15" s="124">
        <v>0.0</v>
      </c>
    </row>
    <row r="16">
      <c r="A16" s="121">
        <f t="shared" si="1"/>
        <v>12</v>
      </c>
      <c r="B16" s="121">
        <v>100.0</v>
      </c>
      <c r="C16" s="122">
        <f t="shared" si="2"/>
        <v>687</v>
      </c>
      <c r="D16" s="123">
        <v>0.0</v>
      </c>
      <c r="E16" s="124">
        <v>0.0</v>
      </c>
      <c r="F16" s="124">
        <v>0.0</v>
      </c>
      <c r="G16" s="124">
        <v>1.0</v>
      </c>
      <c r="H16" s="124">
        <v>0.0</v>
      </c>
      <c r="I16" s="124">
        <v>0.0</v>
      </c>
      <c r="J16" s="124">
        <v>0.0</v>
      </c>
      <c r="K16" s="124">
        <v>0.0</v>
      </c>
      <c r="L16" s="124">
        <v>0.0</v>
      </c>
      <c r="M16" s="124">
        <v>0.0</v>
      </c>
      <c r="N16" s="124">
        <v>0.0</v>
      </c>
      <c r="O16" s="124">
        <v>0.0</v>
      </c>
      <c r="P16" s="124">
        <v>0.0</v>
      </c>
      <c r="Q16" s="124">
        <v>0.0</v>
      </c>
      <c r="R16" s="124">
        <v>0.0</v>
      </c>
      <c r="S16" s="124">
        <v>0.0</v>
      </c>
      <c r="T16" s="124">
        <v>0.0</v>
      </c>
      <c r="U16" s="124">
        <v>0.0</v>
      </c>
      <c r="V16" s="124">
        <v>0.0</v>
      </c>
      <c r="W16" s="124">
        <v>0.0</v>
      </c>
      <c r="X16" s="123">
        <v>0.0</v>
      </c>
      <c r="Y16" s="124">
        <v>0.0</v>
      </c>
      <c r="Z16" s="124">
        <v>0.0</v>
      </c>
      <c r="AA16" s="124">
        <v>0.0</v>
      </c>
      <c r="AB16" s="124">
        <v>1.0</v>
      </c>
      <c r="AC16" s="124">
        <v>0.0</v>
      </c>
      <c r="AD16" s="124">
        <v>0.0</v>
      </c>
      <c r="AE16" s="124">
        <v>0.0</v>
      </c>
      <c r="AF16" s="124">
        <v>0.0</v>
      </c>
      <c r="AG16" s="124">
        <v>0.0</v>
      </c>
      <c r="AH16" s="124">
        <v>0.0</v>
      </c>
      <c r="AI16" s="124">
        <v>0.0</v>
      </c>
      <c r="AJ16" s="124">
        <v>0.0</v>
      </c>
      <c r="AK16" s="124">
        <v>0.0</v>
      </c>
      <c r="AL16" s="124">
        <v>0.0</v>
      </c>
      <c r="AM16" s="124">
        <v>0.0</v>
      </c>
      <c r="AN16" s="124">
        <v>0.0</v>
      </c>
      <c r="AO16" s="124">
        <v>0.0</v>
      </c>
      <c r="AP16" s="124">
        <v>0.0</v>
      </c>
      <c r="AQ16" s="124">
        <v>0.0</v>
      </c>
    </row>
    <row r="17">
      <c r="A17" s="121">
        <f t="shared" si="1"/>
        <v>13</v>
      </c>
      <c r="B17" s="121">
        <v>100.0</v>
      </c>
      <c r="C17" s="122">
        <f t="shared" si="2"/>
        <v>787</v>
      </c>
      <c r="D17" s="123">
        <v>0.0</v>
      </c>
      <c r="E17" s="124">
        <v>0.0</v>
      </c>
      <c r="F17" s="124">
        <v>0.0</v>
      </c>
      <c r="G17" s="124">
        <v>0.0</v>
      </c>
      <c r="H17" s="124">
        <v>0.0</v>
      </c>
      <c r="I17" s="124">
        <v>0.0</v>
      </c>
      <c r="J17" s="124">
        <v>0.0</v>
      </c>
      <c r="K17" s="124">
        <v>1.0</v>
      </c>
      <c r="L17" s="124">
        <v>0.0</v>
      </c>
      <c r="M17" s="124">
        <v>0.0</v>
      </c>
      <c r="N17" s="124">
        <v>0.0</v>
      </c>
      <c r="O17" s="124">
        <v>0.0</v>
      </c>
      <c r="P17" s="124">
        <v>0.0</v>
      </c>
      <c r="Q17" s="124">
        <v>0.0</v>
      </c>
      <c r="R17" s="124">
        <v>0.0</v>
      </c>
      <c r="S17" s="124">
        <v>0.0</v>
      </c>
      <c r="T17" s="124">
        <v>0.0</v>
      </c>
      <c r="U17" s="124">
        <v>0.0</v>
      </c>
      <c r="V17" s="124">
        <v>0.0</v>
      </c>
      <c r="W17" s="124">
        <v>0.0</v>
      </c>
      <c r="X17" s="123">
        <v>0.0</v>
      </c>
      <c r="Y17" s="124">
        <v>0.0</v>
      </c>
      <c r="Z17" s="124">
        <v>0.0</v>
      </c>
      <c r="AA17" s="124">
        <v>0.0</v>
      </c>
      <c r="AB17" s="124">
        <v>0.0</v>
      </c>
      <c r="AC17" s="124">
        <v>0.0</v>
      </c>
      <c r="AD17" s="124">
        <v>0.0</v>
      </c>
      <c r="AE17" s="124">
        <v>0.0</v>
      </c>
      <c r="AF17" s="124">
        <v>0.0</v>
      </c>
      <c r="AG17" s="124">
        <v>0.0</v>
      </c>
      <c r="AH17" s="124">
        <v>0.0</v>
      </c>
      <c r="AI17" s="124">
        <v>15.0</v>
      </c>
      <c r="AJ17" s="124">
        <v>0.0</v>
      </c>
      <c r="AK17" s="124">
        <v>0.0</v>
      </c>
      <c r="AL17" s="124">
        <v>0.0</v>
      </c>
      <c r="AM17" s="124">
        <v>0.0</v>
      </c>
      <c r="AN17" s="124">
        <v>0.0</v>
      </c>
      <c r="AO17" s="124">
        <v>0.0</v>
      </c>
      <c r="AP17" s="124">
        <v>0.0</v>
      </c>
      <c r="AQ17" s="124">
        <v>0.0</v>
      </c>
    </row>
    <row r="18">
      <c r="A18" s="121">
        <f t="shared" si="1"/>
        <v>14</v>
      </c>
      <c r="B18" s="121">
        <v>100.0</v>
      </c>
      <c r="C18" s="122">
        <f t="shared" si="2"/>
        <v>887</v>
      </c>
      <c r="D18" s="123">
        <v>0.0</v>
      </c>
      <c r="E18" s="124">
        <v>0.0</v>
      </c>
      <c r="F18" s="124">
        <v>0.0</v>
      </c>
      <c r="G18" s="124">
        <v>1.0</v>
      </c>
      <c r="H18" s="124">
        <v>0.0</v>
      </c>
      <c r="I18" s="124">
        <v>0.0</v>
      </c>
      <c r="J18" s="124">
        <v>0.0</v>
      </c>
      <c r="K18" s="124">
        <v>0.0</v>
      </c>
      <c r="L18" s="124">
        <v>0.0</v>
      </c>
      <c r="M18" s="124">
        <v>0.0</v>
      </c>
      <c r="N18" s="124">
        <v>0.0</v>
      </c>
      <c r="O18" s="124">
        <v>0.0</v>
      </c>
      <c r="P18" s="124">
        <v>0.0</v>
      </c>
      <c r="Q18" s="124">
        <v>0.0</v>
      </c>
      <c r="R18" s="124">
        <v>0.0</v>
      </c>
      <c r="S18" s="124">
        <v>0.0</v>
      </c>
      <c r="T18" s="124">
        <v>0.0</v>
      </c>
      <c r="U18" s="124">
        <v>0.0</v>
      </c>
      <c r="V18" s="124">
        <v>0.0</v>
      </c>
      <c r="W18" s="124">
        <v>0.0</v>
      </c>
      <c r="X18" s="123">
        <v>0.0</v>
      </c>
      <c r="Y18" s="124">
        <v>0.0</v>
      </c>
      <c r="Z18" s="124">
        <v>0.0</v>
      </c>
      <c r="AA18" s="124">
        <v>0.0</v>
      </c>
      <c r="AB18" s="124">
        <v>0.0</v>
      </c>
      <c r="AC18" s="124">
        <v>1.0</v>
      </c>
      <c r="AD18" s="124">
        <v>0.0</v>
      </c>
      <c r="AE18" s="124">
        <v>0.0</v>
      </c>
      <c r="AF18" s="124">
        <v>0.0</v>
      </c>
      <c r="AG18" s="124">
        <v>0.0</v>
      </c>
      <c r="AH18" s="124">
        <v>0.0</v>
      </c>
      <c r="AI18" s="124">
        <v>0.0</v>
      </c>
      <c r="AJ18" s="124">
        <v>0.0</v>
      </c>
      <c r="AK18" s="124">
        <v>0.0</v>
      </c>
      <c r="AL18" s="124">
        <v>0.0</v>
      </c>
      <c r="AM18" s="124">
        <v>0.0</v>
      </c>
      <c r="AN18" s="124">
        <v>0.0</v>
      </c>
      <c r="AO18" s="124">
        <v>0.0</v>
      </c>
      <c r="AP18" s="124">
        <v>0.0</v>
      </c>
      <c r="AQ18" s="124">
        <v>0.0</v>
      </c>
    </row>
    <row r="19">
      <c r="A19" s="121">
        <f t="shared" si="1"/>
        <v>15</v>
      </c>
      <c r="B19" s="121">
        <v>130.0</v>
      </c>
      <c r="C19" s="122">
        <f t="shared" si="2"/>
        <v>1017</v>
      </c>
      <c r="D19" s="123">
        <v>15.0</v>
      </c>
      <c r="E19" s="124">
        <v>0.0</v>
      </c>
      <c r="F19" s="124">
        <v>0.0</v>
      </c>
      <c r="G19" s="124">
        <v>0.0</v>
      </c>
      <c r="H19" s="124">
        <v>0.0</v>
      </c>
      <c r="I19" s="124">
        <v>0.0</v>
      </c>
      <c r="J19" s="124">
        <v>0.0</v>
      </c>
      <c r="K19" s="124">
        <v>0.0</v>
      </c>
      <c r="L19" s="124">
        <v>0.0</v>
      </c>
      <c r="M19" s="124">
        <v>0.0</v>
      </c>
      <c r="N19" s="124">
        <v>0.0</v>
      </c>
      <c r="O19" s="124">
        <v>0.0</v>
      </c>
      <c r="P19" s="124">
        <v>0.0</v>
      </c>
      <c r="Q19" s="124">
        <v>0.0</v>
      </c>
      <c r="R19" s="124">
        <v>0.0</v>
      </c>
      <c r="S19" s="124">
        <v>0.0</v>
      </c>
      <c r="T19" s="124">
        <v>0.0</v>
      </c>
      <c r="U19" s="124">
        <v>0.0</v>
      </c>
      <c r="V19" s="124">
        <v>0.0</v>
      </c>
      <c r="W19" s="124">
        <v>0.0</v>
      </c>
      <c r="X19" s="123">
        <v>30.0</v>
      </c>
      <c r="Y19" s="124">
        <v>0.0</v>
      </c>
      <c r="Z19" s="124">
        <v>0.0</v>
      </c>
      <c r="AA19" s="124">
        <v>1.0</v>
      </c>
      <c r="AB19" s="124">
        <v>0.0</v>
      </c>
      <c r="AC19" s="124">
        <v>0.0</v>
      </c>
      <c r="AD19" s="124">
        <v>0.0</v>
      </c>
      <c r="AE19" s="124">
        <v>0.0</v>
      </c>
      <c r="AF19" s="124">
        <v>0.0</v>
      </c>
      <c r="AG19" s="124">
        <v>60.0</v>
      </c>
      <c r="AH19" s="124">
        <v>0.0</v>
      </c>
      <c r="AI19" s="124">
        <v>0.0</v>
      </c>
      <c r="AJ19" s="124">
        <v>0.0</v>
      </c>
      <c r="AK19" s="124">
        <v>0.0</v>
      </c>
      <c r="AL19" s="124">
        <v>0.0</v>
      </c>
      <c r="AM19" s="124">
        <v>0.0</v>
      </c>
      <c r="AN19" s="124">
        <v>0.0</v>
      </c>
      <c r="AO19" s="124">
        <v>0.0</v>
      </c>
      <c r="AP19" s="124">
        <v>0.0</v>
      </c>
      <c r="AQ19" s="124">
        <v>0.0</v>
      </c>
    </row>
    <row r="20">
      <c r="A20" s="121">
        <f t="shared" si="1"/>
        <v>16</v>
      </c>
      <c r="B20" s="121">
        <v>130.0</v>
      </c>
      <c r="C20" s="122">
        <f t="shared" si="2"/>
        <v>1147</v>
      </c>
      <c r="D20" s="123">
        <v>0.0</v>
      </c>
      <c r="E20" s="124">
        <v>0.0</v>
      </c>
      <c r="F20" s="124">
        <v>0.0</v>
      </c>
      <c r="G20" s="124">
        <v>0.0</v>
      </c>
      <c r="H20" s="124">
        <v>0.0</v>
      </c>
      <c r="I20" s="124">
        <v>0.0</v>
      </c>
      <c r="J20" s="124">
        <v>0.0</v>
      </c>
      <c r="K20" s="124">
        <v>0.0</v>
      </c>
      <c r="L20" s="124">
        <v>0.0</v>
      </c>
      <c r="M20" s="124">
        <v>15.0</v>
      </c>
      <c r="N20" s="124">
        <v>0.0</v>
      </c>
      <c r="O20" s="124">
        <v>0.0</v>
      </c>
      <c r="P20" s="124">
        <v>0.0</v>
      </c>
      <c r="Q20" s="124">
        <v>0.0</v>
      </c>
      <c r="R20" s="124">
        <v>0.0</v>
      </c>
      <c r="S20" s="124">
        <v>0.0</v>
      </c>
      <c r="T20" s="124">
        <v>0.0</v>
      </c>
      <c r="U20" s="124">
        <v>0.0</v>
      </c>
      <c r="V20" s="124">
        <v>0.0</v>
      </c>
      <c r="W20" s="124">
        <v>0.0</v>
      </c>
      <c r="X20" s="123">
        <v>0.0</v>
      </c>
      <c r="Y20" s="124">
        <v>0.0</v>
      </c>
      <c r="Z20" s="124">
        <v>0.0</v>
      </c>
      <c r="AA20" s="124">
        <v>0.0</v>
      </c>
      <c r="AB20" s="124">
        <v>0.0</v>
      </c>
      <c r="AC20" s="124">
        <v>0.0</v>
      </c>
      <c r="AD20" s="124">
        <v>1.0</v>
      </c>
      <c r="AE20" s="124">
        <v>0.0</v>
      </c>
      <c r="AF20" s="124">
        <v>0.0</v>
      </c>
      <c r="AG20" s="124">
        <v>0.0</v>
      </c>
      <c r="AH20" s="124">
        <v>10.0</v>
      </c>
      <c r="AI20" s="124">
        <v>0.0</v>
      </c>
      <c r="AJ20" s="124">
        <v>0.0</v>
      </c>
      <c r="AK20" s="124">
        <v>0.0</v>
      </c>
      <c r="AL20" s="124">
        <v>0.0</v>
      </c>
      <c r="AM20" s="124">
        <v>0.0</v>
      </c>
      <c r="AN20" s="124">
        <v>0.0</v>
      </c>
      <c r="AO20" s="124">
        <v>0.0</v>
      </c>
      <c r="AP20" s="124">
        <v>0.0</v>
      </c>
      <c r="AQ20" s="124">
        <v>0.0</v>
      </c>
    </row>
    <row r="21" ht="15.75" customHeight="1">
      <c r="A21" s="121">
        <f t="shared" si="1"/>
        <v>17</v>
      </c>
      <c r="B21" s="121">
        <v>130.0</v>
      </c>
      <c r="C21" s="122">
        <f t="shared" si="2"/>
        <v>1277</v>
      </c>
      <c r="D21" s="123">
        <v>0.0</v>
      </c>
      <c r="E21" s="124">
        <v>0.0</v>
      </c>
      <c r="F21" s="124">
        <v>0.0</v>
      </c>
      <c r="G21" s="124">
        <v>0.0</v>
      </c>
      <c r="H21" s="124">
        <v>1.0</v>
      </c>
      <c r="I21" s="124">
        <v>0.0</v>
      </c>
      <c r="J21" s="124">
        <v>0.0</v>
      </c>
      <c r="K21" s="124">
        <v>0.0</v>
      </c>
      <c r="L21" s="124">
        <v>0.0</v>
      </c>
      <c r="M21" s="124">
        <v>0.0</v>
      </c>
      <c r="N21" s="124">
        <v>0.0</v>
      </c>
      <c r="O21" s="124">
        <v>0.0</v>
      </c>
      <c r="P21" s="124">
        <v>0.0</v>
      </c>
      <c r="Q21" s="124">
        <v>0.0</v>
      </c>
      <c r="R21" s="124">
        <v>0.0</v>
      </c>
      <c r="S21" s="124">
        <v>0.0</v>
      </c>
      <c r="T21" s="124">
        <v>0.0</v>
      </c>
      <c r="U21" s="124">
        <v>0.0</v>
      </c>
      <c r="V21" s="124">
        <v>0.0</v>
      </c>
      <c r="W21" s="124">
        <v>0.0</v>
      </c>
      <c r="X21" s="123">
        <v>0.0</v>
      </c>
      <c r="Y21" s="124">
        <v>0.0</v>
      </c>
      <c r="Z21" s="124">
        <v>0.0</v>
      </c>
      <c r="AA21" s="124">
        <v>0.0</v>
      </c>
      <c r="AB21" s="124">
        <v>0.0</v>
      </c>
      <c r="AC21" s="124">
        <v>1.0</v>
      </c>
      <c r="AD21" s="124">
        <v>0.0</v>
      </c>
      <c r="AE21" s="124">
        <v>0.0</v>
      </c>
      <c r="AF21" s="124">
        <v>1.0</v>
      </c>
      <c r="AG21" s="124">
        <v>0.0</v>
      </c>
      <c r="AH21" s="124">
        <v>0.0</v>
      </c>
      <c r="AI21" s="124">
        <v>0.0</v>
      </c>
      <c r="AJ21" s="124">
        <v>0.0</v>
      </c>
      <c r="AK21" s="124">
        <v>0.0</v>
      </c>
      <c r="AL21" s="124">
        <v>0.0</v>
      </c>
      <c r="AM21" s="124">
        <v>0.0</v>
      </c>
      <c r="AN21" s="124">
        <v>0.0</v>
      </c>
      <c r="AO21" s="124">
        <v>0.0</v>
      </c>
      <c r="AP21" s="124">
        <v>0.0</v>
      </c>
      <c r="AQ21" s="124">
        <v>0.0</v>
      </c>
    </row>
    <row r="22" ht="15.75" customHeight="1">
      <c r="A22" s="121">
        <f t="shared" si="1"/>
        <v>18</v>
      </c>
      <c r="B22" s="121">
        <v>130.0</v>
      </c>
      <c r="C22" s="122">
        <f t="shared" si="2"/>
        <v>1407</v>
      </c>
      <c r="D22" s="123">
        <v>0.0</v>
      </c>
      <c r="E22" s="124">
        <v>0.0</v>
      </c>
      <c r="F22" s="124">
        <v>0.0</v>
      </c>
      <c r="G22" s="124">
        <v>1.0</v>
      </c>
      <c r="H22" s="124">
        <v>0.0</v>
      </c>
      <c r="I22" s="124">
        <v>0.0</v>
      </c>
      <c r="J22" s="124">
        <v>0.0</v>
      </c>
      <c r="K22" s="124">
        <v>0.0</v>
      </c>
      <c r="L22" s="124">
        <v>0.0</v>
      </c>
      <c r="M22" s="124">
        <v>0.0</v>
      </c>
      <c r="N22" s="124">
        <v>0.0</v>
      </c>
      <c r="O22" s="124">
        <v>0.0</v>
      </c>
      <c r="P22" s="124">
        <v>0.0</v>
      </c>
      <c r="Q22" s="124">
        <v>0.0</v>
      </c>
      <c r="R22" s="124">
        <v>0.0</v>
      </c>
      <c r="S22" s="124">
        <v>0.0</v>
      </c>
      <c r="T22" s="124">
        <v>0.0</v>
      </c>
      <c r="U22" s="124">
        <v>0.0</v>
      </c>
      <c r="V22" s="124">
        <v>0.0</v>
      </c>
      <c r="W22" s="124">
        <v>0.0</v>
      </c>
      <c r="X22" s="123">
        <v>0.0</v>
      </c>
      <c r="Y22" s="124">
        <v>0.0</v>
      </c>
      <c r="Z22" s="124">
        <v>0.0</v>
      </c>
      <c r="AA22" s="124">
        <v>0.0</v>
      </c>
      <c r="AB22" s="124">
        <v>0.0</v>
      </c>
      <c r="AC22" s="124">
        <v>0.0</v>
      </c>
      <c r="AD22" s="124">
        <v>1.0</v>
      </c>
      <c r="AE22" s="124">
        <v>0.0</v>
      </c>
      <c r="AF22" s="124">
        <v>0.0</v>
      </c>
      <c r="AG22" s="124">
        <v>0.0</v>
      </c>
      <c r="AH22" s="124">
        <v>0.0</v>
      </c>
      <c r="AI22" s="124">
        <v>10.0</v>
      </c>
      <c r="AJ22" s="124">
        <v>0.0</v>
      </c>
      <c r="AK22" s="124">
        <v>0.0</v>
      </c>
      <c r="AL22" s="124">
        <v>0.0</v>
      </c>
      <c r="AM22" s="124">
        <v>0.0</v>
      </c>
      <c r="AN22" s="124">
        <v>0.0</v>
      </c>
      <c r="AO22" s="124">
        <v>0.0</v>
      </c>
      <c r="AP22" s="124">
        <v>0.0</v>
      </c>
      <c r="AQ22" s="124">
        <v>0.0</v>
      </c>
    </row>
    <row r="23" ht="15.75" customHeight="1">
      <c r="A23" s="121">
        <f t="shared" si="1"/>
        <v>19</v>
      </c>
      <c r="B23" s="121">
        <v>130.0</v>
      </c>
      <c r="C23" s="122">
        <f t="shared" si="2"/>
        <v>1537</v>
      </c>
      <c r="D23" s="123">
        <v>0.0</v>
      </c>
      <c r="E23" s="124">
        <v>0.0</v>
      </c>
      <c r="F23" s="124">
        <v>0.0</v>
      </c>
      <c r="G23" s="124">
        <v>0.0</v>
      </c>
      <c r="H23" s="124">
        <v>0.0</v>
      </c>
      <c r="I23" s="124">
        <v>1.0</v>
      </c>
      <c r="J23" s="124">
        <v>0.0</v>
      </c>
      <c r="K23" s="124">
        <v>0.0</v>
      </c>
      <c r="L23" s="124">
        <v>0.0</v>
      </c>
      <c r="M23" s="124">
        <v>0.0</v>
      </c>
      <c r="N23" s="124">
        <v>0.0</v>
      </c>
      <c r="O23" s="124">
        <v>0.0</v>
      </c>
      <c r="P23" s="124">
        <v>0.0</v>
      </c>
      <c r="Q23" s="124">
        <v>0.0</v>
      </c>
      <c r="R23" s="124">
        <v>0.0</v>
      </c>
      <c r="S23" s="124">
        <v>0.0</v>
      </c>
      <c r="T23" s="124">
        <v>0.0</v>
      </c>
      <c r="U23" s="124">
        <v>0.0</v>
      </c>
      <c r="V23" s="124">
        <v>0.0</v>
      </c>
      <c r="W23" s="124">
        <v>0.0</v>
      </c>
      <c r="X23" s="123">
        <v>0.0</v>
      </c>
      <c r="Y23" s="124">
        <v>0.0</v>
      </c>
      <c r="Z23" s="124">
        <v>0.0</v>
      </c>
      <c r="AA23" s="124">
        <v>0.0</v>
      </c>
      <c r="AB23" s="124">
        <v>1.0</v>
      </c>
      <c r="AC23" s="124">
        <v>0.0</v>
      </c>
      <c r="AD23" s="124">
        <v>0.0</v>
      </c>
      <c r="AE23" s="124">
        <v>0.0</v>
      </c>
      <c r="AF23" s="124">
        <v>0.0</v>
      </c>
      <c r="AG23" s="124">
        <v>0.0</v>
      </c>
      <c r="AH23" s="124">
        <v>15.0</v>
      </c>
      <c r="AI23" s="124">
        <v>0.0</v>
      </c>
      <c r="AJ23" s="124">
        <v>0.0</v>
      </c>
      <c r="AK23" s="124">
        <v>0.0</v>
      </c>
      <c r="AL23" s="124">
        <v>0.0</v>
      </c>
      <c r="AM23" s="124">
        <v>0.0</v>
      </c>
      <c r="AN23" s="124">
        <v>0.0</v>
      </c>
      <c r="AO23" s="124">
        <v>0.0</v>
      </c>
      <c r="AP23" s="124">
        <v>0.0</v>
      </c>
      <c r="AQ23" s="124">
        <v>0.0</v>
      </c>
    </row>
    <row r="24" ht="15.75" customHeight="1">
      <c r="A24" s="121">
        <f t="shared" si="1"/>
        <v>20</v>
      </c>
      <c r="B24" s="121">
        <v>160.0</v>
      </c>
      <c r="C24" s="122">
        <f t="shared" si="2"/>
        <v>1697</v>
      </c>
      <c r="D24" s="123">
        <v>20.0</v>
      </c>
      <c r="E24" s="124">
        <v>0.0</v>
      </c>
      <c r="F24" s="124">
        <v>0.0</v>
      </c>
      <c r="G24" s="124">
        <v>0.0</v>
      </c>
      <c r="H24" s="124">
        <v>0.0</v>
      </c>
      <c r="I24" s="124">
        <v>0.0</v>
      </c>
      <c r="J24" s="124">
        <v>0.0</v>
      </c>
      <c r="K24" s="124">
        <v>0.0</v>
      </c>
      <c r="L24" s="124">
        <v>0.0</v>
      </c>
      <c r="M24" s="124">
        <v>0.0</v>
      </c>
      <c r="N24" s="124">
        <v>0.0</v>
      </c>
      <c r="O24" s="124">
        <v>0.0</v>
      </c>
      <c r="P24" s="124">
        <v>0.0</v>
      </c>
      <c r="Q24" s="124">
        <v>0.0</v>
      </c>
      <c r="R24" s="124">
        <v>0.0</v>
      </c>
      <c r="S24" s="124">
        <v>0.0</v>
      </c>
      <c r="T24" s="124">
        <v>0.0</v>
      </c>
      <c r="U24" s="124">
        <v>0.0</v>
      </c>
      <c r="V24" s="124">
        <v>0.0</v>
      </c>
      <c r="W24" s="124">
        <v>0.0</v>
      </c>
      <c r="X24" s="123">
        <v>40.0</v>
      </c>
      <c r="Y24" s="124">
        <v>0.0</v>
      </c>
      <c r="Z24" s="124">
        <v>0.0</v>
      </c>
      <c r="AA24" s="124">
        <v>1.0</v>
      </c>
      <c r="AB24" s="124">
        <v>0.0</v>
      </c>
      <c r="AC24" s="124">
        <v>0.0</v>
      </c>
      <c r="AD24" s="124">
        <v>0.0</v>
      </c>
      <c r="AE24" s="124">
        <v>0.0</v>
      </c>
      <c r="AF24" s="124">
        <v>0.0</v>
      </c>
      <c r="AG24" s="124">
        <v>60.0</v>
      </c>
      <c r="AH24" s="124">
        <v>0.0</v>
      </c>
      <c r="AI24" s="124">
        <v>0.0</v>
      </c>
      <c r="AJ24" s="124">
        <v>0.0</v>
      </c>
      <c r="AK24" s="124">
        <v>0.0</v>
      </c>
      <c r="AL24" s="124">
        <v>0.0</v>
      </c>
      <c r="AM24" s="124">
        <v>0.0</v>
      </c>
      <c r="AN24" s="124">
        <v>0.0</v>
      </c>
      <c r="AO24" s="124">
        <v>0.0</v>
      </c>
      <c r="AP24" s="124">
        <v>0.0</v>
      </c>
      <c r="AQ24" s="124">
        <v>0.0</v>
      </c>
    </row>
    <row r="25" ht="15.75" customHeight="1">
      <c r="A25" s="121">
        <f t="shared" si="1"/>
        <v>21</v>
      </c>
      <c r="B25" s="121">
        <v>160.0</v>
      </c>
      <c r="C25" s="122">
        <f t="shared" si="2"/>
        <v>1857</v>
      </c>
      <c r="D25" s="123">
        <v>0.0</v>
      </c>
      <c r="E25" s="124">
        <v>0.0</v>
      </c>
      <c r="F25" s="124">
        <v>0.0</v>
      </c>
      <c r="G25" s="124">
        <v>0.0</v>
      </c>
      <c r="H25" s="124">
        <v>1.0</v>
      </c>
      <c r="I25" s="124">
        <v>0.0</v>
      </c>
      <c r="J25" s="124">
        <v>0.0</v>
      </c>
      <c r="K25" s="124">
        <v>0.0</v>
      </c>
      <c r="L25" s="124">
        <v>0.0</v>
      </c>
      <c r="M25" s="124">
        <v>0.0</v>
      </c>
      <c r="N25" s="124">
        <v>0.0</v>
      </c>
      <c r="O25" s="124">
        <v>0.0</v>
      </c>
      <c r="P25" s="124">
        <v>0.0</v>
      </c>
      <c r="Q25" s="124">
        <v>0.0</v>
      </c>
      <c r="R25" s="124">
        <v>0.0</v>
      </c>
      <c r="S25" s="124">
        <v>0.0</v>
      </c>
      <c r="T25" s="124">
        <v>0.0</v>
      </c>
      <c r="U25" s="124">
        <v>0.0</v>
      </c>
      <c r="V25" s="124">
        <v>0.0</v>
      </c>
      <c r="W25" s="124">
        <v>0.0</v>
      </c>
      <c r="X25" s="123">
        <v>0.0</v>
      </c>
      <c r="Y25" s="124">
        <v>0.0</v>
      </c>
      <c r="Z25" s="124">
        <v>0.0</v>
      </c>
      <c r="AA25" s="124">
        <v>0.0</v>
      </c>
      <c r="AB25" s="124">
        <v>0.0</v>
      </c>
      <c r="AC25" s="124">
        <v>1.0</v>
      </c>
      <c r="AD25" s="124">
        <v>0.0</v>
      </c>
      <c r="AE25" s="124">
        <v>0.0</v>
      </c>
      <c r="AF25" s="124">
        <v>0.0</v>
      </c>
      <c r="AG25" s="124">
        <v>0.0</v>
      </c>
      <c r="AH25" s="124">
        <v>0.0</v>
      </c>
      <c r="AI25" s="124">
        <v>15.0</v>
      </c>
      <c r="AJ25" s="124">
        <v>0.0</v>
      </c>
      <c r="AK25" s="124">
        <v>0.0</v>
      </c>
      <c r="AL25" s="124">
        <v>0.0</v>
      </c>
      <c r="AM25" s="124">
        <v>0.0</v>
      </c>
      <c r="AN25" s="124">
        <v>0.0</v>
      </c>
      <c r="AO25" s="124">
        <v>0.0</v>
      </c>
      <c r="AP25" s="124">
        <v>0.0</v>
      </c>
      <c r="AQ25" s="124">
        <v>0.0</v>
      </c>
    </row>
    <row r="26" ht="15.75" customHeight="1">
      <c r="A26" s="121">
        <f t="shared" si="1"/>
        <v>22</v>
      </c>
      <c r="B26" s="121">
        <v>160.0</v>
      </c>
      <c r="C26" s="122">
        <f t="shared" si="2"/>
        <v>2017</v>
      </c>
      <c r="D26" s="123">
        <v>0.0</v>
      </c>
      <c r="E26" s="124">
        <v>0.0</v>
      </c>
      <c r="F26" s="124">
        <v>0.0</v>
      </c>
      <c r="G26" s="124">
        <v>0.0</v>
      </c>
      <c r="H26" s="124">
        <v>0.0</v>
      </c>
      <c r="I26" s="124">
        <v>0.0</v>
      </c>
      <c r="J26" s="124">
        <v>0.0</v>
      </c>
      <c r="K26" s="124">
        <v>0.0</v>
      </c>
      <c r="L26" s="124">
        <v>0.0</v>
      </c>
      <c r="M26" s="124">
        <v>0.0</v>
      </c>
      <c r="N26" s="124">
        <v>15.0</v>
      </c>
      <c r="O26" s="124">
        <v>0.0</v>
      </c>
      <c r="P26" s="124">
        <v>0.0</v>
      </c>
      <c r="Q26" s="124">
        <v>0.0</v>
      </c>
      <c r="R26" s="124">
        <v>0.0</v>
      </c>
      <c r="S26" s="124">
        <v>0.0</v>
      </c>
      <c r="T26" s="124">
        <v>0.0</v>
      </c>
      <c r="U26" s="124">
        <v>0.0</v>
      </c>
      <c r="V26" s="124">
        <v>0.0</v>
      </c>
      <c r="W26" s="124">
        <v>0.0</v>
      </c>
      <c r="X26" s="123">
        <v>0.0</v>
      </c>
      <c r="Y26" s="124">
        <v>0.0</v>
      </c>
      <c r="Z26" s="124">
        <v>0.0</v>
      </c>
      <c r="AA26" s="124">
        <v>0.0</v>
      </c>
      <c r="AB26" s="124">
        <v>0.0</v>
      </c>
      <c r="AC26" s="124">
        <v>0.0</v>
      </c>
      <c r="AD26" s="124">
        <v>0.0</v>
      </c>
      <c r="AE26" s="124">
        <v>1.0</v>
      </c>
      <c r="AF26" s="124">
        <v>0.0</v>
      </c>
      <c r="AG26" s="124">
        <v>0.0</v>
      </c>
      <c r="AH26" s="124">
        <v>0.0</v>
      </c>
      <c r="AI26" s="124">
        <v>0.0</v>
      </c>
      <c r="AJ26" s="124">
        <v>10.0</v>
      </c>
      <c r="AK26" s="124">
        <v>0.0</v>
      </c>
      <c r="AL26" s="124">
        <v>0.0</v>
      </c>
      <c r="AM26" s="124">
        <v>0.0</v>
      </c>
      <c r="AN26" s="124">
        <v>0.0</v>
      </c>
      <c r="AO26" s="124">
        <v>0.0</v>
      </c>
      <c r="AP26" s="124">
        <v>0.0</v>
      </c>
      <c r="AQ26" s="124">
        <v>0.0</v>
      </c>
    </row>
    <row r="27" ht="15.75" customHeight="1">
      <c r="A27" s="121">
        <f t="shared" si="1"/>
        <v>23</v>
      </c>
      <c r="B27" s="121">
        <v>160.0</v>
      </c>
      <c r="C27" s="122">
        <f t="shared" si="2"/>
        <v>2177</v>
      </c>
      <c r="D27" s="123">
        <v>0.0</v>
      </c>
      <c r="E27" s="124">
        <v>0.0</v>
      </c>
      <c r="F27" s="124">
        <v>0.0</v>
      </c>
      <c r="G27" s="124">
        <v>0.0</v>
      </c>
      <c r="H27" s="124">
        <v>1.0</v>
      </c>
      <c r="I27" s="124">
        <v>0.0</v>
      </c>
      <c r="J27" s="124">
        <v>0.0</v>
      </c>
      <c r="K27" s="124">
        <v>0.0</v>
      </c>
      <c r="L27" s="124">
        <v>0.0</v>
      </c>
      <c r="M27" s="124">
        <v>0.0</v>
      </c>
      <c r="N27" s="124">
        <v>0.0</v>
      </c>
      <c r="O27" s="124">
        <v>0.0</v>
      </c>
      <c r="P27" s="124">
        <v>0.0</v>
      </c>
      <c r="Q27" s="124">
        <v>0.0</v>
      </c>
      <c r="R27" s="124">
        <v>0.0</v>
      </c>
      <c r="S27" s="124">
        <v>0.0</v>
      </c>
      <c r="T27" s="124">
        <v>0.0</v>
      </c>
      <c r="U27" s="124">
        <v>0.0</v>
      </c>
      <c r="V27" s="124">
        <v>0.0</v>
      </c>
      <c r="W27" s="124">
        <v>0.0</v>
      </c>
      <c r="X27" s="123">
        <v>0.0</v>
      </c>
      <c r="Y27" s="124">
        <v>0.0</v>
      </c>
      <c r="Z27" s="124">
        <v>0.0</v>
      </c>
      <c r="AA27" s="124">
        <v>0.0</v>
      </c>
      <c r="AB27" s="124">
        <v>0.0</v>
      </c>
      <c r="AC27" s="124">
        <v>1.0</v>
      </c>
      <c r="AD27" s="124">
        <v>1.0</v>
      </c>
      <c r="AE27" s="124">
        <v>0.0</v>
      </c>
      <c r="AF27" s="124">
        <v>0.0</v>
      </c>
      <c r="AG27" s="124">
        <v>0.0</v>
      </c>
      <c r="AH27" s="124">
        <v>0.0</v>
      </c>
      <c r="AI27" s="124">
        <v>0.0</v>
      </c>
      <c r="AJ27" s="124">
        <v>0.0</v>
      </c>
      <c r="AK27" s="124">
        <v>0.0</v>
      </c>
      <c r="AL27" s="124">
        <v>0.0</v>
      </c>
      <c r="AM27" s="124">
        <v>0.0</v>
      </c>
      <c r="AN27" s="124">
        <v>0.0</v>
      </c>
      <c r="AO27" s="124">
        <v>0.0</v>
      </c>
      <c r="AP27" s="124">
        <v>0.0</v>
      </c>
      <c r="AQ27" s="124">
        <v>0.0</v>
      </c>
    </row>
    <row r="28" ht="15.75" customHeight="1">
      <c r="A28" s="121">
        <f t="shared" si="1"/>
        <v>24</v>
      </c>
      <c r="B28" s="121">
        <v>160.0</v>
      </c>
      <c r="C28" s="122">
        <f t="shared" si="2"/>
        <v>2337</v>
      </c>
      <c r="D28" s="123">
        <v>0.0</v>
      </c>
      <c r="E28" s="124">
        <v>0.0</v>
      </c>
      <c r="F28" s="124">
        <v>0.0</v>
      </c>
      <c r="G28" s="124">
        <v>0.0</v>
      </c>
      <c r="H28" s="124">
        <v>0.0</v>
      </c>
      <c r="I28" s="124">
        <v>0.0</v>
      </c>
      <c r="J28" s="124">
        <v>0.0</v>
      </c>
      <c r="K28" s="124">
        <v>0.0</v>
      </c>
      <c r="L28" s="124">
        <v>0.0</v>
      </c>
      <c r="M28" s="124">
        <v>30.0</v>
      </c>
      <c r="N28" s="124">
        <v>0.0</v>
      </c>
      <c r="O28" s="124">
        <v>0.0</v>
      </c>
      <c r="P28" s="124">
        <v>0.0</v>
      </c>
      <c r="Q28" s="124">
        <v>0.0</v>
      </c>
      <c r="R28" s="124">
        <v>0.0</v>
      </c>
      <c r="S28" s="124">
        <v>0.0</v>
      </c>
      <c r="T28" s="124">
        <v>0.0</v>
      </c>
      <c r="U28" s="124">
        <v>0.0</v>
      </c>
      <c r="V28" s="124">
        <v>0.0</v>
      </c>
      <c r="W28" s="124">
        <v>0.0</v>
      </c>
      <c r="X28" s="123">
        <v>0.0</v>
      </c>
      <c r="Y28" s="124">
        <v>0.0</v>
      </c>
      <c r="Z28" s="124">
        <v>0.0</v>
      </c>
      <c r="AA28" s="124">
        <v>0.0</v>
      </c>
      <c r="AB28" s="124">
        <v>1.0</v>
      </c>
      <c r="AC28" s="124">
        <v>0.0</v>
      </c>
      <c r="AD28" s="124">
        <v>0.0</v>
      </c>
      <c r="AE28" s="124">
        <v>0.0</v>
      </c>
      <c r="AF28" s="124">
        <v>0.0</v>
      </c>
      <c r="AG28" s="124">
        <v>0.0</v>
      </c>
      <c r="AH28" s="124">
        <v>10.0</v>
      </c>
      <c r="AI28" s="124">
        <v>0.0</v>
      </c>
      <c r="AJ28" s="124">
        <v>0.0</v>
      </c>
      <c r="AK28" s="124">
        <v>0.0</v>
      </c>
      <c r="AL28" s="124">
        <v>0.0</v>
      </c>
      <c r="AM28" s="124">
        <v>0.0</v>
      </c>
      <c r="AN28" s="124">
        <v>0.0</v>
      </c>
      <c r="AO28" s="124">
        <v>0.0</v>
      </c>
      <c r="AP28" s="124">
        <v>0.0</v>
      </c>
      <c r="AQ28" s="124">
        <v>0.0</v>
      </c>
    </row>
    <row r="29" ht="15.75" customHeight="1">
      <c r="A29" s="121">
        <f t="shared" si="1"/>
        <v>25</v>
      </c>
      <c r="B29" s="121">
        <v>190.0</v>
      </c>
      <c r="C29" s="122">
        <f t="shared" si="2"/>
        <v>2527</v>
      </c>
      <c r="D29" s="123">
        <v>25.0</v>
      </c>
      <c r="E29" s="124">
        <v>0.0</v>
      </c>
      <c r="F29" s="124">
        <v>0.0</v>
      </c>
      <c r="G29" s="124">
        <v>0.0</v>
      </c>
      <c r="H29" s="124">
        <v>0.0</v>
      </c>
      <c r="I29" s="124">
        <v>0.0</v>
      </c>
      <c r="J29" s="124">
        <v>0.0</v>
      </c>
      <c r="K29" s="124">
        <v>0.0</v>
      </c>
      <c r="L29" s="124">
        <v>0.0</v>
      </c>
      <c r="M29" s="124">
        <v>0.0</v>
      </c>
      <c r="N29" s="124">
        <v>0.0</v>
      </c>
      <c r="O29" s="124">
        <v>0.0</v>
      </c>
      <c r="P29" s="124">
        <v>0.0</v>
      </c>
      <c r="Q29" s="124">
        <v>0.0</v>
      </c>
      <c r="R29" s="124">
        <v>0.0</v>
      </c>
      <c r="S29" s="124">
        <v>0.0</v>
      </c>
      <c r="T29" s="124">
        <v>0.0</v>
      </c>
      <c r="U29" s="124">
        <v>0.0</v>
      </c>
      <c r="V29" s="124">
        <v>0.0</v>
      </c>
      <c r="W29" s="124">
        <v>0.0</v>
      </c>
      <c r="X29" s="123">
        <v>55.0</v>
      </c>
      <c r="Y29" s="124">
        <v>0.0</v>
      </c>
      <c r="Z29" s="124">
        <v>0.0</v>
      </c>
      <c r="AA29" s="124">
        <v>0.0</v>
      </c>
      <c r="AB29" s="124">
        <v>0.0</v>
      </c>
      <c r="AC29" s="124">
        <v>0.0</v>
      </c>
      <c r="AD29" s="124">
        <v>0.0</v>
      </c>
      <c r="AE29" s="124">
        <v>0.0</v>
      </c>
      <c r="AF29" s="124">
        <v>0.0</v>
      </c>
      <c r="AG29" s="124">
        <v>120.0</v>
      </c>
      <c r="AH29" s="124">
        <v>0.0</v>
      </c>
      <c r="AI29" s="124">
        <v>0.0</v>
      </c>
      <c r="AJ29" s="124">
        <v>0.0</v>
      </c>
      <c r="AK29" s="124">
        <v>0.0</v>
      </c>
      <c r="AL29" s="124">
        <v>0.0</v>
      </c>
      <c r="AM29" s="124">
        <v>0.0</v>
      </c>
      <c r="AN29" s="124">
        <v>0.0</v>
      </c>
      <c r="AO29" s="124">
        <v>0.0</v>
      </c>
      <c r="AP29" s="124">
        <v>0.0</v>
      </c>
      <c r="AQ29" s="124">
        <v>0.0</v>
      </c>
    </row>
    <row r="30" ht="15.75" customHeight="1">
      <c r="A30" s="121">
        <f t="shared" si="1"/>
        <v>26</v>
      </c>
      <c r="B30" s="121">
        <v>190.0</v>
      </c>
      <c r="C30" s="122">
        <f t="shared" si="2"/>
        <v>2717</v>
      </c>
      <c r="D30" s="123">
        <v>0.0</v>
      </c>
      <c r="E30" s="124">
        <v>0.0</v>
      </c>
      <c r="F30" s="124">
        <v>0.0</v>
      </c>
      <c r="G30" s="124">
        <v>0.0</v>
      </c>
      <c r="H30" s="124">
        <v>0.0</v>
      </c>
      <c r="I30" s="124">
        <v>0.0</v>
      </c>
      <c r="J30" s="124">
        <v>0.0</v>
      </c>
      <c r="K30" s="124">
        <v>0.0</v>
      </c>
      <c r="L30" s="124">
        <v>0.0</v>
      </c>
      <c r="M30" s="124">
        <v>30.0</v>
      </c>
      <c r="N30" s="124">
        <v>0.0</v>
      </c>
      <c r="O30" s="124">
        <v>0.0</v>
      </c>
      <c r="P30" s="124">
        <v>0.0</v>
      </c>
      <c r="Q30" s="124">
        <v>0.0</v>
      </c>
      <c r="R30" s="124">
        <v>0.0</v>
      </c>
      <c r="S30" s="124">
        <v>0.0</v>
      </c>
      <c r="T30" s="124">
        <v>0.0</v>
      </c>
      <c r="U30" s="124">
        <v>0.0</v>
      </c>
      <c r="V30" s="124">
        <v>0.0</v>
      </c>
      <c r="W30" s="124">
        <v>0.0</v>
      </c>
      <c r="X30" s="123">
        <v>0.0</v>
      </c>
      <c r="Y30" s="124">
        <v>0.0</v>
      </c>
      <c r="Z30" s="124">
        <v>0.0</v>
      </c>
      <c r="AA30" s="124">
        <v>1.0</v>
      </c>
      <c r="AB30" s="124">
        <v>0.0</v>
      </c>
      <c r="AC30" s="124">
        <v>0.0</v>
      </c>
      <c r="AD30" s="124">
        <v>0.0</v>
      </c>
      <c r="AE30" s="124">
        <v>1.0</v>
      </c>
      <c r="AF30" s="124">
        <v>0.0</v>
      </c>
      <c r="AG30" s="124">
        <v>0.0</v>
      </c>
      <c r="AH30" s="124">
        <v>0.0</v>
      </c>
      <c r="AI30" s="124">
        <v>0.0</v>
      </c>
      <c r="AJ30" s="124">
        <v>0.0</v>
      </c>
      <c r="AK30" s="124">
        <v>0.0</v>
      </c>
      <c r="AL30" s="124">
        <v>0.0</v>
      </c>
      <c r="AM30" s="124">
        <v>0.0</v>
      </c>
      <c r="AN30" s="124">
        <v>0.0</v>
      </c>
      <c r="AO30" s="124">
        <v>0.0</v>
      </c>
      <c r="AP30" s="124">
        <v>0.0</v>
      </c>
      <c r="AQ30" s="124">
        <v>0.0</v>
      </c>
    </row>
    <row r="31" ht="15.75" customHeight="1">
      <c r="A31" s="121">
        <f t="shared" si="1"/>
        <v>27</v>
      </c>
      <c r="B31" s="121">
        <v>190.0</v>
      </c>
      <c r="C31" s="122">
        <f t="shared" si="2"/>
        <v>2907</v>
      </c>
      <c r="D31" s="123">
        <v>0.0</v>
      </c>
      <c r="E31" s="124">
        <v>0.0</v>
      </c>
      <c r="F31" s="124">
        <v>0.0</v>
      </c>
      <c r="G31" s="124">
        <v>0.0</v>
      </c>
      <c r="H31" s="124">
        <v>0.0</v>
      </c>
      <c r="I31" s="124">
        <v>0.0</v>
      </c>
      <c r="J31" s="124">
        <v>1.0</v>
      </c>
      <c r="K31" s="124">
        <v>0.0</v>
      </c>
      <c r="L31" s="124">
        <v>0.0</v>
      </c>
      <c r="M31" s="124">
        <v>0.0</v>
      </c>
      <c r="N31" s="124">
        <v>0.0</v>
      </c>
      <c r="O31" s="124">
        <v>0.0</v>
      </c>
      <c r="P31" s="124">
        <v>0.0</v>
      </c>
      <c r="Q31" s="124">
        <v>0.0</v>
      </c>
      <c r="R31" s="124">
        <v>0.0</v>
      </c>
      <c r="S31" s="124">
        <v>0.0</v>
      </c>
      <c r="T31" s="124">
        <v>0.0</v>
      </c>
      <c r="U31" s="124">
        <v>0.0</v>
      </c>
      <c r="V31" s="124">
        <v>0.0</v>
      </c>
      <c r="W31" s="124">
        <v>0.0</v>
      </c>
      <c r="X31" s="123">
        <v>0.0</v>
      </c>
      <c r="Y31" s="124">
        <v>0.0</v>
      </c>
      <c r="Z31" s="124">
        <v>0.0</v>
      </c>
      <c r="AA31" s="124">
        <v>0.0</v>
      </c>
      <c r="AB31" s="124">
        <v>0.0</v>
      </c>
      <c r="AC31" s="124">
        <v>0.0</v>
      </c>
      <c r="AD31" s="124">
        <v>0.0</v>
      </c>
      <c r="AE31" s="124">
        <v>0.0</v>
      </c>
      <c r="AF31" s="124">
        <v>1.0</v>
      </c>
      <c r="AG31" s="124">
        <v>0.0</v>
      </c>
      <c r="AH31" s="124">
        <v>0.0</v>
      </c>
      <c r="AI31" s="124">
        <v>10.0</v>
      </c>
      <c r="AJ31" s="124">
        <v>0.0</v>
      </c>
      <c r="AK31" s="124">
        <v>0.0</v>
      </c>
      <c r="AL31" s="124">
        <v>0.0</v>
      </c>
      <c r="AM31" s="124">
        <v>0.0</v>
      </c>
      <c r="AN31" s="124">
        <v>0.0</v>
      </c>
      <c r="AO31" s="124">
        <v>0.0</v>
      </c>
      <c r="AP31" s="124">
        <v>0.0</v>
      </c>
      <c r="AQ31" s="124">
        <v>0.0</v>
      </c>
    </row>
    <row r="32" ht="15.75" customHeight="1">
      <c r="A32" s="121">
        <f t="shared" si="1"/>
        <v>28</v>
      </c>
      <c r="B32" s="121">
        <v>190.0</v>
      </c>
      <c r="C32" s="122">
        <f t="shared" si="2"/>
        <v>3097</v>
      </c>
      <c r="D32" s="123">
        <v>0.0</v>
      </c>
      <c r="E32" s="124">
        <v>0.0</v>
      </c>
      <c r="F32" s="124">
        <v>0.0</v>
      </c>
      <c r="G32" s="124">
        <v>0.0</v>
      </c>
      <c r="H32" s="124">
        <v>0.0</v>
      </c>
      <c r="I32" s="124">
        <v>1.0</v>
      </c>
      <c r="J32" s="124">
        <v>0.0</v>
      </c>
      <c r="K32" s="124">
        <v>0.0</v>
      </c>
      <c r="L32" s="124">
        <v>0.0</v>
      </c>
      <c r="M32" s="124">
        <v>0.0</v>
      </c>
      <c r="N32" s="124">
        <v>0.0</v>
      </c>
      <c r="O32" s="124">
        <v>0.0</v>
      </c>
      <c r="P32" s="124">
        <v>0.0</v>
      </c>
      <c r="Q32" s="124">
        <v>0.0</v>
      </c>
      <c r="R32" s="124">
        <v>0.0</v>
      </c>
      <c r="S32" s="124">
        <v>0.0</v>
      </c>
      <c r="T32" s="124">
        <v>0.0</v>
      </c>
      <c r="U32" s="124">
        <v>0.0</v>
      </c>
      <c r="V32" s="124">
        <v>0.0</v>
      </c>
      <c r="W32" s="124">
        <v>0.0</v>
      </c>
      <c r="X32" s="123">
        <v>0.0</v>
      </c>
      <c r="Y32" s="124">
        <v>0.0</v>
      </c>
      <c r="Z32" s="124">
        <v>0.0</v>
      </c>
      <c r="AA32" s="124">
        <v>0.0</v>
      </c>
      <c r="AB32" s="124">
        <v>0.0</v>
      </c>
      <c r="AC32" s="124">
        <v>0.0</v>
      </c>
      <c r="AD32" s="124">
        <v>0.0</v>
      </c>
      <c r="AE32" s="124">
        <v>0.0</v>
      </c>
      <c r="AF32" s="124">
        <v>0.0</v>
      </c>
      <c r="AG32" s="124">
        <v>60.0</v>
      </c>
      <c r="AH32" s="124">
        <v>15.0</v>
      </c>
      <c r="AI32" s="124">
        <v>0.0</v>
      </c>
      <c r="AJ32" s="124">
        <v>0.0</v>
      </c>
      <c r="AK32" s="124">
        <v>0.0</v>
      </c>
      <c r="AL32" s="124">
        <v>0.0</v>
      </c>
      <c r="AM32" s="124">
        <v>0.0</v>
      </c>
      <c r="AN32" s="124">
        <v>0.0</v>
      </c>
      <c r="AO32" s="124">
        <v>0.0</v>
      </c>
      <c r="AP32" s="124">
        <v>0.0</v>
      </c>
      <c r="AQ32" s="124">
        <v>0.0</v>
      </c>
    </row>
    <row r="33" ht="15.75" customHeight="1">
      <c r="A33" s="121">
        <f t="shared" si="1"/>
        <v>29</v>
      </c>
      <c r="B33" s="121">
        <v>190.0</v>
      </c>
      <c r="C33" s="122">
        <f t="shared" si="2"/>
        <v>3287</v>
      </c>
      <c r="D33" s="123">
        <v>0.0</v>
      </c>
      <c r="E33" s="124">
        <v>0.0</v>
      </c>
      <c r="F33" s="124">
        <v>0.0</v>
      </c>
      <c r="G33" s="124">
        <v>0.0</v>
      </c>
      <c r="H33" s="124">
        <v>0.0</v>
      </c>
      <c r="I33" s="124">
        <v>0.0</v>
      </c>
      <c r="J33" s="124">
        <v>0.0</v>
      </c>
      <c r="K33" s="124">
        <v>1.0</v>
      </c>
      <c r="L33" s="124">
        <v>0.0</v>
      </c>
      <c r="M33" s="124">
        <v>0.0</v>
      </c>
      <c r="N33" s="124">
        <v>0.0</v>
      </c>
      <c r="O33" s="124">
        <v>0.0</v>
      </c>
      <c r="P33" s="124">
        <v>0.0</v>
      </c>
      <c r="Q33" s="124">
        <v>0.0</v>
      </c>
      <c r="R33" s="124">
        <v>0.0</v>
      </c>
      <c r="S33" s="124">
        <v>0.0</v>
      </c>
      <c r="T33" s="124">
        <v>0.0</v>
      </c>
      <c r="U33" s="124">
        <v>0.0</v>
      </c>
      <c r="V33" s="124">
        <v>0.0</v>
      </c>
      <c r="W33" s="124">
        <v>0.0</v>
      </c>
      <c r="X33" s="123">
        <v>0.0</v>
      </c>
      <c r="Y33" s="124">
        <v>0.0</v>
      </c>
      <c r="Z33" s="124">
        <v>0.0</v>
      </c>
      <c r="AA33" s="124">
        <v>0.0</v>
      </c>
      <c r="AB33" s="124">
        <v>0.0</v>
      </c>
      <c r="AC33" s="124">
        <v>0.0</v>
      </c>
      <c r="AD33" s="124">
        <v>0.0</v>
      </c>
      <c r="AE33" s="124">
        <v>0.0</v>
      </c>
      <c r="AF33" s="124">
        <v>0.0</v>
      </c>
      <c r="AG33" s="124">
        <v>120.0</v>
      </c>
      <c r="AH33" s="124">
        <v>0.0</v>
      </c>
      <c r="AI33" s="124">
        <v>0.0</v>
      </c>
      <c r="AJ33" s="124">
        <v>15.0</v>
      </c>
      <c r="AK33" s="124">
        <v>0.0</v>
      </c>
      <c r="AL33" s="124">
        <v>0.0</v>
      </c>
      <c r="AM33" s="124">
        <v>0.0</v>
      </c>
      <c r="AN33" s="124">
        <v>0.0</v>
      </c>
      <c r="AO33" s="124">
        <v>0.0</v>
      </c>
      <c r="AP33" s="124">
        <v>0.0</v>
      </c>
      <c r="AQ33" s="124">
        <v>0.0</v>
      </c>
    </row>
    <row r="34" ht="15.75" customHeight="1">
      <c r="A34" s="121">
        <f t="shared" si="1"/>
        <v>30</v>
      </c>
      <c r="B34" s="121">
        <v>270.0</v>
      </c>
      <c r="C34" s="122">
        <f t="shared" si="2"/>
        <v>3557</v>
      </c>
      <c r="D34" s="123">
        <v>40.0</v>
      </c>
      <c r="E34" s="124">
        <v>0.0</v>
      </c>
      <c r="F34" s="124">
        <v>0.0</v>
      </c>
      <c r="G34" s="124">
        <v>0.0</v>
      </c>
      <c r="H34" s="124">
        <v>0.0</v>
      </c>
      <c r="I34" s="124">
        <v>0.0</v>
      </c>
      <c r="J34" s="124">
        <v>0.0</v>
      </c>
      <c r="K34" s="124">
        <v>0.0</v>
      </c>
      <c r="L34" s="124">
        <v>0.0</v>
      </c>
      <c r="M34" s="124">
        <v>0.0</v>
      </c>
      <c r="N34" s="124">
        <v>0.0</v>
      </c>
      <c r="O34" s="124">
        <v>0.0</v>
      </c>
      <c r="P34" s="124">
        <v>0.0</v>
      </c>
      <c r="Q34" s="124">
        <v>0.0</v>
      </c>
      <c r="R34" s="124">
        <v>0.0</v>
      </c>
      <c r="S34" s="124">
        <v>0.0</v>
      </c>
      <c r="T34" s="124">
        <v>0.0</v>
      </c>
      <c r="U34" s="124">
        <v>0.0</v>
      </c>
      <c r="V34" s="124">
        <v>0.0</v>
      </c>
      <c r="W34" s="124">
        <v>0.0</v>
      </c>
      <c r="X34" s="123">
        <v>100.0</v>
      </c>
      <c r="Y34" s="124">
        <v>0.0</v>
      </c>
      <c r="Z34" s="124">
        <v>0.0</v>
      </c>
      <c r="AA34" s="124">
        <v>0.0</v>
      </c>
      <c r="AB34" s="124">
        <v>0.0</v>
      </c>
      <c r="AC34" s="124">
        <v>0.0</v>
      </c>
      <c r="AD34" s="124">
        <v>0.0</v>
      </c>
      <c r="AE34" s="124">
        <v>0.0</v>
      </c>
      <c r="AF34" s="124">
        <v>1.0</v>
      </c>
      <c r="AG34" s="124">
        <v>0.0</v>
      </c>
      <c r="AH34" s="124">
        <v>0.0</v>
      </c>
      <c r="AI34" s="124">
        <v>0.0</v>
      </c>
      <c r="AJ34" s="124">
        <v>0.0</v>
      </c>
      <c r="AK34" s="124">
        <v>1.0</v>
      </c>
      <c r="AL34" s="124">
        <v>0.0</v>
      </c>
      <c r="AM34" s="124">
        <v>0.0</v>
      </c>
      <c r="AN34" s="124">
        <v>0.0</v>
      </c>
      <c r="AO34" s="124">
        <v>0.0</v>
      </c>
      <c r="AP34" s="124">
        <v>0.0</v>
      </c>
      <c r="AQ34" s="124">
        <v>0.0</v>
      </c>
    </row>
    <row r="35" ht="15.75" customHeight="1">
      <c r="A35" s="125" t="s">
        <v>111</v>
      </c>
      <c r="B35" s="126">
        <f>SUM(B5:B34)</f>
        <v>3557</v>
      </c>
      <c r="C35" s="127" t="s">
        <v>112</v>
      </c>
      <c r="D35" s="128">
        <v>130.0</v>
      </c>
      <c r="E35" s="126">
        <v>0.0</v>
      </c>
      <c r="F35" s="126">
        <v>0.0</v>
      </c>
      <c r="G35" s="126">
        <v>4.0</v>
      </c>
      <c r="H35" s="126">
        <v>5.0</v>
      </c>
      <c r="I35" s="126">
        <v>2.0</v>
      </c>
      <c r="J35" s="126">
        <v>1.0</v>
      </c>
      <c r="K35" s="126">
        <v>2.0</v>
      </c>
      <c r="L35" s="126">
        <v>0.0</v>
      </c>
      <c r="M35" s="126">
        <v>165.0</v>
      </c>
      <c r="N35" s="126">
        <v>35.0</v>
      </c>
      <c r="O35" s="126">
        <v>15.0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126">
        <v>0.0</v>
      </c>
      <c r="V35" s="126">
        <v>0.0</v>
      </c>
      <c r="W35" s="127">
        <v>0.0</v>
      </c>
      <c r="X35" s="128">
        <v>300.0</v>
      </c>
      <c r="Y35" s="126">
        <v>0.0</v>
      </c>
      <c r="Z35" s="126">
        <v>0.0</v>
      </c>
      <c r="AA35" s="126">
        <v>4.0</v>
      </c>
      <c r="AB35" s="126">
        <v>3.0</v>
      </c>
      <c r="AC35" s="126">
        <v>5.0</v>
      </c>
      <c r="AD35" s="126">
        <v>4.0</v>
      </c>
      <c r="AE35" s="126">
        <v>4.0</v>
      </c>
      <c r="AF35" s="126">
        <v>4.0</v>
      </c>
      <c r="AG35" s="126">
        <v>600.0</v>
      </c>
      <c r="AH35" s="126">
        <v>50.0</v>
      </c>
      <c r="AI35" s="126">
        <v>65.0</v>
      </c>
      <c r="AJ35" s="126">
        <v>35.0</v>
      </c>
      <c r="AK35" s="126">
        <v>1.0</v>
      </c>
      <c r="AL35" s="126">
        <v>0.0</v>
      </c>
      <c r="AM35" s="126">
        <v>0.0</v>
      </c>
      <c r="AN35" s="126">
        <v>0.0</v>
      </c>
      <c r="AO35" s="126">
        <v>0.0</v>
      </c>
      <c r="AP35" s="126">
        <v>0.0</v>
      </c>
      <c r="AQ35" s="126">
        <v>0.0</v>
      </c>
    </row>
    <row r="36" ht="15.75" customHeight="1"/>
    <row r="37" ht="15.75" customHeight="1"/>
    <row r="38" ht="15.75" customHeight="1"/>
    <row r="39" ht="15.75" customHeight="1"/>
    <row r="40" ht="15.75" customHeight="1"/>
  </sheetData>
  <conditionalFormatting sqref="D5:AQ34">
    <cfRule type="cellIs" dxfId="5" priority="1" operator="greaterThan">
      <formula>0</formula>
    </cfRule>
  </conditionalFormatting>
  <conditionalFormatting sqref="A5:AQ34">
    <cfRule type="expression" dxfId="6" priority="2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7" t="s">
        <v>113</v>
      </c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</row>
    <row r="2">
      <c r="A2" s="130" t="s">
        <v>114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</row>
    <row r="3">
      <c r="A3" s="132" t="s">
        <v>115</v>
      </c>
      <c r="B3" s="133">
        <v>50.0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</row>
    <row r="4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</row>
    <row r="5">
      <c r="A5" s="130" t="s">
        <v>116</v>
      </c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</row>
    <row r="6">
      <c r="A6" s="134" t="s">
        <v>117</v>
      </c>
      <c r="B6" s="135" t="s">
        <v>82</v>
      </c>
      <c r="C6" s="136" t="s">
        <v>68</v>
      </c>
      <c r="D6" s="136" t="s">
        <v>103</v>
      </c>
      <c r="E6" s="136" t="s">
        <v>69</v>
      </c>
      <c r="F6" s="136" t="s">
        <v>70</v>
      </c>
      <c r="G6" s="136" t="s">
        <v>71</v>
      </c>
      <c r="H6" s="136" t="s">
        <v>72</v>
      </c>
      <c r="I6" s="136" t="s">
        <v>73</v>
      </c>
      <c r="J6" s="136" t="s">
        <v>74</v>
      </c>
      <c r="K6" s="136" t="s">
        <v>75</v>
      </c>
      <c r="L6" s="136" t="s">
        <v>76</v>
      </c>
      <c r="M6" s="136" t="s">
        <v>77</v>
      </c>
      <c r="N6" s="136" t="s">
        <v>78</v>
      </c>
      <c r="O6" s="136" t="s">
        <v>118</v>
      </c>
      <c r="P6" s="136" t="s">
        <v>104</v>
      </c>
      <c r="Q6" s="136" t="s">
        <v>105</v>
      </c>
      <c r="R6" s="136" t="s">
        <v>106</v>
      </c>
      <c r="S6" s="136" t="s">
        <v>107</v>
      </c>
      <c r="T6" s="136" t="s">
        <v>108</v>
      </c>
      <c r="U6" s="136" t="s">
        <v>109</v>
      </c>
      <c r="V6" s="136" t="s">
        <v>110</v>
      </c>
    </row>
    <row r="7">
      <c r="A7" s="137" t="s">
        <v>119</v>
      </c>
      <c r="B7" s="138">
        <v>500.0</v>
      </c>
      <c r="C7" s="139">
        <v>0.0</v>
      </c>
      <c r="D7" s="139">
        <v>0.0</v>
      </c>
      <c r="E7" s="139">
        <v>0.0</v>
      </c>
      <c r="F7" s="139">
        <v>0.0</v>
      </c>
      <c r="G7" s="140">
        <v>1.0</v>
      </c>
      <c r="H7" s="139">
        <v>0.0</v>
      </c>
      <c r="I7" s="139">
        <v>0.0</v>
      </c>
      <c r="J7" s="139">
        <v>0.0</v>
      </c>
      <c r="K7" s="139">
        <v>0.0</v>
      </c>
      <c r="L7" s="139">
        <v>0.0</v>
      </c>
      <c r="M7" s="139">
        <v>0.0</v>
      </c>
      <c r="N7" s="139">
        <v>0.0</v>
      </c>
      <c r="O7" s="139">
        <v>0.0</v>
      </c>
      <c r="P7" s="140">
        <v>1.0</v>
      </c>
      <c r="Q7" s="139">
        <v>0.0</v>
      </c>
      <c r="R7" s="139">
        <v>0.0</v>
      </c>
      <c r="S7" s="139">
        <v>0.0</v>
      </c>
      <c r="T7" s="139">
        <v>0.0</v>
      </c>
      <c r="U7" s="139">
        <v>0.0</v>
      </c>
      <c r="V7" s="139">
        <v>0.0</v>
      </c>
    </row>
    <row r="8">
      <c r="A8" s="141" t="s">
        <v>120</v>
      </c>
      <c r="B8" s="138">
        <v>300.0</v>
      </c>
      <c r="C8" s="142">
        <v>0.0</v>
      </c>
      <c r="D8" s="142">
        <v>0.0</v>
      </c>
      <c r="E8" s="142">
        <v>0.0</v>
      </c>
      <c r="F8" s="142">
        <v>0.0</v>
      </c>
      <c r="G8" s="142">
        <v>0.0</v>
      </c>
      <c r="H8" s="142">
        <v>0.0</v>
      </c>
      <c r="I8" s="140">
        <v>1.0</v>
      </c>
      <c r="J8" s="142">
        <v>0.0</v>
      </c>
      <c r="K8" s="142">
        <v>0.0</v>
      </c>
      <c r="L8" s="142">
        <v>0.0</v>
      </c>
      <c r="M8" s="142">
        <v>0.0</v>
      </c>
      <c r="N8" s="142">
        <v>0.0</v>
      </c>
      <c r="O8" s="142">
        <v>0.0</v>
      </c>
      <c r="P8" s="142">
        <v>0.0</v>
      </c>
      <c r="Q8" s="142">
        <v>0.0</v>
      </c>
      <c r="R8" s="142">
        <v>0.0</v>
      </c>
      <c r="S8" s="142">
        <v>0.0</v>
      </c>
      <c r="T8" s="142">
        <v>0.0</v>
      </c>
      <c r="U8" s="142">
        <v>0.0</v>
      </c>
      <c r="V8" s="142">
        <v>0.0</v>
      </c>
    </row>
    <row r="9">
      <c r="A9" s="137" t="s">
        <v>121</v>
      </c>
      <c r="B9" s="138">
        <v>200.0</v>
      </c>
      <c r="C9" s="139">
        <v>0.0</v>
      </c>
      <c r="D9" s="139">
        <v>0.0</v>
      </c>
      <c r="E9" s="139">
        <v>0.0</v>
      </c>
      <c r="F9" s="139">
        <v>0.0</v>
      </c>
      <c r="G9" s="139">
        <v>0.0</v>
      </c>
      <c r="H9" s="139">
        <v>0.0</v>
      </c>
      <c r="I9" s="140">
        <v>1.0</v>
      </c>
      <c r="J9" s="139">
        <v>0.0</v>
      </c>
      <c r="K9" s="139">
        <v>0.0</v>
      </c>
      <c r="L9" s="139">
        <v>0.0</v>
      </c>
      <c r="M9" s="139">
        <v>0.0</v>
      </c>
      <c r="N9" s="139">
        <v>0.0</v>
      </c>
      <c r="O9" s="139">
        <v>0.0</v>
      </c>
      <c r="P9" s="139">
        <v>0.0</v>
      </c>
      <c r="Q9" s="139">
        <v>0.0</v>
      </c>
      <c r="R9" s="139">
        <v>0.0</v>
      </c>
      <c r="S9" s="139">
        <v>0.0</v>
      </c>
      <c r="T9" s="139">
        <v>0.0</v>
      </c>
      <c r="U9" s="139">
        <v>0.0</v>
      </c>
      <c r="V9" s="139">
        <v>0.0</v>
      </c>
    </row>
    <row r="10">
      <c r="A10" s="141" t="s">
        <v>122</v>
      </c>
      <c r="B10" s="138">
        <v>175.0</v>
      </c>
      <c r="C10" s="142">
        <v>0.0</v>
      </c>
      <c r="D10" s="142">
        <v>0.0</v>
      </c>
      <c r="E10" s="142">
        <v>0.0</v>
      </c>
      <c r="F10" s="142">
        <v>0.0</v>
      </c>
      <c r="G10" s="142">
        <v>0.0</v>
      </c>
      <c r="H10" s="142">
        <v>0.0</v>
      </c>
      <c r="I10" s="140">
        <v>1.0</v>
      </c>
      <c r="J10" s="142">
        <v>0.0</v>
      </c>
      <c r="K10" s="142">
        <v>0.0</v>
      </c>
      <c r="L10" s="142">
        <v>0.0</v>
      </c>
      <c r="M10" s="142">
        <v>0.0</v>
      </c>
      <c r="N10" s="142">
        <v>0.0</v>
      </c>
      <c r="O10" s="142">
        <v>0.0</v>
      </c>
      <c r="P10" s="142">
        <v>0.0</v>
      </c>
      <c r="Q10" s="142">
        <v>0.0</v>
      </c>
      <c r="R10" s="142">
        <v>0.0</v>
      </c>
      <c r="S10" s="142">
        <v>0.0</v>
      </c>
      <c r="T10" s="142">
        <v>0.0</v>
      </c>
      <c r="U10" s="142">
        <v>0.0</v>
      </c>
      <c r="V10" s="142">
        <v>0.0</v>
      </c>
    </row>
    <row r="11">
      <c r="A11" s="137" t="s">
        <v>123</v>
      </c>
      <c r="B11" s="138">
        <v>150.0</v>
      </c>
      <c r="C11" s="139">
        <v>0.0</v>
      </c>
      <c r="D11" s="139">
        <v>0.0</v>
      </c>
      <c r="E11" s="139">
        <v>0.0</v>
      </c>
      <c r="F11" s="139">
        <v>0.0</v>
      </c>
      <c r="G11" s="139">
        <v>0.0</v>
      </c>
      <c r="H11" s="139">
        <v>0.0</v>
      </c>
      <c r="I11" s="140">
        <v>1.0</v>
      </c>
      <c r="J11" s="139">
        <v>0.0</v>
      </c>
      <c r="K11" s="139">
        <v>0.0</v>
      </c>
      <c r="L11" s="139">
        <v>0.0</v>
      </c>
      <c r="M11" s="139">
        <v>0.0</v>
      </c>
      <c r="N11" s="139">
        <v>0.0</v>
      </c>
      <c r="O11" s="139">
        <v>0.0</v>
      </c>
      <c r="P11" s="139">
        <v>0.0</v>
      </c>
      <c r="Q11" s="139">
        <v>0.0</v>
      </c>
      <c r="R11" s="139">
        <v>0.0</v>
      </c>
      <c r="S11" s="139">
        <v>0.0</v>
      </c>
      <c r="T11" s="139">
        <v>0.0</v>
      </c>
      <c r="U11" s="139">
        <v>0.0</v>
      </c>
      <c r="V11" s="139">
        <v>0.0</v>
      </c>
    </row>
    <row r="12">
      <c r="A12" s="141" t="s">
        <v>124</v>
      </c>
      <c r="B12" s="138">
        <v>125.0</v>
      </c>
      <c r="C12" s="142">
        <v>0.0</v>
      </c>
      <c r="D12" s="142">
        <v>0.0</v>
      </c>
      <c r="E12" s="142">
        <v>0.0</v>
      </c>
      <c r="F12" s="142">
        <v>0.0</v>
      </c>
      <c r="G12" s="142">
        <v>0.0</v>
      </c>
      <c r="H12" s="142">
        <v>0.0</v>
      </c>
      <c r="I12" s="140">
        <v>1.0</v>
      </c>
      <c r="J12" s="142">
        <v>0.0</v>
      </c>
      <c r="K12" s="142">
        <v>0.0</v>
      </c>
      <c r="L12" s="142">
        <v>0.0</v>
      </c>
      <c r="M12" s="142">
        <v>0.0</v>
      </c>
      <c r="N12" s="142">
        <v>0.0</v>
      </c>
      <c r="O12" s="142">
        <v>0.0</v>
      </c>
      <c r="P12" s="142">
        <v>0.0</v>
      </c>
      <c r="Q12" s="142">
        <v>0.0</v>
      </c>
      <c r="R12" s="142">
        <v>0.0</v>
      </c>
      <c r="S12" s="142">
        <v>0.0</v>
      </c>
      <c r="T12" s="142">
        <v>0.0</v>
      </c>
      <c r="U12" s="142">
        <v>0.0</v>
      </c>
      <c r="V12" s="142">
        <v>0.0</v>
      </c>
    </row>
    <row r="13">
      <c r="A13" s="137" t="s">
        <v>125</v>
      </c>
      <c r="B13" s="138">
        <v>100.0</v>
      </c>
      <c r="C13" s="139">
        <v>0.0</v>
      </c>
      <c r="D13" s="139">
        <v>0.0</v>
      </c>
      <c r="E13" s="139">
        <v>0.0</v>
      </c>
      <c r="F13" s="139">
        <v>0.0</v>
      </c>
      <c r="G13" s="139">
        <v>0.0</v>
      </c>
      <c r="H13" s="139">
        <v>0.0</v>
      </c>
      <c r="I13" s="140">
        <v>1.0</v>
      </c>
      <c r="J13" s="139">
        <v>0.0</v>
      </c>
      <c r="K13" s="139">
        <v>0.0</v>
      </c>
      <c r="L13" s="139">
        <v>0.0</v>
      </c>
      <c r="M13" s="139">
        <v>0.0</v>
      </c>
      <c r="N13" s="139">
        <v>0.0</v>
      </c>
      <c r="O13" s="139">
        <v>0.0</v>
      </c>
      <c r="P13" s="139">
        <v>0.0</v>
      </c>
      <c r="Q13" s="139">
        <v>0.0</v>
      </c>
      <c r="R13" s="139">
        <v>0.0</v>
      </c>
      <c r="S13" s="139">
        <v>0.0</v>
      </c>
      <c r="T13" s="139">
        <v>0.0</v>
      </c>
      <c r="U13" s="139">
        <v>0.0</v>
      </c>
      <c r="V13" s="139">
        <v>0.0</v>
      </c>
    </row>
    <row r="14">
      <c r="A14" s="141" t="s">
        <v>126</v>
      </c>
      <c r="B14" s="138">
        <v>75.0</v>
      </c>
      <c r="C14" s="142">
        <v>0.0</v>
      </c>
      <c r="D14" s="142">
        <v>0.0</v>
      </c>
      <c r="E14" s="142">
        <v>0.0</v>
      </c>
      <c r="F14" s="142">
        <v>0.0</v>
      </c>
      <c r="G14" s="142">
        <v>0.0</v>
      </c>
      <c r="H14" s="142">
        <v>0.0</v>
      </c>
      <c r="I14" s="140">
        <v>1.0</v>
      </c>
      <c r="J14" s="142">
        <v>0.0</v>
      </c>
      <c r="K14" s="142">
        <v>0.0</v>
      </c>
      <c r="L14" s="142">
        <v>0.0</v>
      </c>
      <c r="M14" s="142">
        <v>0.0</v>
      </c>
      <c r="N14" s="142">
        <v>0.0</v>
      </c>
      <c r="O14" s="142">
        <v>0.0</v>
      </c>
      <c r="P14" s="142">
        <v>0.0</v>
      </c>
      <c r="Q14" s="142">
        <v>0.0</v>
      </c>
      <c r="R14" s="142">
        <v>0.0</v>
      </c>
      <c r="S14" s="142">
        <v>0.0</v>
      </c>
      <c r="T14" s="142">
        <v>0.0</v>
      </c>
      <c r="U14" s="142">
        <v>0.0</v>
      </c>
      <c r="V14" s="142">
        <v>0.0</v>
      </c>
    </row>
    <row r="15">
      <c r="A15" s="137" t="s">
        <v>127</v>
      </c>
      <c r="B15" s="138">
        <v>50.0</v>
      </c>
      <c r="C15" s="139">
        <v>0.0</v>
      </c>
      <c r="D15" s="139">
        <v>0.0</v>
      </c>
      <c r="E15" s="139">
        <v>0.0</v>
      </c>
      <c r="F15" s="139">
        <v>0.0</v>
      </c>
      <c r="G15" s="139">
        <v>0.0</v>
      </c>
      <c r="H15" s="139">
        <v>0.0</v>
      </c>
      <c r="I15" s="140">
        <v>1.0</v>
      </c>
      <c r="J15" s="139">
        <v>0.0</v>
      </c>
      <c r="K15" s="139">
        <v>0.0</v>
      </c>
      <c r="L15" s="139">
        <v>0.0</v>
      </c>
      <c r="M15" s="139">
        <v>0.0</v>
      </c>
      <c r="N15" s="139">
        <v>0.0</v>
      </c>
      <c r="O15" s="139">
        <v>0.0</v>
      </c>
      <c r="P15" s="139">
        <v>0.0</v>
      </c>
      <c r="Q15" s="139">
        <v>0.0</v>
      </c>
      <c r="R15" s="139">
        <v>0.0</v>
      </c>
      <c r="S15" s="139">
        <v>0.0</v>
      </c>
      <c r="T15" s="139">
        <v>0.0</v>
      </c>
      <c r="U15" s="139">
        <v>0.0</v>
      </c>
      <c r="V15" s="139">
        <v>0.0</v>
      </c>
    </row>
    <row r="16">
      <c r="A16" s="141" t="s">
        <v>128</v>
      </c>
      <c r="B16" s="138">
        <v>25.0</v>
      </c>
      <c r="C16" s="142">
        <v>0.0</v>
      </c>
      <c r="D16" s="142">
        <v>0.0</v>
      </c>
      <c r="E16" s="142">
        <v>0.0</v>
      </c>
      <c r="F16" s="142">
        <v>0.0</v>
      </c>
      <c r="G16" s="142">
        <v>0.0</v>
      </c>
      <c r="H16" s="142">
        <v>0.0</v>
      </c>
      <c r="I16" s="140">
        <v>1.0</v>
      </c>
      <c r="J16" s="142">
        <v>0.0</v>
      </c>
      <c r="K16" s="142">
        <v>0.0</v>
      </c>
      <c r="L16" s="142">
        <v>0.0</v>
      </c>
      <c r="M16" s="142">
        <v>0.0</v>
      </c>
      <c r="N16" s="142">
        <v>0.0</v>
      </c>
      <c r="O16" s="142">
        <v>0.0</v>
      </c>
      <c r="P16" s="142">
        <v>0.0</v>
      </c>
      <c r="Q16" s="142">
        <v>0.0</v>
      </c>
      <c r="R16" s="142">
        <v>0.0</v>
      </c>
      <c r="S16" s="142">
        <v>0.0</v>
      </c>
      <c r="T16" s="142">
        <v>0.0</v>
      </c>
      <c r="U16" s="142">
        <v>0.0</v>
      </c>
      <c r="V16" s="142">
        <v>0.0</v>
      </c>
    </row>
    <row r="17">
      <c r="A17" s="137" t="s">
        <v>129</v>
      </c>
      <c r="B17" s="143">
        <v>0.0</v>
      </c>
      <c r="C17" s="139">
        <v>0.0</v>
      </c>
      <c r="D17" s="139">
        <v>0.0</v>
      </c>
      <c r="E17" s="139">
        <v>0.0</v>
      </c>
      <c r="F17" s="139">
        <v>0.0</v>
      </c>
      <c r="G17" s="139">
        <v>0.0</v>
      </c>
      <c r="H17" s="139">
        <v>0.0</v>
      </c>
      <c r="I17" s="139">
        <v>0.0</v>
      </c>
      <c r="J17" s="139">
        <v>0.0</v>
      </c>
      <c r="K17" s="139">
        <v>0.0</v>
      </c>
      <c r="L17" s="139">
        <v>0.0</v>
      </c>
      <c r="M17" s="139">
        <v>0.0</v>
      </c>
      <c r="N17" s="139">
        <v>0.0</v>
      </c>
      <c r="O17" s="139">
        <v>0.0</v>
      </c>
      <c r="P17" s="139">
        <v>0.0</v>
      </c>
      <c r="Q17" s="139">
        <v>0.0</v>
      </c>
      <c r="R17" s="139">
        <v>0.0</v>
      </c>
      <c r="S17" s="139">
        <v>0.0</v>
      </c>
      <c r="T17" s="139">
        <v>0.0</v>
      </c>
      <c r="U17" s="139">
        <v>0.0</v>
      </c>
      <c r="V17" s="139">
        <v>0.0</v>
      </c>
    </row>
    <row r="18">
      <c r="A18" s="141" t="s">
        <v>130</v>
      </c>
      <c r="B18" s="144">
        <v>0.0</v>
      </c>
      <c r="C18" s="142">
        <v>0.0</v>
      </c>
      <c r="D18" s="142">
        <v>0.0</v>
      </c>
      <c r="E18" s="142">
        <v>0.0</v>
      </c>
      <c r="F18" s="142">
        <v>0.0</v>
      </c>
      <c r="G18" s="142">
        <v>0.0</v>
      </c>
      <c r="H18" s="140">
        <v>1.0</v>
      </c>
      <c r="I18" s="142">
        <v>0.0</v>
      </c>
      <c r="J18" s="142">
        <v>0.0</v>
      </c>
      <c r="K18" s="142">
        <v>0.0</v>
      </c>
      <c r="L18" s="142">
        <v>0.0</v>
      </c>
      <c r="M18" s="142">
        <v>0.0</v>
      </c>
      <c r="N18" s="142">
        <v>0.0</v>
      </c>
      <c r="O18" s="142">
        <v>0.0</v>
      </c>
      <c r="P18" s="142">
        <v>0.0</v>
      </c>
      <c r="Q18" s="142">
        <v>0.0</v>
      </c>
      <c r="R18" s="142">
        <v>0.0</v>
      </c>
      <c r="S18" s="142">
        <v>0.0</v>
      </c>
      <c r="T18" s="142">
        <v>0.0</v>
      </c>
      <c r="U18" s="142">
        <v>0.0</v>
      </c>
      <c r="V18" s="142">
        <v>0.0</v>
      </c>
    </row>
    <row r="19">
      <c r="A19" s="137" t="s">
        <v>131</v>
      </c>
      <c r="B19" s="143">
        <v>0.0</v>
      </c>
      <c r="C19" s="139">
        <v>0.0</v>
      </c>
      <c r="D19" s="139">
        <v>0.0</v>
      </c>
      <c r="E19" s="139">
        <v>0.0</v>
      </c>
      <c r="F19" s="139">
        <v>0.0</v>
      </c>
      <c r="G19" s="139">
        <v>0.0</v>
      </c>
      <c r="H19" s="140">
        <v>1.0</v>
      </c>
      <c r="I19" s="139">
        <v>0.0</v>
      </c>
      <c r="J19" s="139">
        <v>0.0</v>
      </c>
      <c r="K19" s="139">
        <v>0.0</v>
      </c>
      <c r="L19" s="139">
        <v>0.0</v>
      </c>
      <c r="M19" s="139">
        <v>0.0</v>
      </c>
      <c r="N19" s="139">
        <v>0.0</v>
      </c>
      <c r="O19" s="139">
        <v>0.0</v>
      </c>
      <c r="P19" s="139">
        <v>0.0</v>
      </c>
      <c r="Q19" s="139">
        <v>0.0</v>
      </c>
      <c r="R19" s="139">
        <v>0.0</v>
      </c>
      <c r="S19" s="139">
        <v>0.0</v>
      </c>
      <c r="T19" s="139">
        <v>0.0</v>
      </c>
      <c r="U19" s="139">
        <v>0.0</v>
      </c>
      <c r="V19" s="139">
        <v>0.0</v>
      </c>
    </row>
    <row r="20">
      <c r="A20" s="141" t="s">
        <v>132</v>
      </c>
      <c r="B20" s="144">
        <v>0.0</v>
      </c>
      <c r="C20" s="142">
        <v>0.0</v>
      </c>
      <c r="D20" s="142">
        <v>0.0</v>
      </c>
      <c r="E20" s="142">
        <v>0.0</v>
      </c>
      <c r="F20" s="142">
        <v>0.0</v>
      </c>
      <c r="G20" s="142">
        <v>0.0</v>
      </c>
      <c r="H20" s="140">
        <v>1.0</v>
      </c>
      <c r="I20" s="142">
        <v>0.0</v>
      </c>
      <c r="J20" s="142">
        <v>0.0</v>
      </c>
      <c r="K20" s="142">
        <v>0.0</v>
      </c>
      <c r="L20" s="142">
        <v>0.0</v>
      </c>
      <c r="M20" s="142">
        <v>0.0</v>
      </c>
      <c r="N20" s="142">
        <v>0.0</v>
      </c>
      <c r="O20" s="142">
        <v>0.0</v>
      </c>
      <c r="P20" s="142">
        <v>0.0</v>
      </c>
      <c r="Q20" s="142">
        <v>0.0</v>
      </c>
      <c r="R20" s="142">
        <v>0.0</v>
      </c>
      <c r="S20" s="142">
        <v>0.0</v>
      </c>
      <c r="T20" s="142">
        <v>0.0</v>
      </c>
      <c r="U20" s="142">
        <v>0.0</v>
      </c>
      <c r="V20" s="142">
        <v>0.0</v>
      </c>
    </row>
    <row r="21">
      <c r="A21" s="137" t="s">
        <v>133</v>
      </c>
      <c r="B21" s="143">
        <v>0.0</v>
      </c>
      <c r="C21" s="139">
        <v>0.0</v>
      </c>
      <c r="D21" s="139">
        <v>0.0</v>
      </c>
      <c r="E21" s="139">
        <v>0.0</v>
      </c>
      <c r="F21" s="139">
        <v>0.0</v>
      </c>
      <c r="G21" s="139">
        <v>0.0</v>
      </c>
      <c r="H21" s="140">
        <v>1.0</v>
      </c>
      <c r="I21" s="139">
        <v>0.0</v>
      </c>
      <c r="J21" s="139">
        <v>0.0</v>
      </c>
      <c r="K21" s="139">
        <v>0.0</v>
      </c>
      <c r="L21" s="139">
        <v>0.0</v>
      </c>
      <c r="M21" s="139">
        <v>0.0</v>
      </c>
      <c r="N21" s="139">
        <v>0.0</v>
      </c>
      <c r="O21" s="139">
        <v>0.0</v>
      </c>
      <c r="P21" s="139">
        <v>0.0</v>
      </c>
      <c r="Q21" s="139">
        <v>0.0</v>
      </c>
      <c r="R21" s="139">
        <v>0.0</v>
      </c>
      <c r="S21" s="139">
        <v>0.0</v>
      </c>
      <c r="T21" s="139">
        <v>0.0</v>
      </c>
      <c r="U21" s="139">
        <v>0.0</v>
      </c>
      <c r="V21" s="139">
        <v>0.0</v>
      </c>
    </row>
  </sheetData>
  <mergeCells count="3">
    <mergeCell ref="A1:F1"/>
    <mergeCell ref="A2:B2"/>
    <mergeCell ref="A5:D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79" t="s">
        <v>134</v>
      </c>
    </row>
    <row r="2" ht="19.5" customHeight="1">
      <c r="A2" s="112" t="s">
        <v>114</v>
      </c>
      <c r="B2" s="112"/>
    </row>
    <row r="3">
      <c r="A3" s="145" t="s">
        <v>135</v>
      </c>
      <c r="B3" s="146">
        <v>15.0</v>
      </c>
    </row>
    <row r="4">
      <c r="A4" s="145" t="s">
        <v>136</v>
      </c>
      <c r="B4" s="146">
        <v>5.0</v>
      </c>
    </row>
    <row r="5">
      <c r="A5" s="145" t="s">
        <v>137</v>
      </c>
      <c r="B5" s="146" t="b">
        <f>TRUE()</f>
        <v>1</v>
      </c>
    </row>
    <row r="6">
      <c r="A6" s="145" t="s">
        <v>138</v>
      </c>
      <c r="B6" s="146">
        <v>10.0</v>
      </c>
    </row>
    <row r="7">
      <c r="A7" s="145" t="s">
        <v>139</v>
      </c>
      <c r="B7" s="146">
        <v>4.0</v>
      </c>
    </row>
    <row r="8">
      <c r="A8" s="145" t="s">
        <v>140</v>
      </c>
      <c r="B8" s="146">
        <f>SUMIFS($C$14:$C$88,$B$14:$B$88,"1st")</f>
        <v>185</v>
      </c>
    </row>
    <row r="9">
      <c r="A9" s="145" t="s">
        <v>141</v>
      </c>
      <c r="B9" s="146">
        <f>SUMIFS($C$14:$C$88,$B$14:$B$88,"1st",$A$14:$A$88,"&gt;="&amp;$B$6)</f>
        <v>87</v>
      </c>
    </row>
    <row r="10">
      <c r="A10" s="145" t="s">
        <v>142</v>
      </c>
      <c r="B10" s="146">
        <f>SUMIFS($C$14:$C$88,$B$14:$B$88,"1st",$A$14:$A$88,"&lt;="&amp;$B$7)</f>
        <v>36</v>
      </c>
    </row>
    <row r="12" ht="19.5" customHeight="1">
      <c r="A12" s="112" t="s">
        <v>116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</row>
    <row r="13">
      <c r="A13" s="147" t="s">
        <v>143</v>
      </c>
      <c r="B13" s="147" t="s">
        <v>144</v>
      </c>
      <c r="C13" s="147" t="s">
        <v>145</v>
      </c>
      <c r="D13" s="117" t="s">
        <v>146</v>
      </c>
      <c r="E13" s="118" t="s">
        <v>82</v>
      </c>
      <c r="F13" s="119" t="s">
        <v>68</v>
      </c>
      <c r="G13" s="119" t="s">
        <v>103</v>
      </c>
      <c r="H13" s="119" t="s">
        <v>69</v>
      </c>
      <c r="I13" s="119" t="s">
        <v>70</v>
      </c>
      <c r="J13" s="119" t="s">
        <v>71</v>
      </c>
      <c r="K13" s="119" t="s">
        <v>72</v>
      </c>
      <c r="L13" s="119" t="s">
        <v>73</v>
      </c>
      <c r="M13" s="119" t="s">
        <v>74</v>
      </c>
      <c r="N13" s="119" t="s">
        <v>75</v>
      </c>
      <c r="O13" s="119" t="s">
        <v>76</v>
      </c>
      <c r="P13" s="119" t="s">
        <v>77</v>
      </c>
      <c r="Q13" s="119" t="s">
        <v>78</v>
      </c>
      <c r="R13" s="119" t="s">
        <v>104</v>
      </c>
      <c r="S13" s="119" t="s">
        <v>105</v>
      </c>
      <c r="T13" s="119" t="s">
        <v>106</v>
      </c>
      <c r="U13" s="119" t="s">
        <v>107</v>
      </c>
      <c r="V13" s="119" t="s">
        <v>108</v>
      </c>
      <c r="W13" s="119" t="s">
        <v>109</v>
      </c>
      <c r="X13" s="119" t="s">
        <v>110</v>
      </c>
      <c r="Y13" s="148"/>
      <c r="Z13" s="148"/>
    </row>
    <row r="14">
      <c r="A14" s="121">
        <v>1.0</v>
      </c>
      <c r="B14" s="121" t="s">
        <v>147</v>
      </c>
      <c r="C14" s="121">
        <v>5.0</v>
      </c>
      <c r="D14" s="122">
        <v>5.0</v>
      </c>
      <c r="E14" s="149">
        <v>30.0</v>
      </c>
      <c r="F14" s="121">
        <v>0.0</v>
      </c>
      <c r="G14" s="121">
        <v>0.0</v>
      </c>
      <c r="H14" s="121">
        <v>0.0</v>
      </c>
      <c r="I14" s="121">
        <v>0.0</v>
      </c>
      <c r="J14" s="121">
        <v>0.0</v>
      </c>
      <c r="K14" s="121">
        <v>0.0</v>
      </c>
      <c r="L14" s="121">
        <v>0.0</v>
      </c>
      <c r="M14" s="121">
        <v>0.0</v>
      </c>
      <c r="N14" s="121">
        <v>0.0</v>
      </c>
      <c r="O14" s="121">
        <v>0.0</v>
      </c>
      <c r="P14" s="121">
        <v>0.0</v>
      </c>
      <c r="Q14" s="121">
        <v>0.0</v>
      </c>
      <c r="R14" s="121">
        <v>0.0</v>
      </c>
      <c r="S14" s="121">
        <v>0.0</v>
      </c>
      <c r="T14" s="121">
        <v>0.0</v>
      </c>
      <c r="U14" s="121">
        <v>0.0</v>
      </c>
      <c r="V14" s="121">
        <v>0.0</v>
      </c>
      <c r="W14" s="121">
        <v>0.0</v>
      </c>
      <c r="X14" s="121">
        <v>0.0</v>
      </c>
    </row>
    <row r="15">
      <c r="A15" s="121">
        <v>1.0</v>
      </c>
      <c r="B15" s="121" t="s">
        <v>148</v>
      </c>
      <c r="C15" s="121">
        <v>5.0</v>
      </c>
      <c r="D15" s="122">
        <v>5.0</v>
      </c>
      <c r="E15" s="149">
        <v>0.0</v>
      </c>
      <c r="F15" s="121">
        <v>0.0</v>
      </c>
      <c r="G15" s="121">
        <v>0.0</v>
      </c>
      <c r="H15" s="121">
        <v>0.0</v>
      </c>
      <c r="I15" s="121">
        <v>0.0</v>
      </c>
      <c r="J15" s="121">
        <v>0.0</v>
      </c>
      <c r="K15" s="121">
        <v>0.0</v>
      </c>
      <c r="L15" s="121">
        <v>0.0</v>
      </c>
      <c r="M15" s="121">
        <v>0.0</v>
      </c>
      <c r="N15" s="121">
        <v>15.0</v>
      </c>
      <c r="O15" s="121">
        <v>0.0</v>
      </c>
      <c r="P15" s="121">
        <v>0.0</v>
      </c>
      <c r="Q15" s="121">
        <v>0.0</v>
      </c>
      <c r="R15" s="121">
        <v>0.0</v>
      </c>
      <c r="S15" s="121">
        <v>0.0</v>
      </c>
      <c r="T15" s="121">
        <v>0.0</v>
      </c>
      <c r="U15" s="121">
        <v>0.0</v>
      </c>
      <c r="V15" s="121">
        <v>0.0</v>
      </c>
      <c r="W15" s="121">
        <v>0.0</v>
      </c>
      <c r="X15" s="121">
        <v>0.0</v>
      </c>
    </row>
    <row r="16">
      <c r="A16" s="121">
        <v>1.0</v>
      </c>
      <c r="B16" s="121" t="s">
        <v>149</v>
      </c>
      <c r="C16" s="121">
        <v>5.0</v>
      </c>
      <c r="D16" s="122">
        <v>5.0</v>
      </c>
      <c r="E16" s="149">
        <v>0.0</v>
      </c>
      <c r="F16" s="121">
        <v>0.0</v>
      </c>
      <c r="G16" s="121">
        <v>0.0</v>
      </c>
      <c r="H16" s="121">
        <v>0.0</v>
      </c>
      <c r="I16" s="121">
        <v>0.0</v>
      </c>
      <c r="J16" s="121">
        <v>1.0</v>
      </c>
      <c r="K16" s="121">
        <v>0.0</v>
      </c>
      <c r="L16" s="121">
        <v>0.0</v>
      </c>
      <c r="M16" s="121">
        <v>0.0</v>
      </c>
      <c r="N16" s="121">
        <v>0.0</v>
      </c>
      <c r="O16" s="121">
        <v>0.0</v>
      </c>
      <c r="P16" s="121">
        <v>0.0</v>
      </c>
      <c r="Q16" s="121">
        <v>0.0</v>
      </c>
      <c r="R16" s="121">
        <v>0.0</v>
      </c>
      <c r="S16" s="121">
        <v>0.0</v>
      </c>
      <c r="T16" s="121">
        <v>0.0</v>
      </c>
      <c r="U16" s="121">
        <v>0.0</v>
      </c>
      <c r="V16" s="121">
        <v>0.0</v>
      </c>
      <c r="W16" s="121">
        <v>0.0</v>
      </c>
      <c r="X16" s="121">
        <v>0.0</v>
      </c>
    </row>
    <row r="17">
      <c r="A17" s="121">
        <v>1.0</v>
      </c>
      <c r="B17" s="121" t="s">
        <v>150</v>
      </c>
      <c r="C17" s="121">
        <v>5.0</v>
      </c>
      <c r="D17" s="122">
        <v>5.0</v>
      </c>
      <c r="E17" s="149">
        <v>0.0</v>
      </c>
      <c r="F17" s="121">
        <v>0.0</v>
      </c>
      <c r="G17" s="121">
        <v>0.0</v>
      </c>
      <c r="H17" s="121">
        <v>0.0</v>
      </c>
      <c r="I17" s="121">
        <v>0.0</v>
      </c>
      <c r="J17" s="121">
        <v>0.0</v>
      </c>
      <c r="K17" s="121">
        <v>0.0</v>
      </c>
      <c r="L17" s="121">
        <v>1.0</v>
      </c>
      <c r="M17" s="121">
        <v>0.0</v>
      </c>
      <c r="N17" s="121">
        <v>0.0</v>
      </c>
      <c r="O17" s="121">
        <v>0.0</v>
      </c>
      <c r="P17" s="121">
        <v>0.0</v>
      </c>
      <c r="Q17" s="121">
        <v>0.0</v>
      </c>
      <c r="R17" s="121">
        <v>0.0</v>
      </c>
      <c r="S17" s="121">
        <v>0.0</v>
      </c>
      <c r="T17" s="121">
        <v>0.0</v>
      </c>
      <c r="U17" s="121">
        <v>0.0</v>
      </c>
      <c r="V17" s="121">
        <v>0.0</v>
      </c>
      <c r="W17" s="121">
        <v>0.0</v>
      </c>
      <c r="X17" s="121">
        <v>0.0</v>
      </c>
    </row>
    <row r="18">
      <c r="A18" s="121">
        <v>1.0</v>
      </c>
      <c r="B18" s="121" t="s">
        <v>151</v>
      </c>
      <c r="C18" s="121">
        <v>5.0</v>
      </c>
      <c r="D18" s="122">
        <v>5.0</v>
      </c>
      <c r="E18" s="149">
        <v>0.0</v>
      </c>
      <c r="F18" s="121">
        <v>0.0</v>
      </c>
      <c r="G18" s="121">
        <v>0.0</v>
      </c>
      <c r="H18" s="121">
        <v>0.0</v>
      </c>
      <c r="I18" s="121">
        <v>0.0</v>
      </c>
      <c r="J18" s="121">
        <v>0.0</v>
      </c>
      <c r="K18" s="121">
        <v>0.0</v>
      </c>
      <c r="L18" s="121">
        <v>0.0</v>
      </c>
      <c r="M18" s="121">
        <v>0.0</v>
      </c>
      <c r="N18" s="121">
        <v>0.0</v>
      </c>
      <c r="O18" s="121">
        <v>0.0</v>
      </c>
      <c r="P18" s="121">
        <v>10.0</v>
      </c>
      <c r="Q18" s="121">
        <v>0.0</v>
      </c>
      <c r="R18" s="121">
        <v>0.0</v>
      </c>
      <c r="S18" s="121">
        <v>0.0</v>
      </c>
      <c r="T18" s="121">
        <v>0.0</v>
      </c>
      <c r="U18" s="121">
        <v>0.0</v>
      </c>
      <c r="V18" s="121">
        <v>0.0</v>
      </c>
      <c r="W18" s="121">
        <v>0.0</v>
      </c>
      <c r="X18" s="121">
        <v>0.0</v>
      </c>
    </row>
    <row r="19">
      <c r="A19" s="121">
        <v>2.0</v>
      </c>
      <c r="B19" s="121" t="s">
        <v>147</v>
      </c>
      <c r="C19" s="121">
        <v>6.0</v>
      </c>
      <c r="D19" s="122">
        <v>11.0</v>
      </c>
      <c r="E19" s="149">
        <v>0.0</v>
      </c>
      <c r="F19" s="121">
        <v>0.0</v>
      </c>
      <c r="G19" s="121">
        <v>0.0</v>
      </c>
      <c r="H19" s="121">
        <v>0.0</v>
      </c>
      <c r="I19" s="121">
        <v>0.0</v>
      </c>
      <c r="J19" s="121">
        <v>0.0</v>
      </c>
      <c r="K19" s="121">
        <v>0.0</v>
      </c>
      <c r="L19" s="121">
        <v>0.0</v>
      </c>
      <c r="M19" s="121">
        <v>0.0</v>
      </c>
      <c r="N19" s="121">
        <v>15.0</v>
      </c>
      <c r="O19" s="121">
        <v>0.0</v>
      </c>
      <c r="P19" s="121">
        <v>0.0</v>
      </c>
      <c r="Q19" s="121">
        <v>0.0</v>
      </c>
      <c r="R19" s="121">
        <v>0.0</v>
      </c>
      <c r="S19" s="121">
        <v>0.0</v>
      </c>
      <c r="T19" s="121">
        <v>0.0</v>
      </c>
      <c r="U19" s="121">
        <v>0.0</v>
      </c>
      <c r="V19" s="121">
        <v>0.0</v>
      </c>
      <c r="W19" s="121">
        <v>0.0</v>
      </c>
      <c r="X19" s="121">
        <v>0.0</v>
      </c>
    </row>
    <row r="20">
      <c r="A20" s="121">
        <v>2.0</v>
      </c>
      <c r="B20" s="121" t="s">
        <v>148</v>
      </c>
      <c r="C20" s="121">
        <v>6.0</v>
      </c>
      <c r="D20" s="122">
        <v>11.0</v>
      </c>
      <c r="E20" s="149">
        <v>0.0</v>
      </c>
      <c r="F20" s="121">
        <v>0.0</v>
      </c>
      <c r="G20" s="121">
        <v>0.0</v>
      </c>
      <c r="H20" s="121">
        <v>0.0</v>
      </c>
      <c r="I20" s="121">
        <v>0.0</v>
      </c>
      <c r="J20" s="121">
        <v>0.0</v>
      </c>
      <c r="K20" s="121">
        <v>0.0</v>
      </c>
      <c r="L20" s="121">
        <v>0.0</v>
      </c>
      <c r="M20" s="121">
        <v>1.0</v>
      </c>
      <c r="N20" s="121">
        <v>0.0</v>
      </c>
      <c r="O20" s="121">
        <v>0.0</v>
      </c>
      <c r="P20" s="121">
        <v>0.0</v>
      </c>
      <c r="Q20" s="121">
        <v>0.0</v>
      </c>
      <c r="R20" s="121">
        <v>0.0</v>
      </c>
      <c r="S20" s="121">
        <v>0.0</v>
      </c>
      <c r="T20" s="121">
        <v>0.0</v>
      </c>
      <c r="U20" s="121">
        <v>0.0</v>
      </c>
      <c r="V20" s="121">
        <v>0.0</v>
      </c>
      <c r="W20" s="121">
        <v>0.0</v>
      </c>
      <c r="X20" s="121">
        <v>0.0</v>
      </c>
    </row>
    <row r="21" ht="15.75" customHeight="1">
      <c r="A21" s="121">
        <v>2.0</v>
      </c>
      <c r="B21" s="121" t="s">
        <v>149</v>
      </c>
      <c r="C21" s="121">
        <v>6.0</v>
      </c>
      <c r="D21" s="122">
        <v>11.0</v>
      </c>
      <c r="E21" s="149">
        <v>0.0</v>
      </c>
      <c r="F21" s="121">
        <v>0.0</v>
      </c>
      <c r="G21" s="121">
        <v>0.0</v>
      </c>
      <c r="H21" s="121">
        <v>0.0</v>
      </c>
      <c r="I21" s="121">
        <v>1.0</v>
      </c>
      <c r="J21" s="121">
        <v>0.0</v>
      </c>
      <c r="K21" s="121">
        <v>0.0</v>
      </c>
      <c r="L21" s="121">
        <v>0.0</v>
      </c>
      <c r="M21" s="121">
        <v>0.0</v>
      </c>
      <c r="N21" s="121">
        <v>0.0</v>
      </c>
      <c r="O21" s="121">
        <v>0.0</v>
      </c>
      <c r="P21" s="121">
        <v>0.0</v>
      </c>
      <c r="Q21" s="121">
        <v>0.0</v>
      </c>
      <c r="R21" s="121">
        <v>0.0</v>
      </c>
      <c r="S21" s="121">
        <v>0.0</v>
      </c>
      <c r="T21" s="121">
        <v>0.0</v>
      </c>
      <c r="U21" s="121">
        <v>0.0</v>
      </c>
      <c r="V21" s="121">
        <v>0.0</v>
      </c>
      <c r="W21" s="121">
        <v>0.0</v>
      </c>
      <c r="X21" s="121">
        <v>0.0</v>
      </c>
    </row>
    <row r="22" ht="15.75" customHeight="1">
      <c r="A22" s="121">
        <v>2.0</v>
      </c>
      <c r="B22" s="121" t="s">
        <v>150</v>
      </c>
      <c r="C22" s="121">
        <v>6.0</v>
      </c>
      <c r="D22" s="122">
        <v>11.0</v>
      </c>
      <c r="E22" s="149">
        <v>0.0</v>
      </c>
      <c r="F22" s="121">
        <v>0.0</v>
      </c>
      <c r="G22" s="121">
        <v>0.0</v>
      </c>
      <c r="H22" s="121">
        <v>0.0</v>
      </c>
      <c r="I22" s="121">
        <v>0.0</v>
      </c>
      <c r="J22" s="121">
        <v>0.0</v>
      </c>
      <c r="K22" s="121">
        <v>0.0</v>
      </c>
      <c r="L22" s="121">
        <v>0.0</v>
      </c>
      <c r="M22" s="121">
        <v>0.0</v>
      </c>
      <c r="N22" s="121">
        <v>0.0</v>
      </c>
      <c r="O22" s="121">
        <v>10.0</v>
      </c>
      <c r="P22" s="121">
        <v>0.0</v>
      </c>
      <c r="Q22" s="121">
        <v>0.0</v>
      </c>
      <c r="R22" s="121">
        <v>0.0</v>
      </c>
      <c r="S22" s="121">
        <v>0.0</v>
      </c>
      <c r="T22" s="121">
        <v>0.0</v>
      </c>
      <c r="U22" s="121">
        <v>0.0</v>
      </c>
      <c r="V22" s="121">
        <v>0.0</v>
      </c>
      <c r="W22" s="121">
        <v>0.0</v>
      </c>
      <c r="X22" s="121">
        <v>0.0</v>
      </c>
    </row>
    <row r="23" ht="15.75" customHeight="1">
      <c r="A23" s="121">
        <v>2.0</v>
      </c>
      <c r="B23" s="121" t="s">
        <v>151</v>
      </c>
      <c r="C23" s="121">
        <v>6.0</v>
      </c>
      <c r="D23" s="122">
        <v>11.0</v>
      </c>
      <c r="E23" s="149">
        <v>0.0</v>
      </c>
      <c r="F23" s="121">
        <v>0.0</v>
      </c>
      <c r="G23" s="121">
        <v>10.0</v>
      </c>
      <c r="H23" s="121">
        <v>0.0</v>
      </c>
      <c r="I23" s="121">
        <v>0.0</v>
      </c>
      <c r="J23" s="121">
        <v>0.0</v>
      </c>
      <c r="K23" s="121">
        <v>0.0</v>
      </c>
      <c r="L23" s="121">
        <v>0.0</v>
      </c>
      <c r="M23" s="121">
        <v>0.0</v>
      </c>
      <c r="N23" s="121">
        <v>0.0</v>
      </c>
      <c r="O23" s="121">
        <v>0.0</v>
      </c>
      <c r="P23" s="121">
        <v>0.0</v>
      </c>
      <c r="Q23" s="121">
        <v>0.0</v>
      </c>
      <c r="R23" s="121">
        <v>0.0</v>
      </c>
      <c r="S23" s="121">
        <v>0.0</v>
      </c>
      <c r="T23" s="121">
        <v>0.0</v>
      </c>
      <c r="U23" s="121">
        <v>0.0</v>
      </c>
      <c r="V23" s="121">
        <v>0.0</v>
      </c>
      <c r="W23" s="121">
        <v>0.0</v>
      </c>
      <c r="X23" s="121">
        <v>0.0</v>
      </c>
    </row>
    <row r="24" ht="15.75" customHeight="1">
      <c r="A24" s="121">
        <v>3.0</v>
      </c>
      <c r="B24" s="121" t="s">
        <v>147</v>
      </c>
      <c r="C24" s="121">
        <v>10.0</v>
      </c>
      <c r="D24" s="122">
        <v>21.0</v>
      </c>
      <c r="E24" s="149">
        <v>0.0</v>
      </c>
      <c r="F24" s="121">
        <v>0.0</v>
      </c>
      <c r="G24" s="121">
        <v>0.0</v>
      </c>
      <c r="H24" s="121">
        <v>0.0</v>
      </c>
      <c r="I24" s="121">
        <v>0.0</v>
      </c>
      <c r="J24" s="121">
        <v>0.0</v>
      </c>
      <c r="K24" s="121">
        <v>0.0</v>
      </c>
      <c r="L24" s="121">
        <v>0.0</v>
      </c>
      <c r="M24" s="121">
        <v>0.0</v>
      </c>
      <c r="N24" s="121">
        <v>0.0</v>
      </c>
      <c r="O24" s="121">
        <v>0.0</v>
      </c>
      <c r="P24" s="121">
        <v>0.0</v>
      </c>
      <c r="Q24" s="121">
        <v>20.0</v>
      </c>
      <c r="R24" s="121">
        <v>0.0</v>
      </c>
      <c r="S24" s="121">
        <v>0.0</v>
      </c>
      <c r="T24" s="121">
        <v>0.0</v>
      </c>
      <c r="U24" s="121">
        <v>0.0</v>
      </c>
      <c r="V24" s="121">
        <v>0.0</v>
      </c>
      <c r="W24" s="121">
        <v>0.0</v>
      </c>
      <c r="X24" s="121">
        <v>0.0</v>
      </c>
    </row>
    <row r="25" ht="15.75" customHeight="1">
      <c r="A25" s="121">
        <v>3.0</v>
      </c>
      <c r="B25" s="121" t="s">
        <v>148</v>
      </c>
      <c r="C25" s="121">
        <v>10.0</v>
      </c>
      <c r="D25" s="122">
        <v>21.0</v>
      </c>
      <c r="E25" s="149">
        <v>0.0</v>
      </c>
      <c r="F25" s="121">
        <v>0.0</v>
      </c>
      <c r="G25" s="121">
        <v>0.0</v>
      </c>
      <c r="H25" s="121">
        <v>0.0</v>
      </c>
      <c r="I25" s="121">
        <v>0.0</v>
      </c>
      <c r="J25" s="121">
        <v>0.0</v>
      </c>
      <c r="K25" s="121">
        <v>0.0</v>
      </c>
      <c r="L25" s="121">
        <v>1.0</v>
      </c>
      <c r="M25" s="121">
        <v>0.0</v>
      </c>
      <c r="N25" s="121">
        <v>0.0</v>
      </c>
      <c r="O25" s="121">
        <v>0.0</v>
      </c>
      <c r="P25" s="121">
        <v>0.0</v>
      </c>
      <c r="Q25" s="121">
        <v>0.0</v>
      </c>
      <c r="R25" s="121">
        <v>0.0</v>
      </c>
      <c r="S25" s="121">
        <v>0.0</v>
      </c>
      <c r="T25" s="121">
        <v>0.0</v>
      </c>
      <c r="U25" s="121">
        <v>0.0</v>
      </c>
      <c r="V25" s="121">
        <v>0.0</v>
      </c>
      <c r="W25" s="121">
        <v>0.0</v>
      </c>
      <c r="X25" s="121">
        <v>0.0</v>
      </c>
    </row>
    <row r="26" ht="15.75" customHeight="1">
      <c r="A26" s="121">
        <v>3.0</v>
      </c>
      <c r="B26" s="121" t="s">
        <v>149</v>
      </c>
      <c r="C26" s="121">
        <v>10.0</v>
      </c>
      <c r="D26" s="122">
        <v>21.0</v>
      </c>
      <c r="E26" s="149">
        <v>0.0</v>
      </c>
      <c r="F26" s="121">
        <v>0.0</v>
      </c>
      <c r="G26" s="121">
        <v>0.0</v>
      </c>
      <c r="H26" s="121">
        <v>0.0</v>
      </c>
      <c r="I26" s="121">
        <v>0.0</v>
      </c>
      <c r="J26" s="121">
        <v>0.0</v>
      </c>
      <c r="K26" s="121">
        <v>0.0</v>
      </c>
      <c r="L26" s="121">
        <v>0.0</v>
      </c>
      <c r="M26" s="121">
        <v>0.0</v>
      </c>
      <c r="N26" s="121">
        <v>0.0</v>
      </c>
      <c r="O26" s="121">
        <v>0.0</v>
      </c>
      <c r="P26" s="121">
        <v>10.0</v>
      </c>
      <c r="Q26" s="121">
        <v>0.0</v>
      </c>
      <c r="R26" s="121">
        <v>0.0</v>
      </c>
      <c r="S26" s="121">
        <v>0.0</v>
      </c>
      <c r="T26" s="121">
        <v>0.0</v>
      </c>
      <c r="U26" s="121">
        <v>0.0</v>
      </c>
      <c r="V26" s="121">
        <v>0.0</v>
      </c>
      <c r="W26" s="121">
        <v>0.0</v>
      </c>
      <c r="X26" s="121">
        <v>0.0</v>
      </c>
    </row>
    <row r="27" ht="15.75" customHeight="1">
      <c r="A27" s="121">
        <v>3.0</v>
      </c>
      <c r="B27" s="121" t="s">
        <v>150</v>
      </c>
      <c r="C27" s="121">
        <v>10.0</v>
      </c>
      <c r="D27" s="122">
        <v>21.0</v>
      </c>
      <c r="E27" s="149">
        <v>0.0</v>
      </c>
      <c r="F27" s="121">
        <v>0.0</v>
      </c>
      <c r="G27" s="121">
        <v>0.0</v>
      </c>
      <c r="H27" s="121">
        <v>1.0</v>
      </c>
      <c r="I27" s="121">
        <v>0.0</v>
      </c>
      <c r="J27" s="121">
        <v>0.0</v>
      </c>
      <c r="K27" s="121">
        <v>0.0</v>
      </c>
      <c r="L27" s="121">
        <v>0.0</v>
      </c>
      <c r="M27" s="121">
        <v>0.0</v>
      </c>
      <c r="N27" s="121">
        <v>0.0</v>
      </c>
      <c r="O27" s="121">
        <v>0.0</v>
      </c>
      <c r="P27" s="121">
        <v>0.0</v>
      </c>
      <c r="Q27" s="121">
        <v>0.0</v>
      </c>
      <c r="R27" s="121">
        <v>0.0</v>
      </c>
      <c r="S27" s="121">
        <v>0.0</v>
      </c>
      <c r="T27" s="121">
        <v>0.0</v>
      </c>
      <c r="U27" s="121">
        <v>0.0</v>
      </c>
      <c r="V27" s="121">
        <v>0.0</v>
      </c>
      <c r="W27" s="121">
        <v>0.0</v>
      </c>
      <c r="X27" s="121">
        <v>0.0</v>
      </c>
    </row>
    <row r="28" ht="15.75" customHeight="1">
      <c r="A28" s="121">
        <v>3.0</v>
      </c>
      <c r="B28" s="121" t="s">
        <v>151</v>
      </c>
      <c r="C28" s="121">
        <v>10.0</v>
      </c>
      <c r="D28" s="122">
        <v>21.0</v>
      </c>
      <c r="E28" s="149">
        <v>0.0</v>
      </c>
      <c r="F28" s="121">
        <v>20.0</v>
      </c>
      <c r="G28" s="121">
        <v>0.0</v>
      </c>
      <c r="H28" s="121">
        <v>0.0</v>
      </c>
      <c r="I28" s="121">
        <v>0.0</v>
      </c>
      <c r="J28" s="121">
        <v>0.0</v>
      </c>
      <c r="K28" s="121">
        <v>0.0</v>
      </c>
      <c r="L28" s="121">
        <v>0.0</v>
      </c>
      <c r="M28" s="121">
        <v>0.0</v>
      </c>
      <c r="N28" s="121">
        <v>0.0</v>
      </c>
      <c r="O28" s="121">
        <v>0.0</v>
      </c>
      <c r="P28" s="121">
        <v>0.0</v>
      </c>
      <c r="Q28" s="121">
        <v>0.0</v>
      </c>
      <c r="R28" s="121">
        <v>0.0</v>
      </c>
      <c r="S28" s="121">
        <v>0.0</v>
      </c>
      <c r="T28" s="121">
        <v>0.0</v>
      </c>
      <c r="U28" s="121">
        <v>0.0</v>
      </c>
      <c r="V28" s="121">
        <v>0.0</v>
      </c>
      <c r="W28" s="121">
        <v>0.0</v>
      </c>
      <c r="X28" s="121">
        <v>0.0</v>
      </c>
    </row>
    <row r="29" ht="15.75" customHeight="1">
      <c r="A29" s="121">
        <v>4.0</v>
      </c>
      <c r="B29" s="121" t="s">
        <v>147</v>
      </c>
      <c r="C29" s="121">
        <v>15.0</v>
      </c>
      <c r="D29" s="122">
        <v>36.0</v>
      </c>
      <c r="E29" s="149">
        <v>55.0</v>
      </c>
      <c r="F29" s="121">
        <v>0.0</v>
      </c>
      <c r="G29" s="121">
        <v>0.0</v>
      </c>
      <c r="H29" s="121">
        <v>1.0</v>
      </c>
      <c r="I29" s="121">
        <v>0.0</v>
      </c>
      <c r="J29" s="121">
        <v>0.0</v>
      </c>
      <c r="K29" s="121">
        <v>0.0</v>
      </c>
      <c r="L29" s="121">
        <v>0.0</v>
      </c>
      <c r="M29" s="121">
        <v>0.0</v>
      </c>
      <c r="N29" s="121">
        <v>0.0</v>
      </c>
      <c r="O29" s="121">
        <v>0.0</v>
      </c>
      <c r="P29" s="121">
        <v>0.0</v>
      </c>
      <c r="Q29" s="121">
        <v>0.0</v>
      </c>
      <c r="R29" s="121">
        <v>0.0</v>
      </c>
      <c r="S29" s="121">
        <v>0.0</v>
      </c>
      <c r="T29" s="121">
        <v>0.0</v>
      </c>
      <c r="U29" s="121">
        <v>0.0</v>
      </c>
      <c r="V29" s="121">
        <v>0.0</v>
      </c>
      <c r="W29" s="121">
        <v>0.0</v>
      </c>
      <c r="X29" s="121">
        <v>0.0</v>
      </c>
    </row>
    <row r="30" ht="15.75" customHeight="1">
      <c r="A30" s="121">
        <v>4.0</v>
      </c>
      <c r="B30" s="121" t="s">
        <v>148</v>
      </c>
      <c r="C30" s="121">
        <v>15.0</v>
      </c>
      <c r="D30" s="122">
        <v>36.0</v>
      </c>
      <c r="E30" s="149">
        <v>0.0</v>
      </c>
      <c r="F30" s="121">
        <v>0.0</v>
      </c>
      <c r="G30" s="121">
        <v>0.0</v>
      </c>
      <c r="H30" s="121">
        <v>0.0</v>
      </c>
      <c r="I30" s="121">
        <v>0.0</v>
      </c>
      <c r="J30" s="121">
        <v>0.0</v>
      </c>
      <c r="K30" s="121">
        <v>0.0</v>
      </c>
      <c r="L30" s="121">
        <v>0.0</v>
      </c>
      <c r="M30" s="121">
        <v>0.0</v>
      </c>
      <c r="N30" s="121">
        <v>20.0</v>
      </c>
      <c r="O30" s="121">
        <v>0.0</v>
      </c>
      <c r="P30" s="121">
        <v>0.0</v>
      </c>
      <c r="Q30" s="121">
        <v>0.0</v>
      </c>
      <c r="R30" s="121">
        <v>0.0</v>
      </c>
      <c r="S30" s="121">
        <v>0.0</v>
      </c>
      <c r="T30" s="121">
        <v>0.0</v>
      </c>
      <c r="U30" s="121">
        <v>0.0</v>
      </c>
      <c r="V30" s="121">
        <v>0.0</v>
      </c>
      <c r="W30" s="121">
        <v>0.0</v>
      </c>
      <c r="X30" s="121">
        <v>0.0</v>
      </c>
    </row>
    <row r="31" ht="15.75" customHeight="1">
      <c r="A31" s="121">
        <v>4.0</v>
      </c>
      <c r="B31" s="121" t="s">
        <v>149</v>
      </c>
      <c r="C31" s="121">
        <v>15.0</v>
      </c>
      <c r="D31" s="122">
        <v>36.0</v>
      </c>
      <c r="E31" s="149">
        <v>0.0</v>
      </c>
      <c r="F31" s="121">
        <v>0.0</v>
      </c>
      <c r="G31" s="121">
        <v>0.0</v>
      </c>
      <c r="H31" s="121">
        <v>0.0</v>
      </c>
      <c r="I31" s="121">
        <v>0.0</v>
      </c>
      <c r="J31" s="121">
        <v>0.0</v>
      </c>
      <c r="K31" s="121">
        <v>0.0</v>
      </c>
      <c r="L31" s="121">
        <v>0.0</v>
      </c>
      <c r="M31" s="121">
        <v>1.0</v>
      </c>
      <c r="N31" s="121">
        <v>0.0</v>
      </c>
      <c r="O31" s="121">
        <v>0.0</v>
      </c>
      <c r="P31" s="121">
        <v>0.0</v>
      </c>
      <c r="Q31" s="121">
        <v>0.0</v>
      </c>
      <c r="R31" s="121">
        <v>0.0</v>
      </c>
      <c r="S31" s="121">
        <v>0.0</v>
      </c>
      <c r="T31" s="121">
        <v>0.0</v>
      </c>
      <c r="U31" s="121">
        <v>0.0</v>
      </c>
      <c r="V31" s="121">
        <v>0.0</v>
      </c>
      <c r="W31" s="121">
        <v>0.0</v>
      </c>
      <c r="X31" s="121">
        <v>0.0</v>
      </c>
    </row>
    <row r="32" ht="15.75" customHeight="1">
      <c r="A32" s="121">
        <v>4.0</v>
      </c>
      <c r="B32" s="121" t="s">
        <v>150</v>
      </c>
      <c r="C32" s="121">
        <v>15.0</v>
      </c>
      <c r="D32" s="122">
        <v>36.0</v>
      </c>
      <c r="E32" s="149">
        <v>0.0</v>
      </c>
      <c r="F32" s="121">
        <v>0.0</v>
      </c>
      <c r="G32" s="121">
        <v>0.0</v>
      </c>
      <c r="H32" s="121">
        <v>0.0</v>
      </c>
      <c r="I32" s="121">
        <v>1.0</v>
      </c>
      <c r="J32" s="121">
        <v>0.0</v>
      </c>
      <c r="K32" s="121">
        <v>0.0</v>
      </c>
      <c r="L32" s="121">
        <v>0.0</v>
      </c>
      <c r="M32" s="121">
        <v>0.0</v>
      </c>
      <c r="N32" s="121">
        <v>0.0</v>
      </c>
      <c r="O32" s="121">
        <v>0.0</v>
      </c>
      <c r="P32" s="121">
        <v>0.0</v>
      </c>
      <c r="Q32" s="121">
        <v>0.0</v>
      </c>
      <c r="R32" s="121">
        <v>0.0</v>
      </c>
      <c r="S32" s="121">
        <v>0.0</v>
      </c>
      <c r="T32" s="121">
        <v>0.0</v>
      </c>
      <c r="U32" s="121">
        <v>0.0</v>
      </c>
      <c r="V32" s="121">
        <v>0.0</v>
      </c>
      <c r="W32" s="121">
        <v>0.0</v>
      </c>
      <c r="X32" s="121">
        <v>0.0</v>
      </c>
    </row>
    <row r="33" ht="15.75" customHeight="1">
      <c r="A33" s="121">
        <v>4.0</v>
      </c>
      <c r="B33" s="121" t="s">
        <v>151</v>
      </c>
      <c r="C33" s="121">
        <v>15.0</v>
      </c>
      <c r="D33" s="122">
        <v>36.0</v>
      </c>
      <c r="E33" s="149">
        <v>0.0</v>
      </c>
      <c r="F33" s="121">
        <v>0.0</v>
      </c>
      <c r="G33" s="121">
        <v>0.0</v>
      </c>
      <c r="H33" s="121">
        <v>0.0</v>
      </c>
      <c r="I33" s="121">
        <v>0.0</v>
      </c>
      <c r="J33" s="121">
        <v>0.0</v>
      </c>
      <c r="K33" s="121">
        <v>0.0</v>
      </c>
      <c r="L33" s="121">
        <v>0.0</v>
      </c>
      <c r="M33" s="121">
        <v>0.0</v>
      </c>
      <c r="N33" s="121">
        <v>0.0</v>
      </c>
      <c r="O33" s="121">
        <v>15.0</v>
      </c>
      <c r="P33" s="121">
        <v>0.0</v>
      </c>
      <c r="Q33" s="121">
        <v>0.0</v>
      </c>
      <c r="R33" s="121">
        <v>0.0</v>
      </c>
      <c r="S33" s="121">
        <v>0.0</v>
      </c>
      <c r="T33" s="121">
        <v>0.0</v>
      </c>
      <c r="U33" s="121">
        <v>0.0</v>
      </c>
      <c r="V33" s="121">
        <v>0.0</v>
      </c>
      <c r="W33" s="121">
        <v>0.0</v>
      </c>
      <c r="X33" s="121">
        <v>0.0</v>
      </c>
    </row>
    <row r="34" ht="15.75" customHeight="1">
      <c r="A34" s="121">
        <v>5.0</v>
      </c>
      <c r="B34" s="121" t="s">
        <v>147</v>
      </c>
      <c r="C34" s="121">
        <v>8.0</v>
      </c>
      <c r="D34" s="122">
        <v>44.0</v>
      </c>
      <c r="E34" s="149">
        <v>0.0</v>
      </c>
      <c r="F34" s="121">
        <v>0.0</v>
      </c>
      <c r="G34" s="121">
        <v>0.0</v>
      </c>
      <c r="H34" s="121">
        <v>0.0</v>
      </c>
      <c r="I34" s="121">
        <v>0.0</v>
      </c>
      <c r="J34" s="121">
        <v>0.0</v>
      </c>
      <c r="K34" s="121">
        <v>0.0</v>
      </c>
      <c r="L34" s="121">
        <v>1.0</v>
      </c>
      <c r="M34" s="121">
        <v>0.0</v>
      </c>
      <c r="N34" s="121">
        <v>0.0</v>
      </c>
      <c r="O34" s="121">
        <v>0.0</v>
      </c>
      <c r="P34" s="121">
        <v>0.0</v>
      </c>
      <c r="Q34" s="121">
        <v>0.0</v>
      </c>
      <c r="R34" s="121">
        <v>0.0</v>
      </c>
      <c r="S34" s="121">
        <v>0.0</v>
      </c>
      <c r="T34" s="121">
        <v>0.0</v>
      </c>
      <c r="U34" s="121">
        <v>0.0</v>
      </c>
      <c r="V34" s="121">
        <v>0.0</v>
      </c>
      <c r="W34" s="121">
        <v>0.0</v>
      </c>
      <c r="X34" s="121">
        <v>0.0</v>
      </c>
    </row>
    <row r="35" ht="15.75" customHeight="1">
      <c r="A35" s="121">
        <v>5.0</v>
      </c>
      <c r="B35" s="121" t="s">
        <v>148</v>
      </c>
      <c r="C35" s="121">
        <v>8.0</v>
      </c>
      <c r="D35" s="122">
        <v>44.0</v>
      </c>
      <c r="E35" s="149">
        <v>0.0</v>
      </c>
      <c r="F35" s="121">
        <v>0.0</v>
      </c>
      <c r="G35" s="121">
        <v>0.0</v>
      </c>
      <c r="H35" s="121">
        <v>0.0</v>
      </c>
      <c r="I35" s="121">
        <v>0.0</v>
      </c>
      <c r="J35" s="121">
        <v>0.0</v>
      </c>
      <c r="K35" s="121">
        <v>0.0</v>
      </c>
      <c r="L35" s="121">
        <v>0.0</v>
      </c>
      <c r="M35" s="121">
        <v>0.0</v>
      </c>
      <c r="N35" s="121">
        <v>0.0</v>
      </c>
      <c r="O35" s="121">
        <v>0.0</v>
      </c>
      <c r="P35" s="121">
        <v>10.0</v>
      </c>
      <c r="Q35" s="121">
        <v>0.0</v>
      </c>
      <c r="R35" s="121">
        <v>0.0</v>
      </c>
      <c r="S35" s="121">
        <v>0.0</v>
      </c>
      <c r="T35" s="121">
        <v>0.0</v>
      </c>
      <c r="U35" s="121">
        <v>0.0</v>
      </c>
      <c r="V35" s="121">
        <v>0.0</v>
      </c>
      <c r="W35" s="121">
        <v>0.0</v>
      </c>
      <c r="X35" s="121">
        <v>0.0</v>
      </c>
    </row>
    <row r="36" ht="15.75" customHeight="1">
      <c r="A36" s="121">
        <v>5.0</v>
      </c>
      <c r="B36" s="121" t="s">
        <v>149</v>
      </c>
      <c r="C36" s="121">
        <v>8.0</v>
      </c>
      <c r="D36" s="122">
        <v>44.0</v>
      </c>
      <c r="E36" s="149">
        <v>0.0</v>
      </c>
      <c r="F36" s="121">
        <v>0.0</v>
      </c>
      <c r="G36" s="121">
        <v>0.0</v>
      </c>
      <c r="H36" s="121">
        <v>0.0</v>
      </c>
      <c r="I36" s="121">
        <v>1.0</v>
      </c>
      <c r="J36" s="121">
        <v>0.0</v>
      </c>
      <c r="K36" s="121">
        <v>0.0</v>
      </c>
      <c r="L36" s="121">
        <v>0.0</v>
      </c>
      <c r="M36" s="121">
        <v>0.0</v>
      </c>
      <c r="N36" s="121">
        <v>0.0</v>
      </c>
      <c r="O36" s="121">
        <v>0.0</v>
      </c>
      <c r="P36" s="121">
        <v>0.0</v>
      </c>
      <c r="Q36" s="121">
        <v>0.0</v>
      </c>
      <c r="R36" s="121">
        <v>0.0</v>
      </c>
      <c r="S36" s="121">
        <v>0.0</v>
      </c>
      <c r="T36" s="121">
        <v>0.0</v>
      </c>
      <c r="U36" s="121">
        <v>0.0</v>
      </c>
      <c r="V36" s="121">
        <v>0.0</v>
      </c>
      <c r="W36" s="121">
        <v>0.0</v>
      </c>
      <c r="X36" s="121">
        <v>0.0</v>
      </c>
    </row>
    <row r="37" ht="15.75" customHeight="1">
      <c r="A37" s="121">
        <v>5.0</v>
      </c>
      <c r="B37" s="121" t="s">
        <v>150</v>
      </c>
      <c r="C37" s="121">
        <v>8.0</v>
      </c>
      <c r="D37" s="122">
        <v>44.0</v>
      </c>
      <c r="E37" s="149">
        <v>0.0</v>
      </c>
      <c r="F37" s="121">
        <v>0.0</v>
      </c>
      <c r="G37" s="121">
        <v>0.0</v>
      </c>
      <c r="H37" s="121">
        <v>0.0</v>
      </c>
      <c r="I37" s="121">
        <v>0.0</v>
      </c>
      <c r="J37" s="121">
        <v>0.0</v>
      </c>
      <c r="K37" s="121">
        <v>0.0</v>
      </c>
      <c r="L37" s="121">
        <v>0.0</v>
      </c>
      <c r="M37" s="121">
        <v>0.0</v>
      </c>
      <c r="N37" s="121">
        <v>0.0</v>
      </c>
      <c r="O37" s="121">
        <v>10.0</v>
      </c>
      <c r="P37" s="121">
        <v>0.0</v>
      </c>
      <c r="Q37" s="121">
        <v>0.0</v>
      </c>
      <c r="R37" s="121">
        <v>0.0</v>
      </c>
      <c r="S37" s="121">
        <v>0.0</v>
      </c>
      <c r="T37" s="121">
        <v>0.0</v>
      </c>
      <c r="U37" s="121">
        <v>0.0</v>
      </c>
      <c r="V37" s="121">
        <v>0.0</v>
      </c>
      <c r="W37" s="121">
        <v>0.0</v>
      </c>
      <c r="X37" s="121">
        <v>0.0</v>
      </c>
    </row>
    <row r="38" ht="15.75" customHeight="1">
      <c r="A38" s="121">
        <v>5.0</v>
      </c>
      <c r="B38" s="121" t="s">
        <v>151</v>
      </c>
      <c r="C38" s="121">
        <v>8.0</v>
      </c>
      <c r="D38" s="122">
        <v>44.0</v>
      </c>
      <c r="E38" s="149">
        <v>0.0</v>
      </c>
      <c r="F38" s="121">
        <v>0.0</v>
      </c>
      <c r="G38" s="121">
        <v>0.0</v>
      </c>
      <c r="H38" s="121">
        <v>1.0</v>
      </c>
      <c r="I38" s="121">
        <v>0.0</v>
      </c>
      <c r="J38" s="121">
        <v>0.0</v>
      </c>
      <c r="K38" s="121">
        <v>0.0</v>
      </c>
      <c r="L38" s="121">
        <v>0.0</v>
      </c>
      <c r="M38" s="121">
        <v>0.0</v>
      </c>
      <c r="N38" s="121">
        <v>0.0</v>
      </c>
      <c r="O38" s="121">
        <v>0.0</v>
      </c>
      <c r="P38" s="121">
        <v>0.0</v>
      </c>
      <c r="Q38" s="121">
        <v>0.0</v>
      </c>
      <c r="R38" s="121">
        <v>0.0</v>
      </c>
      <c r="S38" s="121">
        <v>0.0</v>
      </c>
      <c r="T38" s="121">
        <v>0.0</v>
      </c>
      <c r="U38" s="121">
        <v>0.0</v>
      </c>
      <c r="V38" s="121">
        <v>0.0</v>
      </c>
      <c r="W38" s="121">
        <v>0.0</v>
      </c>
      <c r="X38" s="121">
        <v>0.0</v>
      </c>
    </row>
    <row r="39" ht="15.75" customHeight="1">
      <c r="A39" s="121">
        <v>6.0</v>
      </c>
      <c r="B39" s="121" t="s">
        <v>147</v>
      </c>
      <c r="C39" s="121">
        <v>10.0</v>
      </c>
      <c r="D39" s="122">
        <v>54.0</v>
      </c>
      <c r="E39" s="149">
        <v>50.0</v>
      </c>
      <c r="F39" s="121">
        <v>0.0</v>
      </c>
      <c r="G39" s="121">
        <v>0.0</v>
      </c>
      <c r="H39" s="121">
        <v>0.0</v>
      </c>
      <c r="I39" s="121">
        <v>0.0</v>
      </c>
      <c r="J39" s="121">
        <v>0.0</v>
      </c>
      <c r="K39" s="121">
        <v>0.0</v>
      </c>
      <c r="L39" s="121">
        <v>0.0</v>
      </c>
      <c r="M39" s="121">
        <v>0.0</v>
      </c>
      <c r="N39" s="121">
        <v>0.0</v>
      </c>
      <c r="O39" s="121">
        <v>0.0</v>
      </c>
      <c r="P39" s="121">
        <v>0.0</v>
      </c>
      <c r="Q39" s="121">
        <v>0.0</v>
      </c>
      <c r="R39" s="121">
        <v>0.0</v>
      </c>
      <c r="S39" s="121">
        <v>0.0</v>
      </c>
      <c r="T39" s="121">
        <v>0.0</v>
      </c>
      <c r="U39" s="121">
        <v>0.0</v>
      </c>
      <c r="V39" s="121">
        <v>0.0</v>
      </c>
      <c r="W39" s="121">
        <v>0.0</v>
      </c>
      <c r="X39" s="121">
        <v>0.0</v>
      </c>
    </row>
    <row r="40" ht="15.75" customHeight="1">
      <c r="A40" s="121">
        <v>6.0</v>
      </c>
      <c r="B40" s="121" t="s">
        <v>148</v>
      </c>
      <c r="C40" s="121">
        <v>10.0</v>
      </c>
      <c r="D40" s="122">
        <v>54.0</v>
      </c>
      <c r="E40" s="149">
        <v>0.0</v>
      </c>
      <c r="F40" s="121">
        <v>0.0</v>
      </c>
      <c r="G40" s="121">
        <v>0.0</v>
      </c>
      <c r="H40" s="121">
        <v>0.0</v>
      </c>
      <c r="I40" s="121">
        <v>0.0</v>
      </c>
      <c r="J40" s="121">
        <v>0.0</v>
      </c>
      <c r="K40" s="121">
        <v>0.0</v>
      </c>
      <c r="L40" s="121">
        <v>0.0</v>
      </c>
      <c r="M40" s="121">
        <v>0.0</v>
      </c>
      <c r="N40" s="121">
        <v>15.0</v>
      </c>
      <c r="O40" s="121">
        <v>0.0</v>
      </c>
      <c r="P40" s="121">
        <v>0.0</v>
      </c>
      <c r="Q40" s="121">
        <v>0.0</v>
      </c>
      <c r="R40" s="121">
        <v>0.0</v>
      </c>
      <c r="S40" s="121">
        <v>0.0</v>
      </c>
      <c r="T40" s="121">
        <v>0.0</v>
      </c>
      <c r="U40" s="121">
        <v>0.0</v>
      </c>
      <c r="V40" s="121">
        <v>0.0</v>
      </c>
      <c r="W40" s="121">
        <v>0.0</v>
      </c>
      <c r="X40" s="121">
        <v>0.0</v>
      </c>
    </row>
    <row r="41" ht="15.75" customHeight="1">
      <c r="A41" s="121">
        <v>6.0</v>
      </c>
      <c r="B41" s="121" t="s">
        <v>149</v>
      </c>
      <c r="C41" s="121">
        <v>10.0</v>
      </c>
      <c r="D41" s="122">
        <v>54.0</v>
      </c>
      <c r="E41" s="149">
        <v>0.0</v>
      </c>
      <c r="F41" s="121">
        <v>0.0</v>
      </c>
      <c r="G41" s="121">
        <v>0.0</v>
      </c>
      <c r="H41" s="121">
        <v>0.0</v>
      </c>
      <c r="I41" s="121">
        <v>0.0</v>
      </c>
      <c r="J41" s="121">
        <v>1.0</v>
      </c>
      <c r="K41" s="121">
        <v>0.0</v>
      </c>
      <c r="L41" s="121">
        <v>0.0</v>
      </c>
      <c r="M41" s="121">
        <v>0.0</v>
      </c>
      <c r="N41" s="121">
        <v>0.0</v>
      </c>
      <c r="O41" s="121">
        <v>0.0</v>
      </c>
      <c r="P41" s="121">
        <v>0.0</v>
      </c>
      <c r="Q41" s="121">
        <v>0.0</v>
      </c>
      <c r="R41" s="121">
        <v>0.0</v>
      </c>
      <c r="S41" s="121">
        <v>0.0</v>
      </c>
      <c r="T41" s="121">
        <v>0.0</v>
      </c>
      <c r="U41" s="121">
        <v>0.0</v>
      </c>
      <c r="V41" s="121">
        <v>0.0</v>
      </c>
      <c r="W41" s="121">
        <v>0.0</v>
      </c>
      <c r="X41" s="121">
        <v>0.0</v>
      </c>
    </row>
    <row r="42" ht="15.75" customHeight="1">
      <c r="A42" s="121">
        <v>6.0</v>
      </c>
      <c r="B42" s="121" t="s">
        <v>150</v>
      </c>
      <c r="C42" s="121">
        <v>10.0</v>
      </c>
      <c r="D42" s="122">
        <v>54.0</v>
      </c>
      <c r="E42" s="149">
        <v>0.0</v>
      </c>
      <c r="F42" s="121">
        <v>0.0</v>
      </c>
      <c r="G42" s="121">
        <v>0.0</v>
      </c>
      <c r="H42" s="121">
        <v>0.0</v>
      </c>
      <c r="I42" s="121">
        <v>0.0</v>
      </c>
      <c r="J42" s="121">
        <v>0.0</v>
      </c>
      <c r="K42" s="121">
        <v>0.0</v>
      </c>
      <c r="L42" s="121">
        <v>1.0</v>
      </c>
      <c r="M42" s="121">
        <v>0.0</v>
      </c>
      <c r="N42" s="121">
        <v>0.0</v>
      </c>
      <c r="O42" s="121">
        <v>0.0</v>
      </c>
      <c r="P42" s="121">
        <v>0.0</v>
      </c>
      <c r="Q42" s="121">
        <v>0.0</v>
      </c>
      <c r="R42" s="121">
        <v>0.0</v>
      </c>
      <c r="S42" s="121">
        <v>0.0</v>
      </c>
      <c r="T42" s="121">
        <v>0.0</v>
      </c>
      <c r="U42" s="121">
        <v>0.0</v>
      </c>
      <c r="V42" s="121">
        <v>0.0</v>
      </c>
      <c r="W42" s="121">
        <v>0.0</v>
      </c>
      <c r="X42" s="121">
        <v>0.0</v>
      </c>
    </row>
    <row r="43" ht="15.75" customHeight="1">
      <c r="A43" s="121">
        <v>6.0</v>
      </c>
      <c r="B43" s="121" t="s">
        <v>151</v>
      </c>
      <c r="C43" s="121">
        <v>10.0</v>
      </c>
      <c r="D43" s="122">
        <v>54.0</v>
      </c>
      <c r="E43" s="149">
        <v>0.0</v>
      </c>
      <c r="F43" s="121">
        <v>0.0</v>
      </c>
      <c r="G43" s="121">
        <v>15.0</v>
      </c>
      <c r="H43" s="121">
        <v>0.0</v>
      </c>
      <c r="I43" s="121">
        <v>0.0</v>
      </c>
      <c r="J43" s="121">
        <v>0.0</v>
      </c>
      <c r="K43" s="121">
        <v>0.0</v>
      </c>
      <c r="L43" s="121">
        <v>0.0</v>
      </c>
      <c r="M43" s="121">
        <v>0.0</v>
      </c>
      <c r="N43" s="121">
        <v>0.0</v>
      </c>
      <c r="O43" s="121">
        <v>0.0</v>
      </c>
      <c r="P43" s="121">
        <v>0.0</v>
      </c>
      <c r="Q43" s="121">
        <v>0.0</v>
      </c>
      <c r="R43" s="121">
        <v>0.0</v>
      </c>
      <c r="S43" s="121">
        <v>0.0</v>
      </c>
      <c r="T43" s="121">
        <v>0.0</v>
      </c>
      <c r="U43" s="121">
        <v>0.0</v>
      </c>
      <c r="V43" s="121">
        <v>0.0</v>
      </c>
      <c r="W43" s="121">
        <v>0.0</v>
      </c>
      <c r="X43" s="121">
        <v>0.0</v>
      </c>
    </row>
    <row r="44" ht="15.75" customHeight="1">
      <c r="A44" s="121">
        <v>7.0</v>
      </c>
      <c r="B44" s="121" t="s">
        <v>147</v>
      </c>
      <c r="C44" s="121">
        <v>12.0</v>
      </c>
      <c r="D44" s="122">
        <v>66.0</v>
      </c>
      <c r="E44" s="149">
        <v>0.0</v>
      </c>
      <c r="F44" s="121">
        <v>0.0</v>
      </c>
      <c r="G44" s="121">
        <v>0.0</v>
      </c>
      <c r="H44" s="121">
        <v>0.0</v>
      </c>
      <c r="I44" s="121">
        <v>0.0</v>
      </c>
      <c r="J44" s="121">
        <v>0.0</v>
      </c>
      <c r="K44" s="121">
        <v>1.0</v>
      </c>
      <c r="L44" s="121">
        <v>0.0</v>
      </c>
      <c r="M44" s="121">
        <v>0.0</v>
      </c>
      <c r="N44" s="121">
        <v>0.0</v>
      </c>
      <c r="O44" s="121">
        <v>0.0</v>
      </c>
      <c r="P44" s="121">
        <v>0.0</v>
      </c>
      <c r="Q44" s="121">
        <v>0.0</v>
      </c>
      <c r="R44" s="121">
        <v>0.0</v>
      </c>
      <c r="S44" s="121">
        <v>0.0</v>
      </c>
      <c r="T44" s="121">
        <v>0.0</v>
      </c>
      <c r="U44" s="121">
        <v>0.0</v>
      </c>
      <c r="V44" s="121">
        <v>0.0</v>
      </c>
      <c r="W44" s="121">
        <v>0.0</v>
      </c>
      <c r="X44" s="121">
        <v>0.0</v>
      </c>
    </row>
    <row r="45" ht="15.75" customHeight="1">
      <c r="A45" s="121">
        <v>7.0</v>
      </c>
      <c r="B45" s="121" t="s">
        <v>148</v>
      </c>
      <c r="C45" s="121">
        <v>12.0</v>
      </c>
      <c r="D45" s="122">
        <v>66.0</v>
      </c>
      <c r="E45" s="149">
        <v>0.0</v>
      </c>
      <c r="F45" s="121">
        <v>0.0</v>
      </c>
      <c r="G45" s="121">
        <v>0.0</v>
      </c>
      <c r="H45" s="121">
        <v>0.0</v>
      </c>
      <c r="I45" s="121">
        <v>0.0</v>
      </c>
      <c r="J45" s="121">
        <v>0.0</v>
      </c>
      <c r="K45" s="121">
        <v>0.0</v>
      </c>
      <c r="L45" s="121">
        <v>0.0</v>
      </c>
      <c r="M45" s="121">
        <v>0.0</v>
      </c>
      <c r="N45" s="121">
        <v>0.0</v>
      </c>
      <c r="O45" s="121">
        <v>15.0</v>
      </c>
      <c r="P45" s="121">
        <v>0.0</v>
      </c>
      <c r="Q45" s="121">
        <v>0.0</v>
      </c>
      <c r="R45" s="121">
        <v>0.0</v>
      </c>
      <c r="S45" s="121">
        <v>0.0</v>
      </c>
      <c r="T45" s="121">
        <v>0.0</v>
      </c>
      <c r="U45" s="121">
        <v>0.0</v>
      </c>
      <c r="V45" s="121">
        <v>0.0</v>
      </c>
      <c r="W45" s="121">
        <v>0.0</v>
      </c>
      <c r="X45" s="121">
        <v>0.0</v>
      </c>
    </row>
    <row r="46" ht="15.75" customHeight="1">
      <c r="A46" s="121">
        <v>7.0</v>
      </c>
      <c r="B46" s="121" t="s">
        <v>149</v>
      </c>
      <c r="C46" s="121">
        <v>12.0</v>
      </c>
      <c r="D46" s="122">
        <v>66.0</v>
      </c>
      <c r="E46" s="149">
        <v>0.0</v>
      </c>
      <c r="F46" s="121">
        <v>0.0</v>
      </c>
      <c r="G46" s="121">
        <v>0.0</v>
      </c>
      <c r="H46" s="121">
        <v>1.0</v>
      </c>
      <c r="I46" s="121">
        <v>0.0</v>
      </c>
      <c r="J46" s="121">
        <v>0.0</v>
      </c>
      <c r="K46" s="121">
        <v>0.0</v>
      </c>
      <c r="L46" s="121">
        <v>0.0</v>
      </c>
      <c r="M46" s="121">
        <v>0.0</v>
      </c>
      <c r="N46" s="121">
        <v>0.0</v>
      </c>
      <c r="O46" s="121">
        <v>0.0</v>
      </c>
      <c r="P46" s="121">
        <v>0.0</v>
      </c>
      <c r="Q46" s="121">
        <v>0.0</v>
      </c>
      <c r="R46" s="121">
        <v>0.0</v>
      </c>
      <c r="S46" s="121">
        <v>0.0</v>
      </c>
      <c r="T46" s="121">
        <v>0.0</v>
      </c>
      <c r="U46" s="121">
        <v>0.0</v>
      </c>
      <c r="V46" s="121">
        <v>0.0</v>
      </c>
      <c r="W46" s="121">
        <v>0.0</v>
      </c>
      <c r="X46" s="121">
        <v>0.0</v>
      </c>
    </row>
    <row r="47" ht="15.75" customHeight="1">
      <c r="A47" s="121">
        <v>7.0</v>
      </c>
      <c r="B47" s="121" t="s">
        <v>150</v>
      </c>
      <c r="C47" s="121">
        <v>12.0</v>
      </c>
      <c r="D47" s="122">
        <v>66.0</v>
      </c>
      <c r="E47" s="149">
        <v>0.0</v>
      </c>
      <c r="F47" s="121">
        <v>30.0</v>
      </c>
      <c r="G47" s="121">
        <v>0.0</v>
      </c>
      <c r="H47" s="121">
        <v>0.0</v>
      </c>
      <c r="I47" s="121">
        <v>0.0</v>
      </c>
      <c r="J47" s="121">
        <v>0.0</v>
      </c>
      <c r="K47" s="121">
        <v>0.0</v>
      </c>
      <c r="L47" s="121">
        <v>0.0</v>
      </c>
      <c r="M47" s="121">
        <v>0.0</v>
      </c>
      <c r="N47" s="121">
        <v>0.0</v>
      </c>
      <c r="O47" s="121">
        <v>0.0</v>
      </c>
      <c r="P47" s="121">
        <v>0.0</v>
      </c>
      <c r="Q47" s="121">
        <v>0.0</v>
      </c>
      <c r="R47" s="121">
        <v>0.0</v>
      </c>
      <c r="S47" s="121">
        <v>0.0</v>
      </c>
      <c r="T47" s="121">
        <v>0.0</v>
      </c>
      <c r="U47" s="121">
        <v>0.0</v>
      </c>
      <c r="V47" s="121">
        <v>0.0</v>
      </c>
      <c r="W47" s="121">
        <v>0.0</v>
      </c>
      <c r="X47" s="121">
        <v>0.0</v>
      </c>
    </row>
    <row r="48" ht="15.75" customHeight="1">
      <c r="A48" s="121">
        <v>7.0</v>
      </c>
      <c r="B48" s="121" t="s">
        <v>151</v>
      </c>
      <c r="C48" s="121">
        <v>12.0</v>
      </c>
      <c r="D48" s="122">
        <v>66.0</v>
      </c>
      <c r="E48" s="149">
        <v>0.0</v>
      </c>
      <c r="F48" s="121">
        <v>0.0</v>
      </c>
      <c r="G48" s="121">
        <v>15.0</v>
      </c>
      <c r="H48" s="121">
        <v>0.0</v>
      </c>
      <c r="I48" s="121">
        <v>0.0</v>
      </c>
      <c r="J48" s="121">
        <v>0.0</v>
      </c>
      <c r="K48" s="121">
        <v>0.0</v>
      </c>
      <c r="L48" s="121">
        <v>0.0</v>
      </c>
      <c r="M48" s="121">
        <v>0.0</v>
      </c>
      <c r="N48" s="121">
        <v>0.0</v>
      </c>
      <c r="O48" s="121">
        <v>0.0</v>
      </c>
      <c r="P48" s="121">
        <v>0.0</v>
      </c>
      <c r="Q48" s="121">
        <v>0.0</v>
      </c>
      <c r="R48" s="121">
        <v>0.0</v>
      </c>
      <c r="S48" s="121">
        <v>0.0</v>
      </c>
      <c r="T48" s="121">
        <v>0.0</v>
      </c>
      <c r="U48" s="121">
        <v>0.0</v>
      </c>
      <c r="V48" s="121">
        <v>0.0</v>
      </c>
      <c r="W48" s="121">
        <v>0.0</v>
      </c>
      <c r="X48" s="121">
        <v>0.0</v>
      </c>
    </row>
    <row r="49" ht="15.75" customHeight="1">
      <c r="A49" s="121">
        <v>8.0</v>
      </c>
      <c r="B49" s="121" t="s">
        <v>147</v>
      </c>
      <c r="C49" s="121">
        <v>15.0</v>
      </c>
      <c r="D49" s="122">
        <v>81.0</v>
      </c>
      <c r="E49" s="149">
        <v>0.0</v>
      </c>
      <c r="F49" s="121">
        <v>0.0</v>
      </c>
      <c r="G49" s="121">
        <v>0.0</v>
      </c>
      <c r="H49" s="121">
        <v>0.0</v>
      </c>
      <c r="I49" s="121">
        <v>0.0</v>
      </c>
      <c r="J49" s="121">
        <v>1.0</v>
      </c>
      <c r="K49" s="121">
        <v>0.0</v>
      </c>
      <c r="L49" s="121">
        <v>0.0</v>
      </c>
      <c r="M49" s="121">
        <v>0.0</v>
      </c>
      <c r="N49" s="121">
        <v>30.0</v>
      </c>
      <c r="O49" s="121">
        <v>0.0</v>
      </c>
      <c r="P49" s="121">
        <v>0.0</v>
      </c>
      <c r="Q49" s="121">
        <v>0.0</v>
      </c>
      <c r="R49" s="121">
        <v>0.0</v>
      </c>
      <c r="S49" s="121">
        <v>0.0</v>
      </c>
      <c r="T49" s="121">
        <v>0.0</v>
      </c>
      <c r="U49" s="121">
        <v>0.0</v>
      </c>
      <c r="V49" s="121">
        <v>0.0</v>
      </c>
      <c r="W49" s="121">
        <v>0.0</v>
      </c>
      <c r="X49" s="121">
        <v>0.0</v>
      </c>
    </row>
    <row r="50" ht="15.75" customHeight="1">
      <c r="A50" s="121">
        <v>8.0</v>
      </c>
      <c r="B50" s="121" t="s">
        <v>148</v>
      </c>
      <c r="C50" s="121">
        <v>15.0</v>
      </c>
      <c r="D50" s="122">
        <v>81.0</v>
      </c>
      <c r="E50" s="149">
        <v>0.0</v>
      </c>
      <c r="F50" s="121">
        <v>0.0</v>
      </c>
      <c r="G50" s="121">
        <v>0.0</v>
      </c>
      <c r="H50" s="121">
        <v>0.0</v>
      </c>
      <c r="I50" s="121">
        <v>0.0</v>
      </c>
      <c r="J50" s="121">
        <v>0.0</v>
      </c>
      <c r="K50" s="121">
        <v>0.0</v>
      </c>
      <c r="L50" s="121">
        <v>0.0</v>
      </c>
      <c r="M50" s="121">
        <v>1.0</v>
      </c>
      <c r="N50" s="121">
        <v>0.0</v>
      </c>
      <c r="O50" s="121">
        <v>0.0</v>
      </c>
      <c r="P50" s="121">
        <v>0.0</v>
      </c>
      <c r="Q50" s="121">
        <v>0.0</v>
      </c>
      <c r="R50" s="121">
        <v>0.0</v>
      </c>
      <c r="S50" s="121">
        <v>0.0</v>
      </c>
      <c r="T50" s="121">
        <v>0.0</v>
      </c>
      <c r="U50" s="121">
        <v>0.0</v>
      </c>
      <c r="V50" s="121">
        <v>0.0</v>
      </c>
      <c r="W50" s="121">
        <v>0.0</v>
      </c>
      <c r="X50" s="121">
        <v>0.0</v>
      </c>
    </row>
    <row r="51" ht="15.75" customHeight="1">
      <c r="A51" s="121">
        <v>8.0</v>
      </c>
      <c r="B51" s="121" t="s">
        <v>149</v>
      </c>
      <c r="C51" s="121">
        <v>15.0</v>
      </c>
      <c r="D51" s="122">
        <v>81.0</v>
      </c>
      <c r="E51" s="149">
        <v>0.0</v>
      </c>
      <c r="F51" s="121">
        <v>0.0</v>
      </c>
      <c r="G51" s="121">
        <v>0.0</v>
      </c>
      <c r="H51" s="121">
        <v>0.0</v>
      </c>
      <c r="I51" s="121">
        <v>0.0</v>
      </c>
      <c r="J51" s="121">
        <v>0.0</v>
      </c>
      <c r="K51" s="121">
        <v>0.0</v>
      </c>
      <c r="L51" s="121">
        <v>0.0</v>
      </c>
      <c r="M51" s="121">
        <v>0.0</v>
      </c>
      <c r="N51" s="121">
        <v>0.0</v>
      </c>
      <c r="O51" s="121">
        <v>0.0</v>
      </c>
      <c r="P51" s="121">
        <v>15.0</v>
      </c>
      <c r="Q51" s="121">
        <v>0.0</v>
      </c>
      <c r="R51" s="121">
        <v>0.0</v>
      </c>
      <c r="S51" s="121">
        <v>0.0</v>
      </c>
      <c r="T51" s="121">
        <v>0.0</v>
      </c>
      <c r="U51" s="121">
        <v>0.0</v>
      </c>
      <c r="V51" s="121">
        <v>0.0</v>
      </c>
      <c r="W51" s="121">
        <v>0.0</v>
      </c>
      <c r="X51" s="121">
        <v>0.0</v>
      </c>
    </row>
    <row r="52" ht="15.75" customHeight="1">
      <c r="A52" s="121">
        <v>8.0</v>
      </c>
      <c r="B52" s="121" t="s">
        <v>150</v>
      </c>
      <c r="C52" s="121">
        <v>15.0</v>
      </c>
      <c r="D52" s="122">
        <v>81.0</v>
      </c>
      <c r="E52" s="149">
        <v>0.0</v>
      </c>
      <c r="F52" s="121">
        <v>0.0</v>
      </c>
      <c r="G52" s="121">
        <v>0.0</v>
      </c>
      <c r="H52" s="121">
        <v>0.0</v>
      </c>
      <c r="I52" s="121">
        <v>1.0</v>
      </c>
      <c r="J52" s="121">
        <v>0.0</v>
      </c>
      <c r="K52" s="121">
        <v>0.0</v>
      </c>
      <c r="L52" s="121">
        <v>0.0</v>
      </c>
      <c r="M52" s="121">
        <v>0.0</v>
      </c>
      <c r="N52" s="121">
        <v>0.0</v>
      </c>
      <c r="O52" s="121">
        <v>0.0</v>
      </c>
      <c r="P52" s="121">
        <v>0.0</v>
      </c>
      <c r="Q52" s="121">
        <v>0.0</v>
      </c>
      <c r="R52" s="121">
        <v>0.0</v>
      </c>
      <c r="S52" s="121">
        <v>0.0</v>
      </c>
      <c r="T52" s="121">
        <v>0.0</v>
      </c>
      <c r="U52" s="121">
        <v>0.0</v>
      </c>
      <c r="V52" s="121">
        <v>0.0</v>
      </c>
      <c r="W52" s="121">
        <v>0.0</v>
      </c>
      <c r="X52" s="121">
        <v>0.0</v>
      </c>
    </row>
    <row r="53" ht="15.75" customHeight="1">
      <c r="A53" s="121">
        <v>8.0</v>
      </c>
      <c r="B53" s="121" t="s">
        <v>151</v>
      </c>
      <c r="C53" s="121">
        <v>15.0</v>
      </c>
      <c r="D53" s="122">
        <v>81.0</v>
      </c>
      <c r="E53" s="149">
        <v>0.0</v>
      </c>
      <c r="F53" s="121">
        <v>0.0</v>
      </c>
      <c r="G53" s="121">
        <v>0.0</v>
      </c>
      <c r="H53" s="121">
        <v>1.0</v>
      </c>
      <c r="I53" s="121">
        <v>0.0</v>
      </c>
      <c r="J53" s="121">
        <v>0.0</v>
      </c>
      <c r="K53" s="121">
        <v>0.0</v>
      </c>
      <c r="L53" s="121">
        <v>0.0</v>
      </c>
      <c r="M53" s="121">
        <v>0.0</v>
      </c>
      <c r="N53" s="121">
        <v>0.0</v>
      </c>
      <c r="O53" s="121">
        <v>0.0</v>
      </c>
      <c r="P53" s="121">
        <v>0.0</v>
      </c>
      <c r="Q53" s="121">
        <v>0.0</v>
      </c>
      <c r="R53" s="121">
        <v>0.0</v>
      </c>
      <c r="S53" s="121">
        <v>0.0</v>
      </c>
      <c r="T53" s="121">
        <v>0.0</v>
      </c>
      <c r="U53" s="121">
        <v>0.0</v>
      </c>
      <c r="V53" s="121">
        <v>0.0</v>
      </c>
      <c r="W53" s="121">
        <v>0.0</v>
      </c>
      <c r="X53" s="121">
        <v>0.0</v>
      </c>
    </row>
    <row r="54" ht="15.75" customHeight="1">
      <c r="A54" s="121">
        <v>9.0</v>
      </c>
      <c r="B54" s="121" t="s">
        <v>147</v>
      </c>
      <c r="C54" s="121">
        <v>17.0</v>
      </c>
      <c r="D54" s="122">
        <v>98.0</v>
      </c>
      <c r="E54" s="149">
        <v>70.0</v>
      </c>
      <c r="F54" s="121">
        <v>30.0</v>
      </c>
      <c r="G54" s="121">
        <v>0.0</v>
      </c>
      <c r="H54" s="121">
        <v>1.0</v>
      </c>
      <c r="I54" s="121">
        <v>0.0</v>
      </c>
      <c r="J54" s="121">
        <v>0.0</v>
      </c>
      <c r="K54" s="121">
        <v>0.0</v>
      </c>
      <c r="L54" s="121">
        <v>0.0</v>
      </c>
      <c r="M54" s="121">
        <v>0.0</v>
      </c>
      <c r="N54" s="121">
        <v>0.0</v>
      </c>
      <c r="O54" s="121">
        <v>0.0</v>
      </c>
      <c r="P54" s="121">
        <v>0.0</v>
      </c>
      <c r="Q54" s="121">
        <v>0.0</v>
      </c>
      <c r="R54" s="121">
        <v>0.0</v>
      </c>
      <c r="S54" s="121">
        <v>0.0</v>
      </c>
      <c r="T54" s="121">
        <v>0.0</v>
      </c>
      <c r="U54" s="121">
        <v>0.0</v>
      </c>
      <c r="V54" s="121">
        <v>0.0</v>
      </c>
      <c r="W54" s="121">
        <v>0.0</v>
      </c>
      <c r="X54" s="121">
        <v>0.0</v>
      </c>
    </row>
    <row r="55" ht="15.75" customHeight="1">
      <c r="A55" s="121">
        <v>9.0</v>
      </c>
      <c r="B55" s="121" t="s">
        <v>148</v>
      </c>
      <c r="C55" s="121">
        <v>17.0</v>
      </c>
      <c r="D55" s="122">
        <v>98.0</v>
      </c>
      <c r="E55" s="149">
        <v>0.0</v>
      </c>
      <c r="F55" s="121">
        <v>0.0</v>
      </c>
      <c r="G55" s="121">
        <v>0.0</v>
      </c>
      <c r="H55" s="121">
        <v>0.0</v>
      </c>
      <c r="I55" s="121">
        <v>0.0</v>
      </c>
      <c r="J55" s="121">
        <v>0.0</v>
      </c>
      <c r="K55" s="121">
        <v>1.0</v>
      </c>
      <c r="L55" s="121">
        <v>0.0</v>
      </c>
      <c r="M55" s="121">
        <v>0.0</v>
      </c>
      <c r="N55" s="121">
        <v>0.0</v>
      </c>
      <c r="O55" s="121">
        <v>0.0</v>
      </c>
      <c r="P55" s="121">
        <v>0.0</v>
      </c>
      <c r="Q55" s="121">
        <v>15.0</v>
      </c>
      <c r="R55" s="121">
        <v>0.0</v>
      </c>
      <c r="S55" s="121">
        <v>0.0</v>
      </c>
      <c r="T55" s="121">
        <v>0.0</v>
      </c>
      <c r="U55" s="121">
        <v>0.0</v>
      </c>
      <c r="V55" s="121">
        <v>0.0</v>
      </c>
      <c r="W55" s="121">
        <v>0.0</v>
      </c>
      <c r="X55" s="121">
        <v>0.0</v>
      </c>
    </row>
    <row r="56" ht="15.75" customHeight="1">
      <c r="A56" s="121">
        <v>9.0</v>
      </c>
      <c r="B56" s="121" t="s">
        <v>149</v>
      </c>
      <c r="C56" s="121">
        <v>17.0</v>
      </c>
      <c r="D56" s="122">
        <v>98.0</v>
      </c>
      <c r="E56" s="149">
        <v>0.0</v>
      </c>
      <c r="F56" s="121">
        <v>0.0</v>
      </c>
      <c r="G56" s="121">
        <v>0.0</v>
      </c>
      <c r="H56" s="121">
        <v>0.0</v>
      </c>
      <c r="I56" s="121">
        <v>0.0</v>
      </c>
      <c r="J56" s="121">
        <v>0.0</v>
      </c>
      <c r="K56" s="121">
        <v>0.0</v>
      </c>
      <c r="L56" s="121">
        <v>0.0</v>
      </c>
      <c r="M56" s="121">
        <v>0.0</v>
      </c>
      <c r="N56" s="121">
        <v>0.0</v>
      </c>
      <c r="O56" s="121">
        <v>0.0</v>
      </c>
      <c r="P56" s="121">
        <v>15.0</v>
      </c>
      <c r="Q56" s="121">
        <v>0.0</v>
      </c>
      <c r="R56" s="121">
        <v>0.0</v>
      </c>
      <c r="S56" s="121">
        <v>0.0</v>
      </c>
      <c r="T56" s="121">
        <v>0.0</v>
      </c>
      <c r="U56" s="121">
        <v>0.0</v>
      </c>
      <c r="V56" s="121">
        <v>0.0</v>
      </c>
      <c r="W56" s="121">
        <v>0.0</v>
      </c>
      <c r="X56" s="121">
        <v>0.0</v>
      </c>
    </row>
    <row r="57" ht="15.75" customHeight="1">
      <c r="A57" s="121">
        <v>9.0</v>
      </c>
      <c r="B57" s="121" t="s">
        <v>150</v>
      </c>
      <c r="C57" s="121">
        <v>17.0</v>
      </c>
      <c r="D57" s="122">
        <v>98.0</v>
      </c>
      <c r="E57" s="149">
        <v>0.0</v>
      </c>
      <c r="F57" s="121">
        <v>0.0</v>
      </c>
      <c r="G57" s="121">
        <v>0.0</v>
      </c>
      <c r="H57" s="121">
        <v>0.0</v>
      </c>
      <c r="I57" s="121">
        <v>0.0</v>
      </c>
      <c r="J57" s="121">
        <v>0.0</v>
      </c>
      <c r="K57" s="121">
        <v>0.0</v>
      </c>
      <c r="L57" s="121">
        <v>0.0</v>
      </c>
      <c r="M57" s="121">
        <v>0.0</v>
      </c>
      <c r="N57" s="121">
        <v>0.0</v>
      </c>
      <c r="O57" s="121">
        <v>15.0</v>
      </c>
      <c r="P57" s="121">
        <v>0.0</v>
      </c>
      <c r="Q57" s="121">
        <v>0.0</v>
      </c>
      <c r="R57" s="121">
        <v>0.0</v>
      </c>
      <c r="S57" s="121">
        <v>0.0</v>
      </c>
      <c r="T57" s="121">
        <v>0.0</v>
      </c>
      <c r="U57" s="121">
        <v>0.0</v>
      </c>
      <c r="V57" s="121">
        <v>0.0</v>
      </c>
      <c r="W57" s="121">
        <v>0.0</v>
      </c>
      <c r="X57" s="121">
        <v>0.0</v>
      </c>
    </row>
    <row r="58" ht="15.75" customHeight="1">
      <c r="A58" s="121">
        <v>9.0</v>
      </c>
      <c r="B58" s="121" t="s">
        <v>151</v>
      </c>
      <c r="C58" s="121">
        <v>17.0</v>
      </c>
      <c r="D58" s="122">
        <v>98.0</v>
      </c>
      <c r="E58" s="149">
        <v>0.0</v>
      </c>
      <c r="F58" s="121">
        <v>0.0</v>
      </c>
      <c r="G58" s="121">
        <v>15.0</v>
      </c>
      <c r="H58" s="121">
        <v>0.0</v>
      </c>
      <c r="I58" s="121">
        <v>0.0</v>
      </c>
      <c r="J58" s="121">
        <v>0.0</v>
      </c>
      <c r="K58" s="121">
        <v>0.0</v>
      </c>
      <c r="L58" s="121">
        <v>0.0</v>
      </c>
      <c r="M58" s="121">
        <v>0.0</v>
      </c>
      <c r="N58" s="121">
        <v>0.0</v>
      </c>
      <c r="O58" s="121">
        <v>0.0</v>
      </c>
      <c r="P58" s="121">
        <v>0.0</v>
      </c>
      <c r="Q58" s="121">
        <v>0.0</v>
      </c>
      <c r="R58" s="121">
        <v>0.0</v>
      </c>
      <c r="S58" s="121">
        <v>0.0</v>
      </c>
      <c r="T58" s="121">
        <v>0.0</v>
      </c>
      <c r="U58" s="121">
        <v>0.0</v>
      </c>
      <c r="V58" s="121">
        <v>0.0</v>
      </c>
      <c r="W58" s="121">
        <v>0.0</v>
      </c>
      <c r="X58" s="121">
        <v>0.0</v>
      </c>
    </row>
    <row r="59" ht="15.75" customHeight="1">
      <c r="A59" s="121">
        <v>10.0</v>
      </c>
      <c r="B59" s="121" t="s">
        <v>147</v>
      </c>
      <c r="C59" s="121">
        <v>8.0</v>
      </c>
      <c r="D59" s="122">
        <v>106.0</v>
      </c>
      <c r="E59" s="149">
        <v>0.0</v>
      </c>
      <c r="F59" s="121">
        <v>0.0</v>
      </c>
      <c r="G59" s="121">
        <v>0.0</v>
      </c>
      <c r="H59" s="121">
        <v>0.0</v>
      </c>
      <c r="I59" s="121">
        <v>0.0</v>
      </c>
      <c r="J59" s="121">
        <v>0.0</v>
      </c>
      <c r="K59" s="121">
        <v>0.0</v>
      </c>
      <c r="L59" s="121">
        <v>0.0</v>
      </c>
      <c r="M59" s="121">
        <v>0.0</v>
      </c>
      <c r="N59" s="121">
        <v>0.0</v>
      </c>
      <c r="O59" s="121">
        <v>20.0</v>
      </c>
      <c r="P59" s="121">
        <v>0.0</v>
      </c>
      <c r="Q59" s="121">
        <v>0.0</v>
      </c>
      <c r="R59" s="121">
        <v>0.0</v>
      </c>
      <c r="S59" s="121">
        <v>0.0</v>
      </c>
      <c r="T59" s="121">
        <v>0.0</v>
      </c>
      <c r="U59" s="121">
        <v>0.0</v>
      </c>
      <c r="V59" s="121">
        <v>0.0</v>
      </c>
      <c r="W59" s="121">
        <v>0.0</v>
      </c>
      <c r="X59" s="121">
        <v>0.0</v>
      </c>
    </row>
    <row r="60" ht="15.75" customHeight="1">
      <c r="A60" s="121">
        <v>10.0</v>
      </c>
      <c r="B60" s="121" t="s">
        <v>148</v>
      </c>
      <c r="C60" s="121">
        <v>8.0</v>
      </c>
      <c r="D60" s="122">
        <v>106.0</v>
      </c>
      <c r="E60" s="149">
        <v>0.0</v>
      </c>
      <c r="F60" s="121">
        <v>0.0</v>
      </c>
      <c r="G60" s="121">
        <v>0.0</v>
      </c>
      <c r="H60" s="121">
        <v>0.0</v>
      </c>
      <c r="I60" s="121">
        <v>0.0</v>
      </c>
      <c r="J60" s="121">
        <v>0.0</v>
      </c>
      <c r="K60" s="121">
        <v>0.0</v>
      </c>
      <c r="L60" s="121">
        <v>0.0</v>
      </c>
      <c r="M60" s="121">
        <v>0.0</v>
      </c>
      <c r="N60" s="121">
        <v>15.0</v>
      </c>
      <c r="O60" s="121">
        <v>0.0</v>
      </c>
      <c r="P60" s="121">
        <v>0.0</v>
      </c>
      <c r="Q60" s="121">
        <v>0.0</v>
      </c>
      <c r="R60" s="121">
        <v>0.0</v>
      </c>
      <c r="S60" s="121">
        <v>0.0</v>
      </c>
      <c r="T60" s="121">
        <v>0.0</v>
      </c>
      <c r="U60" s="121">
        <v>0.0</v>
      </c>
      <c r="V60" s="121">
        <v>0.0</v>
      </c>
      <c r="W60" s="121">
        <v>0.0</v>
      </c>
      <c r="X60" s="121">
        <v>0.0</v>
      </c>
    </row>
    <row r="61" ht="15.75" customHeight="1">
      <c r="A61" s="121">
        <v>10.0</v>
      </c>
      <c r="B61" s="121" t="s">
        <v>149</v>
      </c>
      <c r="C61" s="121">
        <v>8.0</v>
      </c>
      <c r="D61" s="122">
        <v>106.0</v>
      </c>
      <c r="E61" s="149">
        <v>0.0</v>
      </c>
      <c r="F61" s="121">
        <v>0.0</v>
      </c>
      <c r="G61" s="121">
        <v>0.0</v>
      </c>
      <c r="H61" s="121">
        <v>0.0</v>
      </c>
      <c r="I61" s="121">
        <v>0.0</v>
      </c>
      <c r="J61" s="121">
        <v>1.0</v>
      </c>
      <c r="K61" s="121">
        <v>0.0</v>
      </c>
      <c r="L61" s="121">
        <v>0.0</v>
      </c>
      <c r="M61" s="121">
        <v>0.0</v>
      </c>
      <c r="N61" s="121">
        <v>0.0</v>
      </c>
      <c r="O61" s="121">
        <v>0.0</v>
      </c>
      <c r="P61" s="121">
        <v>0.0</v>
      </c>
      <c r="Q61" s="121">
        <v>0.0</v>
      </c>
      <c r="R61" s="121">
        <v>0.0</v>
      </c>
      <c r="S61" s="121">
        <v>0.0</v>
      </c>
      <c r="T61" s="121">
        <v>0.0</v>
      </c>
      <c r="U61" s="121">
        <v>0.0</v>
      </c>
      <c r="V61" s="121">
        <v>0.0</v>
      </c>
      <c r="W61" s="121">
        <v>0.0</v>
      </c>
      <c r="X61" s="121">
        <v>0.0</v>
      </c>
    </row>
    <row r="62" ht="15.75" customHeight="1">
      <c r="A62" s="121">
        <v>10.0</v>
      </c>
      <c r="B62" s="121" t="s">
        <v>150</v>
      </c>
      <c r="C62" s="121">
        <v>8.0</v>
      </c>
      <c r="D62" s="122">
        <v>106.0</v>
      </c>
      <c r="E62" s="149">
        <v>0.0</v>
      </c>
      <c r="F62" s="121">
        <v>0.0</v>
      </c>
      <c r="G62" s="121">
        <v>0.0</v>
      </c>
      <c r="H62" s="121">
        <v>0.0</v>
      </c>
      <c r="I62" s="121">
        <v>1.0</v>
      </c>
      <c r="J62" s="121">
        <v>0.0</v>
      </c>
      <c r="K62" s="121">
        <v>0.0</v>
      </c>
      <c r="L62" s="121">
        <v>0.0</v>
      </c>
      <c r="M62" s="121">
        <v>0.0</v>
      </c>
      <c r="N62" s="121">
        <v>0.0</v>
      </c>
      <c r="O62" s="121">
        <v>0.0</v>
      </c>
      <c r="P62" s="121">
        <v>0.0</v>
      </c>
      <c r="Q62" s="121">
        <v>0.0</v>
      </c>
      <c r="R62" s="121">
        <v>0.0</v>
      </c>
      <c r="S62" s="121">
        <v>0.0</v>
      </c>
      <c r="T62" s="121">
        <v>0.0</v>
      </c>
      <c r="U62" s="121">
        <v>0.0</v>
      </c>
      <c r="V62" s="121">
        <v>0.0</v>
      </c>
      <c r="W62" s="121">
        <v>0.0</v>
      </c>
      <c r="X62" s="121">
        <v>0.0</v>
      </c>
    </row>
    <row r="63" ht="15.75" customHeight="1">
      <c r="A63" s="121">
        <v>10.0</v>
      </c>
      <c r="B63" s="121" t="s">
        <v>151</v>
      </c>
      <c r="C63" s="121">
        <v>8.0</v>
      </c>
      <c r="D63" s="122">
        <v>106.0</v>
      </c>
      <c r="E63" s="149">
        <v>0.0</v>
      </c>
      <c r="F63" s="121">
        <v>0.0</v>
      </c>
      <c r="G63" s="121">
        <v>0.0</v>
      </c>
      <c r="H63" s="121">
        <v>1.0</v>
      </c>
      <c r="I63" s="121">
        <v>0.0</v>
      </c>
      <c r="J63" s="121">
        <v>0.0</v>
      </c>
      <c r="K63" s="121">
        <v>0.0</v>
      </c>
      <c r="L63" s="121">
        <v>0.0</v>
      </c>
      <c r="M63" s="121">
        <v>0.0</v>
      </c>
      <c r="N63" s="121">
        <v>0.0</v>
      </c>
      <c r="O63" s="121">
        <v>0.0</v>
      </c>
      <c r="P63" s="121">
        <v>0.0</v>
      </c>
      <c r="Q63" s="121">
        <v>0.0</v>
      </c>
      <c r="R63" s="121">
        <v>0.0</v>
      </c>
      <c r="S63" s="121">
        <v>0.0</v>
      </c>
      <c r="T63" s="121">
        <v>0.0</v>
      </c>
      <c r="U63" s="121">
        <v>0.0</v>
      </c>
      <c r="V63" s="121">
        <v>0.0</v>
      </c>
      <c r="W63" s="121">
        <v>0.0</v>
      </c>
      <c r="X63" s="121">
        <v>0.0</v>
      </c>
    </row>
    <row r="64" ht="15.75" customHeight="1">
      <c r="A64" s="121">
        <v>11.0</v>
      </c>
      <c r="B64" s="121" t="s">
        <v>147</v>
      </c>
      <c r="C64" s="121">
        <v>10.0</v>
      </c>
      <c r="D64" s="122">
        <v>116.0</v>
      </c>
      <c r="E64" s="149">
        <v>0.0</v>
      </c>
      <c r="F64" s="121">
        <v>0.0</v>
      </c>
      <c r="G64" s="121">
        <v>0.0</v>
      </c>
      <c r="H64" s="121">
        <v>0.0</v>
      </c>
      <c r="I64" s="121">
        <v>0.0</v>
      </c>
      <c r="J64" s="121">
        <v>0.0</v>
      </c>
      <c r="K64" s="121">
        <v>0.0</v>
      </c>
      <c r="L64" s="121">
        <v>0.0</v>
      </c>
      <c r="M64" s="121">
        <v>0.0</v>
      </c>
      <c r="N64" s="121">
        <v>15.0</v>
      </c>
      <c r="O64" s="121">
        <v>0.0</v>
      </c>
      <c r="P64" s="121">
        <v>0.0</v>
      </c>
      <c r="Q64" s="121">
        <v>0.0</v>
      </c>
      <c r="R64" s="121">
        <v>0.0</v>
      </c>
      <c r="S64" s="121">
        <v>0.0</v>
      </c>
      <c r="T64" s="121">
        <v>0.0</v>
      </c>
      <c r="U64" s="121">
        <v>0.0</v>
      </c>
      <c r="V64" s="121">
        <v>0.0</v>
      </c>
      <c r="W64" s="121">
        <v>0.0</v>
      </c>
      <c r="X64" s="121">
        <v>0.0</v>
      </c>
    </row>
    <row r="65" ht="15.75" customHeight="1">
      <c r="A65" s="121">
        <v>11.0</v>
      </c>
      <c r="B65" s="121" t="s">
        <v>148</v>
      </c>
      <c r="C65" s="121">
        <v>10.0</v>
      </c>
      <c r="D65" s="122">
        <v>116.0</v>
      </c>
      <c r="E65" s="149">
        <v>0.0</v>
      </c>
      <c r="F65" s="121">
        <v>0.0</v>
      </c>
      <c r="G65" s="121">
        <v>0.0</v>
      </c>
      <c r="H65" s="121">
        <v>0.0</v>
      </c>
      <c r="I65" s="121">
        <v>0.0</v>
      </c>
      <c r="J65" s="121">
        <v>0.0</v>
      </c>
      <c r="K65" s="121">
        <v>0.0</v>
      </c>
      <c r="L65" s="121">
        <v>0.0</v>
      </c>
      <c r="M65" s="121">
        <v>0.0</v>
      </c>
      <c r="N65" s="121">
        <v>0.0</v>
      </c>
      <c r="O65" s="121">
        <v>0.0</v>
      </c>
      <c r="P65" s="121">
        <v>10.0</v>
      </c>
      <c r="Q65" s="121">
        <v>0.0</v>
      </c>
      <c r="R65" s="121">
        <v>0.0</v>
      </c>
      <c r="S65" s="121">
        <v>0.0</v>
      </c>
      <c r="T65" s="121">
        <v>0.0</v>
      </c>
      <c r="U65" s="121">
        <v>0.0</v>
      </c>
      <c r="V65" s="121">
        <v>0.0</v>
      </c>
      <c r="W65" s="121">
        <v>0.0</v>
      </c>
      <c r="X65" s="121">
        <v>0.0</v>
      </c>
    </row>
    <row r="66" ht="15.75" customHeight="1">
      <c r="A66" s="121">
        <v>11.0</v>
      </c>
      <c r="B66" s="121" t="s">
        <v>149</v>
      </c>
      <c r="C66" s="121">
        <v>10.0</v>
      </c>
      <c r="D66" s="122">
        <v>116.0</v>
      </c>
      <c r="E66" s="149">
        <v>0.0</v>
      </c>
      <c r="F66" s="121">
        <v>0.0</v>
      </c>
      <c r="G66" s="121">
        <v>0.0</v>
      </c>
      <c r="H66" s="121">
        <v>0.0</v>
      </c>
      <c r="I66" s="121">
        <v>0.0</v>
      </c>
      <c r="J66" s="121">
        <v>0.0</v>
      </c>
      <c r="K66" s="121">
        <v>1.0</v>
      </c>
      <c r="L66" s="121">
        <v>0.0</v>
      </c>
      <c r="M66" s="121">
        <v>0.0</v>
      </c>
      <c r="N66" s="121">
        <v>0.0</v>
      </c>
      <c r="O66" s="121">
        <v>0.0</v>
      </c>
      <c r="P66" s="121">
        <v>0.0</v>
      </c>
      <c r="Q66" s="121">
        <v>0.0</v>
      </c>
      <c r="R66" s="121">
        <v>0.0</v>
      </c>
      <c r="S66" s="121">
        <v>0.0</v>
      </c>
      <c r="T66" s="121">
        <v>0.0</v>
      </c>
      <c r="U66" s="121">
        <v>0.0</v>
      </c>
      <c r="V66" s="121">
        <v>0.0</v>
      </c>
      <c r="W66" s="121">
        <v>0.0</v>
      </c>
      <c r="X66" s="121">
        <v>0.0</v>
      </c>
    </row>
    <row r="67" ht="15.75" customHeight="1">
      <c r="A67" s="121">
        <v>11.0</v>
      </c>
      <c r="B67" s="121" t="s">
        <v>150</v>
      </c>
      <c r="C67" s="121">
        <v>10.0</v>
      </c>
      <c r="D67" s="122">
        <v>116.0</v>
      </c>
      <c r="E67" s="149">
        <v>0.0</v>
      </c>
      <c r="F67" s="121">
        <v>0.0</v>
      </c>
      <c r="G67" s="121">
        <v>0.0</v>
      </c>
      <c r="H67" s="121">
        <v>0.0</v>
      </c>
      <c r="I67" s="121">
        <v>0.0</v>
      </c>
      <c r="J67" s="121">
        <v>0.0</v>
      </c>
      <c r="K67" s="121">
        <v>0.0</v>
      </c>
      <c r="L67" s="121">
        <v>0.0</v>
      </c>
      <c r="M67" s="121">
        <v>0.0</v>
      </c>
      <c r="N67" s="121">
        <v>0.0</v>
      </c>
      <c r="O67" s="121">
        <v>10.0</v>
      </c>
      <c r="P67" s="121">
        <v>0.0</v>
      </c>
      <c r="Q67" s="121">
        <v>0.0</v>
      </c>
      <c r="R67" s="121">
        <v>0.0</v>
      </c>
      <c r="S67" s="121">
        <v>0.0</v>
      </c>
      <c r="T67" s="121">
        <v>0.0</v>
      </c>
      <c r="U67" s="121">
        <v>0.0</v>
      </c>
      <c r="V67" s="121">
        <v>0.0</v>
      </c>
      <c r="W67" s="121">
        <v>0.0</v>
      </c>
      <c r="X67" s="121">
        <v>0.0</v>
      </c>
    </row>
    <row r="68" ht="15.75" customHeight="1">
      <c r="A68" s="121">
        <v>11.0</v>
      </c>
      <c r="B68" s="121" t="s">
        <v>151</v>
      </c>
      <c r="C68" s="121">
        <v>10.0</v>
      </c>
      <c r="D68" s="122">
        <v>116.0</v>
      </c>
      <c r="E68" s="149">
        <v>0.0</v>
      </c>
      <c r="F68" s="121">
        <v>30.0</v>
      </c>
      <c r="G68" s="121">
        <v>0.0</v>
      </c>
      <c r="H68" s="121">
        <v>0.0</v>
      </c>
      <c r="I68" s="121">
        <v>0.0</v>
      </c>
      <c r="J68" s="121">
        <v>0.0</v>
      </c>
      <c r="K68" s="121">
        <v>0.0</v>
      </c>
      <c r="L68" s="121">
        <v>0.0</v>
      </c>
      <c r="M68" s="121">
        <v>0.0</v>
      </c>
      <c r="N68" s="121">
        <v>0.0</v>
      </c>
      <c r="O68" s="121">
        <v>0.0</v>
      </c>
      <c r="P68" s="121">
        <v>0.0</v>
      </c>
      <c r="Q68" s="121">
        <v>0.0</v>
      </c>
      <c r="R68" s="121">
        <v>0.0</v>
      </c>
      <c r="S68" s="121">
        <v>0.0</v>
      </c>
      <c r="T68" s="121">
        <v>0.0</v>
      </c>
      <c r="U68" s="121">
        <v>0.0</v>
      </c>
      <c r="V68" s="121">
        <v>0.0</v>
      </c>
      <c r="W68" s="121">
        <v>0.0</v>
      </c>
      <c r="X68" s="121">
        <v>0.0</v>
      </c>
    </row>
    <row r="69" ht="15.75" customHeight="1">
      <c r="A69" s="121">
        <v>12.0</v>
      </c>
      <c r="B69" s="121" t="s">
        <v>147</v>
      </c>
      <c r="C69" s="121">
        <v>12.0</v>
      </c>
      <c r="D69" s="122">
        <v>128.0</v>
      </c>
      <c r="E69" s="149">
        <v>0.0</v>
      </c>
      <c r="F69" s="121">
        <v>0.0</v>
      </c>
      <c r="G69" s="121">
        <v>0.0</v>
      </c>
      <c r="H69" s="121">
        <v>0.0</v>
      </c>
      <c r="I69" s="121">
        <v>0.0</v>
      </c>
      <c r="J69" s="121">
        <v>0.0</v>
      </c>
      <c r="K69" s="121">
        <v>0.0</v>
      </c>
      <c r="L69" s="121">
        <v>0.0</v>
      </c>
      <c r="M69" s="121">
        <v>1.0</v>
      </c>
      <c r="N69" s="121">
        <v>0.0</v>
      </c>
      <c r="O69" s="121">
        <v>0.0</v>
      </c>
      <c r="P69" s="121">
        <v>0.0</v>
      </c>
      <c r="Q69" s="121">
        <v>0.0</v>
      </c>
      <c r="R69" s="121">
        <v>0.0</v>
      </c>
      <c r="S69" s="121">
        <v>0.0</v>
      </c>
      <c r="T69" s="121">
        <v>0.0</v>
      </c>
      <c r="U69" s="121">
        <v>0.0</v>
      </c>
      <c r="V69" s="121">
        <v>0.0</v>
      </c>
      <c r="W69" s="121">
        <v>0.0</v>
      </c>
      <c r="X69" s="121">
        <v>0.0</v>
      </c>
    </row>
    <row r="70" ht="15.75" customHeight="1">
      <c r="A70" s="121">
        <v>12.0</v>
      </c>
      <c r="B70" s="121" t="s">
        <v>148</v>
      </c>
      <c r="C70" s="121">
        <v>12.0</v>
      </c>
      <c r="D70" s="122">
        <v>128.0</v>
      </c>
      <c r="E70" s="149">
        <v>0.0</v>
      </c>
      <c r="F70" s="121">
        <v>0.0</v>
      </c>
      <c r="G70" s="121">
        <v>0.0</v>
      </c>
      <c r="H70" s="121">
        <v>0.0</v>
      </c>
      <c r="I70" s="121">
        <v>0.0</v>
      </c>
      <c r="J70" s="121">
        <v>0.0</v>
      </c>
      <c r="K70" s="121">
        <v>0.0</v>
      </c>
      <c r="L70" s="121">
        <v>1.0</v>
      </c>
      <c r="M70" s="121">
        <v>0.0</v>
      </c>
      <c r="N70" s="121">
        <v>0.0</v>
      </c>
      <c r="O70" s="121">
        <v>0.0</v>
      </c>
      <c r="P70" s="121">
        <v>0.0</v>
      </c>
      <c r="Q70" s="121">
        <v>0.0</v>
      </c>
      <c r="R70" s="121">
        <v>0.0</v>
      </c>
      <c r="S70" s="121">
        <v>0.0</v>
      </c>
      <c r="T70" s="121">
        <v>0.0</v>
      </c>
      <c r="U70" s="121">
        <v>0.0</v>
      </c>
      <c r="V70" s="121">
        <v>0.0</v>
      </c>
      <c r="W70" s="121">
        <v>0.0</v>
      </c>
      <c r="X70" s="121">
        <v>0.0</v>
      </c>
    </row>
    <row r="71" ht="15.75" customHeight="1">
      <c r="A71" s="121">
        <v>12.0</v>
      </c>
      <c r="B71" s="121" t="s">
        <v>149</v>
      </c>
      <c r="C71" s="121">
        <v>12.0</v>
      </c>
      <c r="D71" s="122">
        <v>128.0</v>
      </c>
      <c r="E71" s="149">
        <v>0.0</v>
      </c>
      <c r="F71" s="121">
        <v>0.0</v>
      </c>
      <c r="G71" s="121">
        <v>0.0</v>
      </c>
      <c r="H71" s="121">
        <v>1.0</v>
      </c>
      <c r="I71" s="121">
        <v>0.0</v>
      </c>
      <c r="J71" s="121">
        <v>0.0</v>
      </c>
      <c r="K71" s="121">
        <v>0.0</v>
      </c>
      <c r="L71" s="121">
        <v>0.0</v>
      </c>
      <c r="M71" s="121">
        <v>0.0</v>
      </c>
      <c r="N71" s="121">
        <v>0.0</v>
      </c>
      <c r="O71" s="121">
        <v>0.0</v>
      </c>
      <c r="P71" s="121">
        <v>0.0</v>
      </c>
      <c r="Q71" s="121">
        <v>0.0</v>
      </c>
      <c r="R71" s="121">
        <v>0.0</v>
      </c>
      <c r="S71" s="121">
        <v>0.0</v>
      </c>
      <c r="T71" s="121">
        <v>0.0</v>
      </c>
      <c r="U71" s="121">
        <v>0.0</v>
      </c>
      <c r="V71" s="121">
        <v>0.0</v>
      </c>
      <c r="W71" s="121">
        <v>0.0</v>
      </c>
      <c r="X71" s="121">
        <v>0.0</v>
      </c>
    </row>
    <row r="72" ht="15.75" customHeight="1">
      <c r="A72" s="121">
        <v>12.0</v>
      </c>
      <c r="B72" s="121" t="s">
        <v>150</v>
      </c>
      <c r="C72" s="121">
        <v>12.0</v>
      </c>
      <c r="D72" s="122">
        <v>128.0</v>
      </c>
      <c r="E72" s="149">
        <v>0.0</v>
      </c>
      <c r="F72" s="121">
        <v>30.0</v>
      </c>
      <c r="G72" s="121">
        <v>0.0</v>
      </c>
      <c r="H72" s="121">
        <v>0.0</v>
      </c>
      <c r="I72" s="121">
        <v>0.0</v>
      </c>
      <c r="J72" s="121">
        <v>0.0</v>
      </c>
      <c r="K72" s="121">
        <v>0.0</v>
      </c>
      <c r="L72" s="121">
        <v>0.0</v>
      </c>
      <c r="M72" s="121">
        <v>0.0</v>
      </c>
      <c r="N72" s="121">
        <v>0.0</v>
      </c>
      <c r="O72" s="121">
        <v>0.0</v>
      </c>
      <c r="P72" s="121">
        <v>0.0</v>
      </c>
      <c r="Q72" s="121">
        <v>0.0</v>
      </c>
      <c r="R72" s="121">
        <v>0.0</v>
      </c>
      <c r="S72" s="121">
        <v>0.0</v>
      </c>
      <c r="T72" s="121">
        <v>0.0</v>
      </c>
      <c r="U72" s="121">
        <v>0.0</v>
      </c>
      <c r="V72" s="121">
        <v>0.0</v>
      </c>
      <c r="W72" s="121">
        <v>0.0</v>
      </c>
      <c r="X72" s="121">
        <v>0.0</v>
      </c>
    </row>
    <row r="73" ht="15.75" customHeight="1">
      <c r="A73" s="121">
        <v>12.0</v>
      </c>
      <c r="B73" s="121" t="s">
        <v>151</v>
      </c>
      <c r="C73" s="121">
        <v>12.0</v>
      </c>
      <c r="D73" s="122">
        <v>128.0</v>
      </c>
      <c r="E73" s="149">
        <v>0.0</v>
      </c>
      <c r="F73" s="121">
        <v>0.0</v>
      </c>
      <c r="G73" s="121">
        <v>15.0</v>
      </c>
      <c r="H73" s="121">
        <v>0.0</v>
      </c>
      <c r="I73" s="121">
        <v>0.0</v>
      </c>
      <c r="J73" s="121">
        <v>0.0</v>
      </c>
      <c r="K73" s="121">
        <v>0.0</v>
      </c>
      <c r="L73" s="121">
        <v>0.0</v>
      </c>
      <c r="M73" s="121">
        <v>0.0</v>
      </c>
      <c r="N73" s="121">
        <v>0.0</v>
      </c>
      <c r="O73" s="121">
        <v>0.0</v>
      </c>
      <c r="P73" s="121">
        <v>0.0</v>
      </c>
      <c r="Q73" s="121">
        <v>0.0</v>
      </c>
      <c r="R73" s="121">
        <v>0.0</v>
      </c>
      <c r="S73" s="121">
        <v>0.0</v>
      </c>
      <c r="T73" s="121">
        <v>0.0</v>
      </c>
      <c r="U73" s="121">
        <v>0.0</v>
      </c>
      <c r="V73" s="121">
        <v>0.0</v>
      </c>
      <c r="W73" s="121">
        <v>0.0</v>
      </c>
      <c r="X73" s="121">
        <v>0.0</v>
      </c>
    </row>
    <row r="74" ht="15.75" customHeight="1">
      <c r="A74" s="121">
        <v>13.0</v>
      </c>
      <c r="B74" s="121" t="s">
        <v>147</v>
      </c>
      <c r="C74" s="121">
        <v>15.0</v>
      </c>
      <c r="D74" s="122">
        <v>143.0</v>
      </c>
      <c r="E74" s="149">
        <v>65.0</v>
      </c>
      <c r="F74" s="121">
        <v>0.0</v>
      </c>
      <c r="G74" s="121">
        <v>0.0</v>
      </c>
      <c r="H74" s="121">
        <v>0.0</v>
      </c>
      <c r="I74" s="121">
        <v>0.0</v>
      </c>
      <c r="J74" s="121">
        <v>0.0</v>
      </c>
      <c r="K74" s="121">
        <v>0.0</v>
      </c>
      <c r="L74" s="121">
        <v>0.0</v>
      </c>
      <c r="M74" s="121">
        <v>0.0</v>
      </c>
      <c r="N74" s="121">
        <v>0.0</v>
      </c>
      <c r="O74" s="121">
        <v>0.0</v>
      </c>
      <c r="P74" s="121">
        <v>0.0</v>
      </c>
      <c r="Q74" s="121">
        <v>0.0</v>
      </c>
      <c r="R74" s="121">
        <v>0.0</v>
      </c>
      <c r="S74" s="121">
        <v>0.0</v>
      </c>
      <c r="T74" s="121">
        <v>0.0</v>
      </c>
      <c r="U74" s="121">
        <v>0.0</v>
      </c>
      <c r="V74" s="121">
        <v>0.0</v>
      </c>
      <c r="W74" s="121">
        <v>0.0</v>
      </c>
      <c r="X74" s="121">
        <v>0.0</v>
      </c>
    </row>
    <row r="75" ht="15.75" customHeight="1">
      <c r="A75" s="121">
        <v>13.0</v>
      </c>
      <c r="B75" s="121" t="s">
        <v>148</v>
      </c>
      <c r="C75" s="121">
        <v>15.0</v>
      </c>
      <c r="D75" s="122">
        <v>143.0</v>
      </c>
      <c r="E75" s="149">
        <v>0.0</v>
      </c>
      <c r="F75" s="121">
        <v>0.0</v>
      </c>
      <c r="G75" s="121">
        <v>0.0</v>
      </c>
      <c r="H75" s="121">
        <v>0.0</v>
      </c>
      <c r="I75" s="121">
        <v>0.0</v>
      </c>
      <c r="J75" s="121">
        <v>1.0</v>
      </c>
      <c r="K75" s="121">
        <v>0.0</v>
      </c>
      <c r="L75" s="121">
        <v>0.0</v>
      </c>
      <c r="M75" s="121">
        <v>0.0</v>
      </c>
      <c r="N75" s="121">
        <v>0.0</v>
      </c>
      <c r="O75" s="121">
        <v>0.0</v>
      </c>
      <c r="P75" s="121">
        <v>0.0</v>
      </c>
      <c r="Q75" s="121">
        <v>0.0</v>
      </c>
      <c r="R75" s="121">
        <v>0.0</v>
      </c>
      <c r="S75" s="121">
        <v>0.0</v>
      </c>
      <c r="T75" s="121">
        <v>0.0</v>
      </c>
      <c r="U75" s="121">
        <v>0.0</v>
      </c>
      <c r="V75" s="121">
        <v>0.0</v>
      </c>
      <c r="W75" s="121">
        <v>0.0</v>
      </c>
      <c r="X75" s="121">
        <v>0.0</v>
      </c>
    </row>
    <row r="76" ht="15.75" customHeight="1">
      <c r="A76" s="121">
        <v>13.0</v>
      </c>
      <c r="B76" s="121" t="s">
        <v>149</v>
      </c>
      <c r="C76" s="121">
        <v>15.0</v>
      </c>
      <c r="D76" s="122">
        <v>143.0</v>
      </c>
      <c r="E76" s="149">
        <v>0.0</v>
      </c>
      <c r="F76" s="121">
        <v>0.0</v>
      </c>
      <c r="G76" s="121">
        <v>0.0</v>
      </c>
      <c r="H76" s="121">
        <v>0.0</v>
      </c>
      <c r="I76" s="121">
        <v>0.0</v>
      </c>
      <c r="J76" s="121">
        <v>0.0</v>
      </c>
      <c r="K76" s="121">
        <v>0.0</v>
      </c>
      <c r="L76" s="121">
        <v>0.0</v>
      </c>
      <c r="M76" s="121">
        <v>0.0</v>
      </c>
      <c r="N76" s="121">
        <v>0.0</v>
      </c>
      <c r="O76" s="121">
        <v>0.0</v>
      </c>
      <c r="P76" s="121">
        <v>15.0</v>
      </c>
      <c r="Q76" s="121">
        <v>0.0</v>
      </c>
      <c r="R76" s="121">
        <v>0.0</v>
      </c>
      <c r="S76" s="121">
        <v>0.0</v>
      </c>
      <c r="T76" s="121">
        <v>0.0</v>
      </c>
      <c r="U76" s="121">
        <v>0.0</v>
      </c>
      <c r="V76" s="121">
        <v>0.0</v>
      </c>
      <c r="W76" s="121">
        <v>0.0</v>
      </c>
      <c r="X76" s="121">
        <v>0.0</v>
      </c>
    </row>
    <row r="77" ht="15.75" customHeight="1">
      <c r="A77" s="121">
        <v>13.0</v>
      </c>
      <c r="B77" s="121" t="s">
        <v>150</v>
      </c>
      <c r="C77" s="121">
        <v>15.0</v>
      </c>
      <c r="D77" s="122">
        <v>143.0</v>
      </c>
      <c r="E77" s="149">
        <v>0.0</v>
      </c>
      <c r="F77" s="121">
        <v>0.0</v>
      </c>
      <c r="G77" s="121">
        <v>0.0</v>
      </c>
      <c r="H77" s="121">
        <v>0.0</v>
      </c>
      <c r="I77" s="121">
        <v>0.0</v>
      </c>
      <c r="J77" s="121">
        <v>0.0</v>
      </c>
      <c r="K77" s="121">
        <v>1.0</v>
      </c>
      <c r="L77" s="121">
        <v>0.0</v>
      </c>
      <c r="M77" s="121">
        <v>0.0</v>
      </c>
      <c r="N77" s="121">
        <v>0.0</v>
      </c>
      <c r="O77" s="121">
        <v>0.0</v>
      </c>
      <c r="P77" s="121">
        <v>0.0</v>
      </c>
      <c r="Q77" s="121">
        <v>0.0</v>
      </c>
      <c r="R77" s="121">
        <v>0.0</v>
      </c>
      <c r="S77" s="121">
        <v>0.0</v>
      </c>
      <c r="T77" s="121">
        <v>0.0</v>
      </c>
      <c r="U77" s="121">
        <v>0.0</v>
      </c>
      <c r="V77" s="121">
        <v>0.0</v>
      </c>
      <c r="W77" s="121">
        <v>0.0</v>
      </c>
      <c r="X77" s="121">
        <v>0.0</v>
      </c>
    </row>
    <row r="78" ht="15.75" customHeight="1">
      <c r="A78" s="121">
        <v>13.0</v>
      </c>
      <c r="B78" s="121" t="s">
        <v>151</v>
      </c>
      <c r="C78" s="121">
        <v>15.0</v>
      </c>
      <c r="D78" s="122">
        <v>143.0</v>
      </c>
      <c r="E78" s="149">
        <v>0.0</v>
      </c>
      <c r="F78" s="121">
        <v>0.0</v>
      </c>
      <c r="G78" s="121">
        <v>0.0</v>
      </c>
      <c r="H78" s="121">
        <v>0.0</v>
      </c>
      <c r="I78" s="121">
        <v>0.0</v>
      </c>
      <c r="J78" s="121">
        <v>0.0</v>
      </c>
      <c r="K78" s="121">
        <v>0.0</v>
      </c>
      <c r="L78" s="121">
        <v>0.0</v>
      </c>
      <c r="M78" s="121">
        <v>0.0</v>
      </c>
      <c r="N78" s="121">
        <v>0.0</v>
      </c>
      <c r="O78" s="121">
        <v>15.0</v>
      </c>
      <c r="P78" s="121">
        <v>0.0</v>
      </c>
      <c r="Q78" s="121">
        <v>0.0</v>
      </c>
      <c r="R78" s="121">
        <v>0.0</v>
      </c>
      <c r="S78" s="121">
        <v>0.0</v>
      </c>
      <c r="T78" s="121">
        <v>0.0</v>
      </c>
      <c r="U78" s="121">
        <v>0.0</v>
      </c>
      <c r="V78" s="121">
        <v>0.0</v>
      </c>
      <c r="W78" s="121">
        <v>0.0</v>
      </c>
      <c r="X78" s="121">
        <v>0.0</v>
      </c>
    </row>
    <row r="79" ht="15.75" customHeight="1">
      <c r="A79" s="121">
        <v>14.0</v>
      </c>
      <c r="B79" s="121" t="s">
        <v>147</v>
      </c>
      <c r="C79" s="121">
        <v>17.0</v>
      </c>
      <c r="D79" s="122">
        <v>160.0</v>
      </c>
      <c r="E79" s="149">
        <v>0.0</v>
      </c>
      <c r="F79" s="121">
        <v>0.0</v>
      </c>
      <c r="G79" s="121">
        <v>0.0</v>
      </c>
      <c r="H79" s="121">
        <v>0.0</v>
      </c>
      <c r="I79" s="121">
        <v>0.0</v>
      </c>
      <c r="J79" s="121">
        <v>0.0</v>
      </c>
      <c r="K79" s="121">
        <v>0.0</v>
      </c>
      <c r="L79" s="121">
        <v>0.0</v>
      </c>
      <c r="M79" s="121">
        <v>0.0</v>
      </c>
      <c r="N79" s="121">
        <v>20.0</v>
      </c>
      <c r="O79" s="121">
        <v>0.0</v>
      </c>
      <c r="P79" s="121">
        <v>0.0</v>
      </c>
      <c r="Q79" s="121">
        <v>0.0</v>
      </c>
      <c r="R79" s="121">
        <v>0.0</v>
      </c>
      <c r="S79" s="121">
        <v>0.0</v>
      </c>
      <c r="T79" s="121">
        <v>0.0</v>
      </c>
      <c r="U79" s="121">
        <v>0.0</v>
      </c>
      <c r="V79" s="121">
        <v>0.0</v>
      </c>
      <c r="W79" s="121">
        <v>0.0</v>
      </c>
      <c r="X79" s="121">
        <v>0.0</v>
      </c>
    </row>
    <row r="80" ht="15.75" customHeight="1">
      <c r="A80" s="121">
        <v>14.0</v>
      </c>
      <c r="B80" s="121" t="s">
        <v>148</v>
      </c>
      <c r="C80" s="121">
        <v>17.0</v>
      </c>
      <c r="D80" s="122">
        <v>160.0</v>
      </c>
      <c r="E80" s="149">
        <v>0.0</v>
      </c>
      <c r="F80" s="121">
        <v>0.0</v>
      </c>
      <c r="G80" s="121">
        <v>0.0</v>
      </c>
      <c r="H80" s="121">
        <v>0.0</v>
      </c>
      <c r="I80" s="121">
        <v>0.0</v>
      </c>
      <c r="J80" s="121">
        <v>0.0</v>
      </c>
      <c r="K80" s="121">
        <v>0.0</v>
      </c>
      <c r="L80" s="121">
        <v>0.0</v>
      </c>
      <c r="M80" s="121">
        <v>1.0</v>
      </c>
      <c r="N80" s="121">
        <v>0.0</v>
      </c>
      <c r="O80" s="121">
        <v>0.0</v>
      </c>
      <c r="P80" s="121">
        <v>0.0</v>
      </c>
      <c r="Q80" s="121">
        <v>0.0</v>
      </c>
      <c r="R80" s="121">
        <v>0.0</v>
      </c>
      <c r="S80" s="121">
        <v>0.0</v>
      </c>
      <c r="T80" s="121">
        <v>0.0</v>
      </c>
      <c r="U80" s="121">
        <v>0.0</v>
      </c>
      <c r="V80" s="121">
        <v>0.0</v>
      </c>
      <c r="W80" s="121">
        <v>0.0</v>
      </c>
      <c r="X80" s="121">
        <v>0.0</v>
      </c>
    </row>
    <row r="81" ht="15.75" customHeight="1">
      <c r="A81" s="121">
        <v>14.0</v>
      </c>
      <c r="B81" s="121" t="s">
        <v>149</v>
      </c>
      <c r="C81" s="121">
        <v>17.0</v>
      </c>
      <c r="D81" s="122">
        <v>160.0</v>
      </c>
      <c r="E81" s="149">
        <v>0.0</v>
      </c>
      <c r="F81" s="121">
        <v>0.0</v>
      </c>
      <c r="G81" s="121">
        <v>0.0</v>
      </c>
      <c r="H81" s="121">
        <v>0.0</v>
      </c>
      <c r="I81" s="121">
        <v>0.0</v>
      </c>
      <c r="J81" s="121">
        <v>0.0</v>
      </c>
      <c r="K81" s="121">
        <v>0.0</v>
      </c>
      <c r="L81" s="121">
        <v>1.0</v>
      </c>
      <c r="M81" s="121">
        <v>0.0</v>
      </c>
      <c r="N81" s="121">
        <v>0.0</v>
      </c>
      <c r="O81" s="121">
        <v>0.0</v>
      </c>
      <c r="P81" s="121">
        <v>0.0</v>
      </c>
      <c r="Q81" s="121">
        <v>0.0</v>
      </c>
      <c r="R81" s="121">
        <v>0.0</v>
      </c>
      <c r="S81" s="121">
        <v>0.0</v>
      </c>
      <c r="T81" s="121">
        <v>0.0</v>
      </c>
      <c r="U81" s="121">
        <v>0.0</v>
      </c>
      <c r="V81" s="121">
        <v>0.0</v>
      </c>
      <c r="W81" s="121">
        <v>0.0</v>
      </c>
      <c r="X81" s="121">
        <v>0.0</v>
      </c>
    </row>
    <row r="82" ht="15.75" customHeight="1">
      <c r="A82" s="121">
        <v>14.0</v>
      </c>
      <c r="B82" s="121" t="s">
        <v>150</v>
      </c>
      <c r="C82" s="121">
        <v>17.0</v>
      </c>
      <c r="D82" s="122">
        <v>160.0</v>
      </c>
      <c r="E82" s="149">
        <v>0.0</v>
      </c>
      <c r="F82" s="121">
        <v>0.0</v>
      </c>
      <c r="G82" s="121">
        <v>0.0</v>
      </c>
      <c r="H82" s="121">
        <v>0.0</v>
      </c>
      <c r="I82" s="121">
        <v>0.0</v>
      </c>
      <c r="J82" s="121">
        <v>0.0</v>
      </c>
      <c r="K82" s="121">
        <v>1.0</v>
      </c>
      <c r="L82" s="121">
        <v>0.0</v>
      </c>
      <c r="M82" s="121">
        <v>0.0</v>
      </c>
      <c r="N82" s="121">
        <v>0.0</v>
      </c>
      <c r="O82" s="121">
        <v>0.0</v>
      </c>
      <c r="P82" s="121">
        <v>0.0</v>
      </c>
      <c r="Q82" s="121">
        <v>0.0</v>
      </c>
      <c r="R82" s="121">
        <v>0.0</v>
      </c>
      <c r="S82" s="121">
        <v>0.0</v>
      </c>
      <c r="T82" s="121">
        <v>0.0</v>
      </c>
      <c r="U82" s="121">
        <v>0.0</v>
      </c>
      <c r="V82" s="121">
        <v>0.0</v>
      </c>
      <c r="W82" s="121">
        <v>0.0</v>
      </c>
      <c r="X82" s="121">
        <v>0.0</v>
      </c>
    </row>
    <row r="83" ht="15.75" customHeight="1">
      <c r="A83" s="121">
        <v>14.0</v>
      </c>
      <c r="B83" s="121" t="s">
        <v>151</v>
      </c>
      <c r="C83" s="121">
        <v>17.0</v>
      </c>
      <c r="D83" s="122">
        <v>160.0</v>
      </c>
      <c r="E83" s="149">
        <v>0.0</v>
      </c>
      <c r="F83" s="121">
        <v>30.0</v>
      </c>
      <c r="G83" s="121">
        <v>0.0</v>
      </c>
      <c r="H83" s="121">
        <v>0.0</v>
      </c>
      <c r="I83" s="121">
        <v>0.0</v>
      </c>
      <c r="J83" s="121">
        <v>0.0</v>
      </c>
      <c r="K83" s="121">
        <v>0.0</v>
      </c>
      <c r="L83" s="121">
        <v>0.0</v>
      </c>
      <c r="M83" s="121">
        <v>0.0</v>
      </c>
      <c r="N83" s="121">
        <v>0.0</v>
      </c>
      <c r="O83" s="121">
        <v>0.0</v>
      </c>
      <c r="P83" s="121">
        <v>0.0</v>
      </c>
      <c r="Q83" s="121">
        <v>0.0</v>
      </c>
      <c r="R83" s="121">
        <v>0.0</v>
      </c>
      <c r="S83" s="121">
        <v>0.0</v>
      </c>
      <c r="T83" s="121">
        <v>0.0</v>
      </c>
      <c r="U83" s="121">
        <v>0.0</v>
      </c>
      <c r="V83" s="121">
        <v>0.0</v>
      </c>
      <c r="W83" s="121">
        <v>0.0</v>
      </c>
      <c r="X83" s="121">
        <v>0.0</v>
      </c>
    </row>
    <row r="84" ht="15.75" customHeight="1">
      <c r="A84" s="121">
        <v>15.0</v>
      </c>
      <c r="B84" s="121" t="s">
        <v>147</v>
      </c>
      <c r="C84" s="121">
        <v>25.0</v>
      </c>
      <c r="D84" s="122">
        <v>185.0</v>
      </c>
      <c r="E84" s="149">
        <v>150.0</v>
      </c>
      <c r="F84" s="121">
        <v>0.0</v>
      </c>
      <c r="G84" s="121">
        <v>0.0</v>
      </c>
      <c r="H84" s="121">
        <v>0.0</v>
      </c>
      <c r="I84" s="121">
        <v>0.0</v>
      </c>
      <c r="J84" s="121">
        <v>0.0</v>
      </c>
      <c r="K84" s="121">
        <v>1.0</v>
      </c>
      <c r="L84" s="121">
        <v>0.0</v>
      </c>
      <c r="M84" s="121">
        <v>0.0</v>
      </c>
      <c r="N84" s="121">
        <v>0.0</v>
      </c>
      <c r="O84" s="121">
        <v>30.0</v>
      </c>
      <c r="P84" s="121">
        <v>0.0</v>
      </c>
      <c r="Q84" s="121">
        <v>0.0</v>
      </c>
      <c r="R84" s="121">
        <v>0.0</v>
      </c>
      <c r="S84" s="121">
        <v>0.0</v>
      </c>
      <c r="T84" s="121">
        <v>0.0</v>
      </c>
      <c r="U84" s="121">
        <v>0.0</v>
      </c>
      <c r="V84" s="121">
        <v>0.0</v>
      </c>
      <c r="W84" s="121">
        <v>0.0</v>
      </c>
      <c r="X84" s="121">
        <v>0.0</v>
      </c>
    </row>
    <row r="85" ht="15.75" customHeight="1">
      <c r="A85" s="121">
        <v>15.0</v>
      </c>
      <c r="B85" s="121" t="s">
        <v>148</v>
      </c>
      <c r="C85" s="121">
        <v>25.0</v>
      </c>
      <c r="D85" s="122">
        <v>185.0</v>
      </c>
      <c r="E85" s="149">
        <v>0.0</v>
      </c>
      <c r="F85" s="121">
        <v>50.0</v>
      </c>
      <c r="G85" s="121">
        <v>0.0</v>
      </c>
      <c r="H85" s="121">
        <v>0.0</v>
      </c>
      <c r="I85" s="121">
        <v>0.0</v>
      </c>
      <c r="J85" s="121">
        <v>0.0</v>
      </c>
      <c r="K85" s="121">
        <v>0.0</v>
      </c>
      <c r="L85" s="121">
        <v>0.0</v>
      </c>
      <c r="M85" s="121">
        <v>0.0</v>
      </c>
      <c r="N85" s="121">
        <v>60.0</v>
      </c>
      <c r="O85" s="121">
        <v>0.0</v>
      </c>
      <c r="P85" s="121">
        <v>0.0</v>
      </c>
      <c r="Q85" s="121">
        <v>0.0</v>
      </c>
      <c r="R85" s="121">
        <v>0.0</v>
      </c>
      <c r="S85" s="121">
        <v>0.0</v>
      </c>
      <c r="T85" s="121">
        <v>0.0</v>
      </c>
      <c r="U85" s="121">
        <v>0.0</v>
      </c>
      <c r="V85" s="121">
        <v>0.0</v>
      </c>
      <c r="W85" s="121">
        <v>0.0</v>
      </c>
      <c r="X85" s="121">
        <v>0.0</v>
      </c>
    </row>
    <row r="86" ht="15.75" customHeight="1">
      <c r="A86" s="121">
        <v>15.0</v>
      </c>
      <c r="B86" s="121" t="s">
        <v>149</v>
      </c>
      <c r="C86" s="121">
        <v>25.0</v>
      </c>
      <c r="D86" s="122">
        <v>185.0</v>
      </c>
      <c r="E86" s="149">
        <v>0.0</v>
      </c>
      <c r="F86" s="121">
        <v>0.0</v>
      </c>
      <c r="G86" s="121">
        <v>0.0</v>
      </c>
      <c r="H86" s="121">
        <v>0.0</v>
      </c>
      <c r="I86" s="121">
        <v>0.0</v>
      </c>
      <c r="J86" s="121">
        <v>0.0</v>
      </c>
      <c r="K86" s="121">
        <v>0.0</v>
      </c>
      <c r="L86" s="121">
        <v>0.0</v>
      </c>
      <c r="M86" s="121">
        <v>0.0</v>
      </c>
      <c r="N86" s="121">
        <v>0.0</v>
      </c>
      <c r="O86" s="121">
        <v>0.0</v>
      </c>
      <c r="P86" s="121">
        <v>30.0</v>
      </c>
      <c r="Q86" s="121">
        <v>0.0</v>
      </c>
      <c r="R86" s="121">
        <v>0.0</v>
      </c>
      <c r="S86" s="121">
        <v>0.0</v>
      </c>
      <c r="T86" s="121">
        <v>0.0</v>
      </c>
      <c r="U86" s="121">
        <v>0.0</v>
      </c>
      <c r="V86" s="121">
        <v>0.0</v>
      </c>
      <c r="W86" s="121">
        <v>0.0</v>
      </c>
      <c r="X86" s="121">
        <v>0.0</v>
      </c>
    </row>
    <row r="87" ht="15.75" customHeight="1">
      <c r="A87" s="121">
        <v>15.0</v>
      </c>
      <c r="B87" s="121" t="s">
        <v>150</v>
      </c>
      <c r="C87" s="121">
        <v>25.0</v>
      </c>
      <c r="D87" s="122">
        <v>185.0</v>
      </c>
      <c r="E87" s="149">
        <v>0.0</v>
      </c>
      <c r="F87" s="121">
        <v>0.0</v>
      </c>
      <c r="G87" s="121">
        <v>0.0</v>
      </c>
      <c r="H87" s="121">
        <v>0.0</v>
      </c>
      <c r="I87" s="121">
        <v>0.0</v>
      </c>
      <c r="J87" s="121">
        <v>0.0</v>
      </c>
      <c r="K87" s="121">
        <v>0.0</v>
      </c>
      <c r="L87" s="121">
        <v>1.0</v>
      </c>
      <c r="M87" s="121">
        <v>0.0</v>
      </c>
      <c r="N87" s="121">
        <v>0.0</v>
      </c>
      <c r="O87" s="121">
        <v>0.0</v>
      </c>
      <c r="P87" s="121">
        <v>0.0</v>
      </c>
      <c r="Q87" s="121">
        <v>0.0</v>
      </c>
      <c r="R87" s="121">
        <v>0.0</v>
      </c>
      <c r="S87" s="121">
        <v>0.0</v>
      </c>
      <c r="T87" s="121">
        <v>0.0</v>
      </c>
      <c r="U87" s="121">
        <v>0.0</v>
      </c>
      <c r="V87" s="121">
        <v>0.0</v>
      </c>
      <c r="W87" s="121">
        <v>0.0</v>
      </c>
      <c r="X87" s="121">
        <v>0.0</v>
      </c>
    </row>
    <row r="88" ht="15.75" customHeight="1">
      <c r="A88" s="121">
        <v>15.0</v>
      </c>
      <c r="B88" s="121" t="s">
        <v>151</v>
      </c>
      <c r="C88" s="121">
        <v>25.0</v>
      </c>
      <c r="D88" s="122">
        <v>185.0</v>
      </c>
      <c r="E88" s="149">
        <v>0.0</v>
      </c>
      <c r="F88" s="121">
        <v>0.0</v>
      </c>
      <c r="G88" s="121">
        <v>30.0</v>
      </c>
      <c r="H88" s="121">
        <v>0.0</v>
      </c>
      <c r="I88" s="121">
        <v>0.0</v>
      </c>
      <c r="J88" s="121">
        <v>0.0</v>
      </c>
      <c r="K88" s="121">
        <v>0.0</v>
      </c>
      <c r="L88" s="121">
        <v>0.0</v>
      </c>
      <c r="M88" s="121">
        <v>0.0</v>
      </c>
      <c r="N88" s="121">
        <v>0.0</v>
      </c>
      <c r="O88" s="121">
        <v>0.0</v>
      </c>
      <c r="P88" s="121">
        <v>0.0</v>
      </c>
      <c r="Q88" s="121">
        <v>0.0</v>
      </c>
      <c r="R88" s="121">
        <v>0.0</v>
      </c>
      <c r="S88" s="121">
        <v>0.0</v>
      </c>
      <c r="T88" s="121">
        <v>0.0</v>
      </c>
      <c r="U88" s="121">
        <v>0.0</v>
      </c>
      <c r="V88" s="121">
        <v>0.0</v>
      </c>
      <c r="W88" s="121">
        <v>0.0</v>
      </c>
      <c r="X88" s="121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5" priority="1" operator="greaterThan">
      <formula>0</formula>
    </cfRule>
  </conditionalFormatting>
  <conditionalFormatting sqref="A14:X88">
    <cfRule type="expression" dxfId="6" priority="2">
      <formula>ISEVEN(INT((ROW()-ROW($A$14))/$B$4)+1)</formula>
    </cfRule>
  </conditionalFormatting>
  <conditionalFormatting sqref="A1:D1000">
    <cfRule type="expression" dxfId="7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79" t="s">
        <v>134</v>
      </c>
    </row>
    <row r="2" ht="19.5" customHeight="1">
      <c r="A2" s="112" t="s">
        <v>114</v>
      </c>
      <c r="B2" s="112"/>
    </row>
    <row r="3">
      <c r="A3" s="145" t="s">
        <v>135</v>
      </c>
      <c r="B3" s="146">
        <v>15.0</v>
      </c>
    </row>
    <row r="4">
      <c r="A4" s="145" t="s">
        <v>136</v>
      </c>
      <c r="B4" s="146">
        <v>5.0</v>
      </c>
    </row>
    <row r="5">
      <c r="A5" s="145" t="s">
        <v>137</v>
      </c>
      <c r="B5" s="146" t="b">
        <f>TRUE()</f>
        <v>1</v>
      </c>
    </row>
    <row r="6">
      <c r="A6" s="145" t="s">
        <v>138</v>
      </c>
      <c r="B6" s="146">
        <v>10.0</v>
      </c>
    </row>
    <row r="7">
      <c r="A7" s="145" t="s">
        <v>139</v>
      </c>
      <c r="B7" s="146">
        <v>4.0</v>
      </c>
    </row>
    <row r="8">
      <c r="A8" s="145" t="s">
        <v>140</v>
      </c>
      <c r="B8" s="146">
        <f>SUMIFS($C$14:$C$88,$B$14:$B$88,"1st")</f>
        <v>185</v>
      </c>
    </row>
    <row r="9">
      <c r="A9" s="145" t="s">
        <v>141</v>
      </c>
      <c r="B9" s="146">
        <f>SUMIFS($C$14:$C$88,$B$14:$B$88,"1st",$A$14:$A$88,"&gt;="&amp;$B$6)</f>
        <v>87</v>
      </c>
    </row>
    <row r="10">
      <c r="A10" s="145" t="s">
        <v>142</v>
      </c>
      <c r="B10" s="146">
        <f>SUMIFS($C$14:$C$88,$B$14:$B$88,"1st",$A$14:$A$88,"&lt;="&amp;$B$7)</f>
        <v>36</v>
      </c>
    </row>
    <row r="12" ht="19.5" customHeight="1">
      <c r="A12" s="112" t="s">
        <v>116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</row>
    <row r="13">
      <c r="A13" s="147" t="s">
        <v>143</v>
      </c>
      <c r="B13" s="147" t="s">
        <v>144</v>
      </c>
      <c r="C13" s="147" t="s">
        <v>145</v>
      </c>
      <c r="D13" s="117" t="s">
        <v>146</v>
      </c>
      <c r="E13" s="118" t="s">
        <v>82</v>
      </c>
      <c r="F13" s="119" t="s">
        <v>68</v>
      </c>
      <c r="G13" s="119" t="s">
        <v>103</v>
      </c>
      <c r="H13" s="119" t="s">
        <v>69</v>
      </c>
      <c r="I13" s="119" t="s">
        <v>70</v>
      </c>
      <c r="J13" s="119" t="s">
        <v>71</v>
      </c>
      <c r="K13" s="119" t="s">
        <v>72</v>
      </c>
      <c r="L13" s="119" t="s">
        <v>73</v>
      </c>
      <c r="M13" s="119" t="s">
        <v>74</v>
      </c>
      <c r="N13" s="119" t="s">
        <v>75</v>
      </c>
      <c r="O13" s="119" t="s">
        <v>76</v>
      </c>
      <c r="P13" s="119" t="s">
        <v>77</v>
      </c>
      <c r="Q13" s="119" t="s">
        <v>78</v>
      </c>
      <c r="R13" s="119" t="s">
        <v>104</v>
      </c>
      <c r="S13" s="119" t="s">
        <v>105</v>
      </c>
      <c r="T13" s="119" t="s">
        <v>106</v>
      </c>
      <c r="U13" s="119" t="s">
        <v>107</v>
      </c>
      <c r="V13" s="119" t="s">
        <v>108</v>
      </c>
      <c r="W13" s="119" t="s">
        <v>109</v>
      </c>
      <c r="X13" s="119" t="s">
        <v>110</v>
      </c>
      <c r="Y13" s="148"/>
      <c r="Z13" s="148"/>
    </row>
    <row r="14">
      <c r="A14" s="121">
        <v>1.0</v>
      </c>
      <c r="B14" s="121" t="s">
        <v>147</v>
      </c>
      <c r="C14" s="121">
        <v>5.0</v>
      </c>
      <c r="D14" s="122">
        <v>5.0</v>
      </c>
      <c r="E14" s="149">
        <v>30.0</v>
      </c>
      <c r="F14" s="121">
        <v>0.0</v>
      </c>
      <c r="G14" s="121">
        <v>0.0</v>
      </c>
      <c r="H14" s="121">
        <v>0.0</v>
      </c>
      <c r="I14" s="121">
        <v>0.0</v>
      </c>
      <c r="J14" s="121">
        <v>0.0</v>
      </c>
      <c r="K14" s="121">
        <v>0.0</v>
      </c>
      <c r="L14" s="121">
        <v>0.0</v>
      </c>
      <c r="M14" s="121">
        <v>0.0</v>
      </c>
      <c r="N14" s="121">
        <v>0.0</v>
      </c>
      <c r="O14" s="121">
        <v>0.0</v>
      </c>
      <c r="P14" s="121">
        <v>0.0</v>
      </c>
      <c r="Q14" s="121">
        <v>0.0</v>
      </c>
      <c r="R14" s="121">
        <v>0.0</v>
      </c>
      <c r="S14" s="121">
        <v>0.0</v>
      </c>
      <c r="T14" s="121">
        <v>0.0</v>
      </c>
      <c r="U14" s="121">
        <v>0.0</v>
      </c>
      <c r="V14" s="121">
        <v>0.0</v>
      </c>
      <c r="W14" s="121">
        <v>0.0</v>
      </c>
      <c r="X14" s="121">
        <v>0.0</v>
      </c>
    </row>
    <row r="15">
      <c r="A15" s="121">
        <v>1.0</v>
      </c>
      <c r="B15" s="121" t="s">
        <v>148</v>
      </c>
      <c r="C15" s="121">
        <v>5.0</v>
      </c>
      <c r="D15" s="122">
        <v>5.0</v>
      </c>
      <c r="E15" s="149">
        <v>0.0</v>
      </c>
      <c r="F15" s="121">
        <v>0.0</v>
      </c>
      <c r="G15" s="121">
        <v>0.0</v>
      </c>
      <c r="H15" s="121">
        <v>0.0</v>
      </c>
      <c r="I15" s="121">
        <v>0.0</v>
      </c>
      <c r="J15" s="121">
        <v>0.0</v>
      </c>
      <c r="K15" s="121">
        <v>0.0</v>
      </c>
      <c r="L15" s="121">
        <v>0.0</v>
      </c>
      <c r="M15" s="121">
        <v>0.0</v>
      </c>
      <c r="N15" s="121">
        <v>15.0</v>
      </c>
      <c r="O15" s="121">
        <v>0.0</v>
      </c>
      <c r="P15" s="121">
        <v>0.0</v>
      </c>
      <c r="Q15" s="121">
        <v>0.0</v>
      </c>
      <c r="R15" s="121">
        <v>0.0</v>
      </c>
      <c r="S15" s="121">
        <v>0.0</v>
      </c>
      <c r="T15" s="121">
        <v>0.0</v>
      </c>
      <c r="U15" s="121">
        <v>0.0</v>
      </c>
      <c r="V15" s="121">
        <v>0.0</v>
      </c>
      <c r="W15" s="121">
        <v>0.0</v>
      </c>
      <c r="X15" s="121">
        <v>0.0</v>
      </c>
    </row>
    <row r="16">
      <c r="A16" s="121">
        <v>1.0</v>
      </c>
      <c r="B16" s="121" t="s">
        <v>149</v>
      </c>
      <c r="C16" s="121">
        <v>5.0</v>
      </c>
      <c r="D16" s="122">
        <v>5.0</v>
      </c>
      <c r="E16" s="149">
        <v>0.0</v>
      </c>
      <c r="F16" s="121">
        <v>0.0</v>
      </c>
      <c r="G16" s="121">
        <v>0.0</v>
      </c>
      <c r="H16" s="121">
        <v>0.0</v>
      </c>
      <c r="I16" s="121">
        <v>0.0</v>
      </c>
      <c r="J16" s="121">
        <v>1.0</v>
      </c>
      <c r="K16" s="121">
        <v>0.0</v>
      </c>
      <c r="L16" s="121">
        <v>0.0</v>
      </c>
      <c r="M16" s="121">
        <v>0.0</v>
      </c>
      <c r="N16" s="121">
        <v>0.0</v>
      </c>
      <c r="O16" s="121">
        <v>0.0</v>
      </c>
      <c r="P16" s="121">
        <v>0.0</v>
      </c>
      <c r="Q16" s="121">
        <v>0.0</v>
      </c>
      <c r="R16" s="121">
        <v>0.0</v>
      </c>
      <c r="S16" s="121">
        <v>0.0</v>
      </c>
      <c r="T16" s="121">
        <v>0.0</v>
      </c>
      <c r="U16" s="121">
        <v>0.0</v>
      </c>
      <c r="V16" s="121">
        <v>0.0</v>
      </c>
      <c r="W16" s="121">
        <v>0.0</v>
      </c>
      <c r="X16" s="121">
        <v>0.0</v>
      </c>
    </row>
    <row r="17">
      <c r="A17" s="121">
        <v>1.0</v>
      </c>
      <c r="B17" s="121" t="s">
        <v>150</v>
      </c>
      <c r="C17" s="121">
        <v>5.0</v>
      </c>
      <c r="D17" s="122">
        <v>5.0</v>
      </c>
      <c r="E17" s="149">
        <v>0.0</v>
      </c>
      <c r="F17" s="121">
        <v>0.0</v>
      </c>
      <c r="G17" s="121">
        <v>0.0</v>
      </c>
      <c r="H17" s="121">
        <v>0.0</v>
      </c>
      <c r="I17" s="121">
        <v>0.0</v>
      </c>
      <c r="J17" s="121">
        <v>0.0</v>
      </c>
      <c r="K17" s="121">
        <v>0.0</v>
      </c>
      <c r="L17" s="121">
        <v>1.0</v>
      </c>
      <c r="M17" s="121">
        <v>0.0</v>
      </c>
      <c r="N17" s="121">
        <v>0.0</v>
      </c>
      <c r="O17" s="121">
        <v>0.0</v>
      </c>
      <c r="P17" s="121">
        <v>0.0</v>
      </c>
      <c r="Q17" s="121">
        <v>0.0</v>
      </c>
      <c r="R17" s="121">
        <v>0.0</v>
      </c>
      <c r="S17" s="121">
        <v>0.0</v>
      </c>
      <c r="T17" s="121">
        <v>0.0</v>
      </c>
      <c r="U17" s="121">
        <v>0.0</v>
      </c>
      <c r="V17" s="121">
        <v>0.0</v>
      </c>
      <c r="W17" s="121">
        <v>0.0</v>
      </c>
      <c r="X17" s="121">
        <v>0.0</v>
      </c>
    </row>
    <row r="18">
      <c r="A18" s="121">
        <v>1.0</v>
      </c>
      <c r="B18" s="121" t="s">
        <v>151</v>
      </c>
      <c r="C18" s="121">
        <v>5.0</v>
      </c>
      <c r="D18" s="122">
        <v>5.0</v>
      </c>
      <c r="E18" s="149">
        <v>0.0</v>
      </c>
      <c r="F18" s="121">
        <v>0.0</v>
      </c>
      <c r="G18" s="121">
        <v>0.0</v>
      </c>
      <c r="H18" s="121">
        <v>0.0</v>
      </c>
      <c r="I18" s="121">
        <v>0.0</v>
      </c>
      <c r="J18" s="121">
        <v>0.0</v>
      </c>
      <c r="K18" s="121">
        <v>0.0</v>
      </c>
      <c r="L18" s="121">
        <v>0.0</v>
      </c>
      <c r="M18" s="121">
        <v>0.0</v>
      </c>
      <c r="N18" s="121">
        <v>0.0</v>
      </c>
      <c r="O18" s="121">
        <v>0.0</v>
      </c>
      <c r="P18" s="121">
        <v>10.0</v>
      </c>
      <c r="Q18" s="121">
        <v>0.0</v>
      </c>
      <c r="R18" s="121">
        <v>0.0</v>
      </c>
      <c r="S18" s="121">
        <v>0.0</v>
      </c>
      <c r="T18" s="121">
        <v>0.0</v>
      </c>
      <c r="U18" s="121">
        <v>0.0</v>
      </c>
      <c r="V18" s="121">
        <v>0.0</v>
      </c>
      <c r="W18" s="121">
        <v>0.0</v>
      </c>
      <c r="X18" s="121">
        <v>0.0</v>
      </c>
    </row>
    <row r="19">
      <c r="A19" s="121">
        <v>2.0</v>
      </c>
      <c r="B19" s="121" t="s">
        <v>147</v>
      </c>
      <c r="C19" s="121">
        <v>6.0</v>
      </c>
      <c r="D19" s="122">
        <v>11.0</v>
      </c>
      <c r="E19" s="149">
        <v>0.0</v>
      </c>
      <c r="F19" s="121">
        <v>0.0</v>
      </c>
      <c r="G19" s="121">
        <v>0.0</v>
      </c>
      <c r="H19" s="121">
        <v>0.0</v>
      </c>
      <c r="I19" s="121">
        <v>0.0</v>
      </c>
      <c r="J19" s="121">
        <v>0.0</v>
      </c>
      <c r="K19" s="121">
        <v>0.0</v>
      </c>
      <c r="L19" s="121">
        <v>0.0</v>
      </c>
      <c r="M19" s="121">
        <v>0.0</v>
      </c>
      <c r="N19" s="121">
        <v>15.0</v>
      </c>
      <c r="O19" s="121">
        <v>0.0</v>
      </c>
      <c r="P19" s="121">
        <v>0.0</v>
      </c>
      <c r="Q19" s="121">
        <v>0.0</v>
      </c>
      <c r="R19" s="121">
        <v>0.0</v>
      </c>
      <c r="S19" s="121">
        <v>0.0</v>
      </c>
      <c r="T19" s="121">
        <v>0.0</v>
      </c>
      <c r="U19" s="121">
        <v>0.0</v>
      </c>
      <c r="V19" s="121">
        <v>0.0</v>
      </c>
      <c r="W19" s="121">
        <v>0.0</v>
      </c>
      <c r="X19" s="121">
        <v>0.0</v>
      </c>
    </row>
    <row r="20">
      <c r="A20" s="121">
        <v>2.0</v>
      </c>
      <c r="B20" s="121" t="s">
        <v>148</v>
      </c>
      <c r="C20" s="121">
        <v>6.0</v>
      </c>
      <c r="D20" s="122">
        <v>11.0</v>
      </c>
      <c r="E20" s="149">
        <v>0.0</v>
      </c>
      <c r="F20" s="121">
        <v>0.0</v>
      </c>
      <c r="G20" s="121">
        <v>0.0</v>
      </c>
      <c r="H20" s="121">
        <v>0.0</v>
      </c>
      <c r="I20" s="121">
        <v>0.0</v>
      </c>
      <c r="J20" s="121">
        <v>0.0</v>
      </c>
      <c r="K20" s="121">
        <v>0.0</v>
      </c>
      <c r="L20" s="121">
        <v>0.0</v>
      </c>
      <c r="M20" s="121">
        <v>1.0</v>
      </c>
      <c r="N20" s="121">
        <v>0.0</v>
      </c>
      <c r="O20" s="121">
        <v>0.0</v>
      </c>
      <c r="P20" s="121">
        <v>0.0</v>
      </c>
      <c r="Q20" s="121">
        <v>0.0</v>
      </c>
      <c r="R20" s="121">
        <v>0.0</v>
      </c>
      <c r="S20" s="121">
        <v>0.0</v>
      </c>
      <c r="T20" s="121">
        <v>0.0</v>
      </c>
      <c r="U20" s="121">
        <v>0.0</v>
      </c>
      <c r="V20" s="121">
        <v>0.0</v>
      </c>
      <c r="W20" s="121">
        <v>0.0</v>
      </c>
      <c r="X20" s="121">
        <v>0.0</v>
      </c>
    </row>
    <row r="21" ht="15.75" customHeight="1">
      <c r="A21" s="121">
        <v>2.0</v>
      </c>
      <c r="B21" s="121" t="s">
        <v>149</v>
      </c>
      <c r="C21" s="121">
        <v>6.0</v>
      </c>
      <c r="D21" s="122">
        <v>11.0</v>
      </c>
      <c r="E21" s="149">
        <v>0.0</v>
      </c>
      <c r="F21" s="121">
        <v>0.0</v>
      </c>
      <c r="G21" s="121">
        <v>0.0</v>
      </c>
      <c r="H21" s="121">
        <v>0.0</v>
      </c>
      <c r="I21" s="121">
        <v>1.0</v>
      </c>
      <c r="J21" s="121">
        <v>0.0</v>
      </c>
      <c r="K21" s="121">
        <v>0.0</v>
      </c>
      <c r="L21" s="121">
        <v>0.0</v>
      </c>
      <c r="M21" s="121">
        <v>0.0</v>
      </c>
      <c r="N21" s="121">
        <v>0.0</v>
      </c>
      <c r="O21" s="121">
        <v>0.0</v>
      </c>
      <c r="P21" s="121">
        <v>0.0</v>
      </c>
      <c r="Q21" s="121">
        <v>0.0</v>
      </c>
      <c r="R21" s="121">
        <v>0.0</v>
      </c>
      <c r="S21" s="121">
        <v>0.0</v>
      </c>
      <c r="T21" s="121">
        <v>0.0</v>
      </c>
      <c r="U21" s="121">
        <v>0.0</v>
      </c>
      <c r="V21" s="121">
        <v>0.0</v>
      </c>
      <c r="W21" s="121">
        <v>0.0</v>
      </c>
      <c r="X21" s="121">
        <v>0.0</v>
      </c>
    </row>
    <row r="22" ht="15.75" customHeight="1">
      <c r="A22" s="121">
        <v>2.0</v>
      </c>
      <c r="B22" s="121" t="s">
        <v>150</v>
      </c>
      <c r="C22" s="121">
        <v>6.0</v>
      </c>
      <c r="D22" s="122">
        <v>11.0</v>
      </c>
      <c r="E22" s="149">
        <v>0.0</v>
      </c>
      <c r="F22" s="121">
        <v>0.0</v>
      </c>
      <c r="G22" s="121">
        <v>0.0</v>
      </c>
      <c r="H22" s="121">
        <v>0.0</v>
      </c>
      <c r="I22" s="121">
        <v>0.0</v>
      </c>
      <c r="J22" s="121">
        <v>0.0</v>
      </c>
      <c r="K22" s="121">
        <v>0.0</v>
      </c>
      <c r="L22" s="121">
        <v>0.0</v>
      </c>
      <c r="M22" s="121">
        <v>0.0</v>
      </c>
      <c r="N22" s="121">
        <v>0.0</v>
      </c>
      <c r="O22" s="121">
        <v>10.0</v>
      </c>
      <c r="P22" s="121">
        <v>0.0</v>
      </c>
      <c r="Q22" s="121">
        <v>0.0</v>
      </c>
      <c r="R22" s="121">
        <v>0.0</v>
      </c>
      <c r="S22" s="121">
        <v>0.0</v>
      </c>
      <c r="T22" s="121">
        <v>0.0</v>
      </c>
      <c r="U22" s="121">
        <v>0.0</v>
      </c>
      <c r="V22" s="121">
        <v>0.0</v>
      </c>
      <c r="W22" s="121">
        <v>0.0</v>
      </c>
      <c r="X22" s="121">
        <v>0.0</v>
      </c>
    </row>
    <row r="23" ht="15.75" customHeight="1">
      <c r="A23" s="121">
        <v>2.0</v>
      </c>
      <c r="B23" s="121" t="s">
        <v>151</v>
      </c>
      <c r="C23" s="121">
        <v>6.0</v>
      </c>
      <c r="D23" s="122">
        <v>11.0</v>
      </c>
      <c r="E23" s="149">
        <v>0.0</v>
      </c>
      <c r="F23" s="121">
        <v>0.0</v>
      </c>
      <c r="G23" s="121">
        <v>10.0</v>
      </c>
      <c r="H23" s="121">
        <v>0.0</v>
      </c>
      <c r="I23" s="121">
        <v>0.0</v>
      </c>
      <c r="J23" s="121">
        <v>0.0</v>
      </c>
      <c r="K23" s="121">
        <v>0.0</v>
      </c>
      <c r="L23" s="121">
        <v>0.0</v>
      </c>
      <c r="M23" s="121">
        <v>0.0</v>
      </c>
      <c r="N23" s="121">
        <v>0.0</v>
      </c>
      <c r="O23" s="121">
        <v>0.0</v>
      </c>
      <c r="P23" s="121">
        <v>0.0</v>
      </c>
      <c r="Q23" s="121">
        <v>0.0</v>
      </c>
      <c r="R23" s="121">
        <v>0.0</v>
      </c>
      <c r="S23" s="121">
        <v>0.0</v>
      </c>
      <c r="T23" s="121">
        <v>0.0</v>
      </c>
      <c r="U23" s="121">
        <v>0.0</v>
      </c>
      <c r="V23" s="121">
        <v>0.0</v>
      </c>
      <c r="W23" s="121">
        <v>0.0</v>
      </c>
      <c r="X23" s="121">
        <v>0.0</v>
      </c>
    </row>
    <row r="24" ht="15.75" customHeight="1">
      <c r="A24" s="121">
        <v>3.0</v>
      </c>
      <c r="B24" s="121" t="s">
        <v>147</v>
      </c>
      <c r="C24" s="121">
        <v>10.0</v>
      </c>
      <c r="D24" s="122">
        <v>21.0</v>
      </c>
      <c r="E24" s="149">
        <v>0.0</v>
      </c>
      <c r="F24" s="121">
        <v>0.0</v>
      </c>
      <c r="G24" s="121">
        <v>0.0</v>
      </c>
      <c r="H24" s="121">
        <v>0.0</v>
      </c>
      <c r="I24" s="121">
        <v>0.0</v>
      </c>
      <c r="J24" s="121">
        <v>0.0</v>
      </c>
      <c r="K24" s="121">
        <v>0.0</v>
      </c>
      <c r="L24" s="121">
        <v>0.0</v>
      </c>
      <c r="M24" s="121">
        <v>0.0</v>
      </c>
      <c r="N24" s="121">
        <v>0.0</v>
      </c>
      <c r="O24" s="121">
        <v>0.0</v>
      </c>
      <c r="P24" s="121">
        <v>0.0</v>
      </c>
      <c r="Q24" s="121">
        <v>20.0</v>
      </c>
      <c r="R24" s="121">
        <v>0.0</v>
      </c>
      <c r="S24" s="121">
        <v>0.0</v>
      </c>
      <c r="T24" s="121">
        <v>0.0</v>
      </c>
      <c r="U24" s="121">
        <v>0.0</v>
      </c>
      <c r="V24" s="121">
        <v>0.0</v>
      </c>
      <c r="W24" s="121">
        <v>0.0</v>
      </c>
      <c r="X24" s="121">
        <v>0.0</v>
      </c>
    </row>
    <row r="25" ht="15.75" customHeight="1">
      <c r="A25" s="121">
        <v>3.0</v>
      </c>
      <c r="B25" s="121" t="s">
        <v>148</v>
      </c>
      <c r="C25" s="121">
        <v>10.0</v>
      </c>
      <c r="D25" s="122">
        <v>21.0</v>
      </c>
      <c r="E25" s="149">
        <v>0.0</v>
      </c>
      <c r="F25" s="121">
        <v>0.0</v>
      </c>
      <c r="G25" s="121">
        <v>0.0</v>
      </c>
      <c r="H25" s="121">
        <v>0.0</v>
      </c>
      <c r="I25" s="121">
        <v>0.0</v>
      </c>
      <c r="J25" s="121">
        <v>0.0</v>
      </c>
      <c r="K25" s="121">
        <v>0.0</v>
      </c>
      <c r="L25" s="121">
        <v>1.0</v>
      </c>
      <c r="M25" s="121">
        <v>0.0</v>
      </c>
      <c r="N25" s="121">
        <v>0.0</v>
      </c>
      <c r="O25" s="121">
        <v>0.0</v>
      </c>
      <c r="P25" s="121">
        <v>0.0</v>
      </c>
      <c r="Q25" s="121">
        <v>0.0</v>
      </c>
      <c r="R25" s="121">
        <v>0.0</v>
      </c>
      <c r="S25" s="121">
        <v>0.0</v>
      </c>
      <c r="T25" s="121">
        <v>0.0</v>
      </c>
      <c r="U25" s="121">
        <v>0.0</v>
      </c>
      <c r="V25" s="121">
        <v>0.0</v>
      </c>
      <c r="W25" s="121">
        <v>0.0</v>
      </c>
      <c r="X25" s="121">
        <v>0.0</v>
      </c>
    </row>
    <row r="26" ht="15.75" customHeight="1">
      <c r="A26" s="121">
        <v>3.0</v>
      </c>
      <c r="B26" s="121" t="s">
        <v>149</v>
      </c>
      <c r="C26" s="121">
        <v>10.0</v>
      </c>
      <c r="D26" s="122">
        <v>21.0</v>
      </c>
      <c r="E26" s="149">
        <v>0.0</v>
      </c>
      <c r="F26" s="121">
        <v>0.0</v>
      </c>
      <c r="G26" s="121">
        <v>0.0</v>
      </c>
      <c r="H26" s="121">
        <v>0.0</v>
      </c>
      <c r="I26" s="121">
        <v>0.0</v>
      </c>
      <c r="J26" s="121">
        <v>0.0</v>
      </c>
      <c r="K26" s="121">
        <v>0.0</v>
      </c>
      <c r="L26" s="121">
        <v>0.0</v>
      </c>
      <c r="M26" s="121">
        <v>0.0</v>
      </c>
      <c r="N26" s="121">
        <v>0.0</v>
      </c>
      <c r="O26" s="121">
        <v>0.0</v>
      </c>
      <c r="P26" s="121">
        <v>10.0</v>
      </c>
      <c r="Q26" s="121">
        <v>0.0</v>
      </c>
      <c r="R26" s="121">
        <v>0.0</v>
      </c>
      <c r="S26" s="121">
        <v>0.0</v>
      </c>
      <c r="T26" s="121">
        <v>0.0</v>
      </c>
      <c r="U26" s="121">
        <v>0.0</v>
      </c>
      <c r="V26" s="121">
        <v>0.0</v>
      </c>
      <c r="W26" s="121">
        <v>0.0</v>
      </c>
      <c r="X26" s="121">
        <v>0.0</v>
      </c>
    </row>
    <row r="27" ht="15.75" customHeight="1">
      <c r="A27" s="121">
        <v>3.0</v>
      </c>
      <c r="B27" s="121" t="s">
        <v>150</v>
      </c>
      <c r="C27" s="121">
        <v>10.0</v>
      </c>
      <c r="D27" s="122">
        <v>21.0</v>
      </c>
      <c r="E27" s="149">
        <v>0.0</v>
      </c>
      <c r="F27" s="121">
        <v>0.0</v>
      </c>
      <c r="G27" s="121">
        <v>0.0</v>
      </c>
      <c r="H27" s="121">
        <v>1.0</v>
      </c>
      <c r="I27" s="121">
        <v>0.0</v>
      </c>
      <c r="J27" s="121">
        <v>0.0</v>
      </c>
      <c r="K27" s="121">
        <v>0.0</v>
      </c>
      <c r="L27" s="121">
        <v>0.0</v>
      </c>
      <c r="M27" s="121">
        <v>0.0</v>
      </c>
      <c r="N27" s="121">
        <v>0.0</v>
      </c>
      <c r="O27" s="121">
        <v>0.0</v>
      </c>
      <c r="P27" s="121">
        <v>0.0</v>
      </c>
      <c r="Q27" s="121">
        <v>0.0</v>
      </c>
      <c r="R27" s="121">
        <v>0.0</v>
      </c>
      <c r="S27" s="121">
        <v>0.0</v>
      </c>
      <c r="T27" s="121">
        <v>0.0</v>
      </c>
      <c r="U27" s="121">
        <v>0.0</v>
      </c>
      <c r="V27" s="121">
        <v>0.0</v>
      </c>
      <c r="W27" s="121">
        <v>0.0</v>
      </c>
      <c r="X27" s="121">
        <v>0.0</v>
      </c>
    </row>
    <row r="28" ht="15.75" customHeight="1">
      <c r="A28" s="121">
        <v>3.0</v>
      </c>
      <c r="B28" s="121" t="s">
        <v>151</v>
      </c>
      <c r="C28" s="121">
        <v>10.0</v>
      </c>
      <c r="D28" s="122">
        <v>21.0</v>
      </c>
      <c r="E28" s="149">
        <v>0.0</v>
      </c>
      <c r="F28" s="121">
        <v>20.0</v>
      </c>
      <c r="G28" s="121">
        <v>0.0</v>
      </c>
      <c r="H28" s="121">
        <v>0.0</v>
      </c>
      <c r="I28" s="121">
        <v>0.0</v>
      </c>
      <c r="J28" s="121">
        <v>0.0</v>
      </c>
      <c r="K28" s="121">
        <v>0.0</v>
      </c>
      <c r="L28" s="121">
        <v>0.0</v>
      </c>
      <c r="M28" s="121">
        <v>0.0</v>
      </c>
      <c r="N28" s="121">
        <v>0.0</v>
      </c>
      <c r="O28" s="121">
        <v>0.0</v>
      </c>
      <c r="P28" s="121">
        <v>0.0</v>
      </c>
      <c r="Q28" s="121">
        <v>0.0</v>
      </c>
      <c r="R28" s="121">
        <v>0.0</v>
      </c>
      <c r="S28" s="121">
        <v>0.0</v>
      </c>
      <c r="T28" s="121">
        <v>0.0</v>
      </c>
      <c r="U28" s="121">
        <v>0.0</v>
      </c>
      <c r="V28" s="121">
        <v>0.0</v>
      </c>
      <c r="W28" s="121">
        <v>0.0</v>
      </c>
      <c r="X28" s="121">
        <v>0.0</v>
      </c>
    </row>
    <row r="29" ht="15.75" customHeight="1">
      <c r="A29" s="121">
        <v>4.0</v>
      </c>
      <c r="B29" s="121" t="s">
        <v>147</v>
      </c>
      <c r="C29" s="121">
        <v>15.0</v>
      </c>
      <c r="D29" s="122">
        <v>36.0</v>
      </c>
      <c r="E29" s="149">
        <v>55.0</v>
      </c>
      <c r="F29" s="121">
        <v>0.0</v>
      </c>
      <c r="G29" s="121">
        <v>0.0</v>
      </c>
      <c r="H29" s="121">
        <v>1.0</v>
      </c>
      <c r="I29" s="121">
        <v>0.0</v>
      </c>
      <c r="J29" s="121">
        <v>0.0</v>
      </c>
      <c r="K29" s="121">
        <v>0.0</v>
      </c>
      <c r="L29" s="121">
        <v>0.0</v>
      </c>
      <c r="M29" s="121">
        <v>0.0</v>
      </c>
      <c r="N29" s="121">
        <v>0.0</v>
      </c>
      <c r="O29" s="121">
        <v>0.0</v>
      </c>
      <c r="P29" s="121">
        <v>0.0</v>
      </c>
      <c r="Q29" s="121">
        <v>0.0</v>
      </c>
      <c r="R29" s="121">
        <v>0.0</v>
      </c>
      <c r="S29" s="121">
        <v>0.0</v>
      </c>
      <c r="T29" s="121">
        <v>0.0</v>
      </c>
      <c r="U29" s="121">
        <v>0.0</v>
      </c>
      <c r="V29" s="121">
        <v>0.0</v>
      </c>
      <c r="W29" s="121">
        <v>0.0</v>
      </c>
      <c r="X29" s="121">
        <v>0.0</v>
      </c>
    </row>
    <row r="30" ht="15.75" customHeight="1">
      <c r="A30" s="121">
        <v>4.0</v>
      </c>
      <c r="B30" s="121" t="s">
        <v>148</v>
      </c>
      <c r="C30" s="121">
        <v>15.0</v>
      </c>
      <c r="D30" s="122">
        <v>36.0</v>
      </c>
      <c r="E30" s="149">
        <v>0.0</v>
      </c>
      <c r="F30" s="121">
        <v>0.0</v>
      </c>
      <c r="G30" s="121">
        <v>0.0</v>
      </c>
      <c r="H30" s="121">
        <v>0.0</v>
      </c>
      <c r="I30" s="121">
        <v>0.0</v>
      </c>
      <c r="J30" s="121">
        <v>0.0</v>
      </c>
      <c r="K30" s="121">
        <v>0.0</v>
      </c>
      <c r="L30" s="121">
        <v>0.0</v>
      </c>
      <c r="M30" s="121">
        <v>0.0</v>
      </c>
      <c r="N30" s="121">
        <v>20.0</v>
      </c>
      <c r="O30" s="121">
        <v>0.0</v>
      </c>
      <c r="P30" s="121">
        <v>0.0</v>
      </c>
      <c r="Q30" s="121">
        <v>0.0</v>
      </c>
      <c r="R30" s="121">
        <v>0.0</v>
      </c>
      <c r="S30" s="121">
        <v>0.0</v>
      </c>
      <c r="T30" s="121">
        <v>0.0</v>
      </c>
      <c r="U30" s="121">
        <v>0.0</v>
      </c>
      <c r="V30" s="121">
        <v>0.0</v>
      </c>
      <c r="W30" s="121">
        <v>0.0</v>
      </c>
      <c r="X30" s="121">
        <v>0.0</v>
      </c>
    </row>
    <row r="31" ht="15.75" customHeight="1">
      <c r="A31" s="121">
        <v>4.0</v>
      </c>
      <c r="B31" s="121" t="s">
        <v>149</v>
      </c>
      <c r="C31" s="121">
        <v>15.0</v>
      </c>
      <c r="D31" s="122">
        <v>36.0</v>
      </c>
      <c r="E31" s="149">
        <v>0.0</v>
      </c>
      <c r="F31" s="121">
        <v>0.0</v>
      </c>
      <c r="G31" s="121">
        <v>0.0</v>
      </c>
      <c r="H31" s="121">
        <v>0.0</v>
      </c>
      <c r="I31" s="121">
        <v>0.0</v>
      </c>
      <c r="J31" s="121">
        <v>0.0</v>
      </c>
      <c r="K31" s="121">
        <v>0.0</v>
      </c>
      <c r="L31" s="121">
        <v>0.0</v>
      </c>
      <c r="M31" s="121">
        <v>1.0</v>
      </c>
      <c r="N31" s="121">
        <v>0.0</v>
      </c>
      <c r="O31" s="121">
        <v>0.0</v>
      </c>
      <c r="P31" s="121">
        <v>0.0</v>
      </c>
      <c r="Q31" s="121">
        <v>0.0</v>
      </c>
      <c r="R31" s="121">
        <v>0.0</v>
      </c>
      <c r="S31" s="121">
        <v>0.0</v>
      </c>
      <c r="T31" s="121">
        <v>0.0</v>
      </c>
      <c r="U31" s="121">
        <v>0.0</v>
      </c>
      <c r="V31" s="121">
        <v>0.0</v>
      </c>
      <c r="W31" s="121">
        <v>0.0</v>
      </c>
      <c r="X31" s="121">
        <v>0.0</v>
      </c>
    </row>
    <row r="32" ht="15.75" customHeight="1">
      <c r="A32" s="121">
        <v>4.0</v>
      </c>
      <c r="B32" s="121" t="s">
        <v>150</v>
      </c>
      <c r="C32" s="121">
        <v>15.0</v>
      </c>
      <c r="D32" s="122">
        <v>36.0</v>
      </c>
      <c r="E32" s="149">
        <v>0.0</v>
      </c>
      <c r="F32" s="121">
        <v>0.0</v>
      </c>
      <c r="G32" s="121">
        <v>0.0</v>
      </c>
      <c r="H32" s="121">
        <v>0.0</v>
      </c>
      <c r="I32" s="121">
        <v>1.0</v>
      </c>
      <c r="J32" s="121">
        <v>0.0</v>
      </c>
      <c r="K32" s="121">
        <v>0.0</v>
      </c>
      <c r="L32" s="121">
        <v>0.0</v>
      </c>
      <c r="M32" s="121">
        <v>0.0</v>
      </c>
      <c r="N32" s="121">
        <v>0.0</v>
      </c>
      <c r="O32" s="121">
        <v>0.0</v>
      </c>
      <c r="P32" s="121">
        <v>0.0</v>
      </c>
      <c r="Q32" s="121">
        <v>0.0</v>
      </c>
      <c r="R32" s="121">
        <v>0.0</v>
      </c>
      <c r="S32" s="121">
        <v>0.0</v>
      </c>
      <c r="T32" s="121">
        <v>0.0</v>
      </c>
      <c r="U32" s="121">
        <v>0.0</v>
      </c>
      <c r="V32" s="121">
        <v>0.0</v>
      </c>
      <c r="W32" s="121">
        <v>0.0</v>
      </c>
      <c r="X32" s="121">
        <v>0.0</v>
      </c>
    </row>
    <row r="33" ht="15.75" customHeight="1">
      <c r="A33" s="121">
        <v>4.0</v>
      </c>
      <c r="B33" s="121" t="s">
        <v>151</v>
      </c>
      <c r="C33" s="121">
        <v>15.0</v>
      </c>
      <c r="D33" s="122">
        <v>36.0</v>
      </c>
      <c r="E33" s="149">
        <v>0.0</v>
      </c>
      <c r="F33" s="121">
        <v>0.0</v>
      </c>
      <c r="G33" s="121">
        <v>0.0</v>
      </c>
      <c r="H33" s="121">
        <v>0.0</v>
      </c>
      <c r="I33" s="121">
        <v>0.0</v>
      </c>
      <c r="J33" s="121">
        <v>0.0</v>
      </c>
      <c r="K33" s="121">
        <v>0.0</v>
      </c>
      <c r="L33" s="121">
        <v>0.0</v>
      </c>
      <c r="M33" s="121">
        <v>0.0</v>
      </c>
      <c r="N33" s="121">
        <v>0.0</v>
      </c>
      <c r="O33" s="121">
        <v>15.0</v>
      </c>
      <c r="P33" s="121">
        <v>0.0</v>
      </c>
      <c r="Q33" s="121">
        <v>0.0</v>
      </c>
      <c r="R33" s="121">
        <v>0.0</v>
      </c>
      <c r="S33" s="121">
        <v>0.0</v>
      </c>
      <c r="T33" s="121">
        <v>0.0</v>
      </c>
      <c r="U33" s="121">
        <v>0.0</v>
      </c>
      <c r="V33" s="121">
        <v>0.0</v>
      </c>
      <c r="W33" s="121">
        <v>0.0</v>
      </c>
      <c r="X33" s="121">
        <v>0.0</v>
      </c>
    </row>
    <row r="34" ht="15.75" customHeight="1">
      <c r="A34" s="121">
        <v>5.0</v>
      </c>
      <c r="B34" s="121" t="s">
        <v>147</v>
      </c>
      <c r="C34" s="121">
        <v>8.0</v>
      </c>
      <c r="D34" s="122">
        <v>44.0</v>
      </c>
      <c r="E34" s="149">
        <v>0.0</v>
      </c>
      <c r="F34" s="121">
        <v>0.0</v>
      </c>
      <c r="G34" s="121">
        <v>0.0</v>
      </c>
      <c r="H34" s="121">
        <v>0.0</v>
      </c>
      <c r="I34" s="121">
        <v>0.0</v>
      </c>
      <c r="J34" s="121">
        <v>0.0</v>
      </c>
      <c r="K34" s="121">
        <v>0.0</v>
      </c>
      <c r="L34" s="121">
        <v>1.0</v>
      </c>
      <c r="M34" s="121">
        <v>0.0</v>
      </c>
      <c r="N34" s="121">
        <v>0.0</v>
      </c>
      <c r="O34" s="121">
        <v>0.0</v>
      </c>
      <c r="P34" s="121">
        <v>0.0</v>
      </c>
      <c r="Q34" s="121">
        <v>0.0</v>
      </c>
      <c r="R34" s="121">
        <v>0.0</v>
      </c>
      <c r="S34" s="121">
        <v>0.0</v>
      </c>
      <c r="T34" s="121">
        <v>0.0</v>
      </c>
      <c r="U34" s="121">
        <v>0.0</v>
      </c>
      <c r="V34" s="121">
        <v>0.0</v>
      </c>
      <c r="W34" s="121">
        <v>0.0</v>
      </c>
      <c r="X34" s="121">
        <v>0.0</v>
      </c>
    </row>
    <row r="35" ht="15.75" customHeight="1">
      <c r="A35" s="121">
        <v>5.0</v>
      </c>
      <c r="B35" s="121" t="s">
        <v>148</v>
      </c>
      <c r="C35" s="121">
        <v>8.0</v>
      </c>
      <c r="D35" s="122">
        <v>44.0</v>
      </c>
      <c r="E35" s="149">
        <v>0.0</v>
      </c>
      <c r="F35" s="121">
        <v>0.0</v>
      </c>
      <c r="G35" s="121">
        <v>0.0</v>
      </c>
      <c r="H35" s="121">
        <v>0.0</v>
      </c>
      <c r="I35" s="121">
        <v>0.0</v>
      </c>
      <c r="J35" s="121">
        <v>0.0</v>
      </c>
      <c r="K35" s="121">
        <v>0.0</v>
      </c>
      <c r="L35" s="121">
        <v>0.0</v>
      </c>
      <c r="M35" s="121">
        <v>0.0</v>
      </c>
      <c r="N35" s="121">
        <v>0.0</v>
      </c>
      <c r="O35" s="121">
        <v>0.0</v>
      </c>
      <c r="P35" s="121">
        <v>10.0</v>
      </c>
      <c r="Q35" s="121">
        <v>0.0</v>
      </c>
      <c r="R35" s="121">
        <v>0.0</v>
      </c>
      <c r="S35" s="121">
        <v>0.0</v>
      </c>
      <c r="T35" s="121">
        <v>0.0</v>
      </c>
      <c r="U35" s="121">
        <v>0.0</v>
      </c>
      <c r="V35" s="121">
        <v>0.0</v>
      </c>
      <c r="W35" s="121">
        <v>0.0</v>
      </c>
      <c r="X35" s="121">
        <v>0.0</v>
      </c>
    </row>
    <row r="36" ht="15.75" customHeight="1">
      <c r="A36" s="121">
        <v>5.0</v>
      </c>
      <c r="B36" s="121" t="s">
        <v>149</v>
      </c>
      <c r="C36" s="121">
        <v>8.0</v>
      </c>
      <c r="D36" s="122">
        <v>44.0</v>
      </c>
      <c r="E36" s="149">
        <v>0.0</v>
      </c>
      <c r="F36" s="121">
        <v>0.0</v>
      </c>
      <c r="G36" s="121">
        <v>0.0</v>
      </c>
      <c r="H36" s="121">
        <v>0.0</v>
      </c>
      <c r="I36" s="121">
        <v>1.0</v>
      </c>
      <c r="J36" s="121">
        <v>0.0</v>
      </c>
      <c r="K36" s="121">
        <v>0.0</v>
      </c>
      <c r="L36" s="121">
        <v>0.0</v>
      </c>
      <c r="M36" s="121">
        <v>0.0</v>
      </c>
      <c r="N36" s="121">
        <v>0.0</v>
      </c>
      <c r="O36" s="121">
        <v>0.0</v>
      </c>
      <c r="P36" s="121">
        <v>0.0</v>
      </c>
      <c r="Q36" s="121">
        <v>0.0</v>
      </c>
      <c r="R36" s="121">
        <v>0.0</v>
      </c>
      <c r="S36" s="121">
        <v>0.0</v>
      </c>
      <c r="T36" s="121">
        <v>0.0</v>
      </c>
      <c r="U36" s="121">
        <v>0.0</v>
      </c>
      <c r="V36" s="121">
        <v>0.0</v>
      </c>
      <c r="W36" s="121">
        <v>0.0</v>
      </c>
      <c r="X36" s="121">
        <v>0.0</v>
      </c>
    </row>
    <row r="37" ht="15.75" customHeight="1">
      <c r="A37" s="121">
        <v>5.0</v>
      </c>
      <c r="B37" s="121" t="s">
        <v>150</v>
      </c>
      <c r="C37" s="121">
        <v>8.0</v>
      </c>
      <c r="D37" s="122">
        <v>44.0</v>
      </c>
      <c r="E37" s="149">
        <v>0.0</v>
      </c>
      <c r="F37" s="121">
        <v>0.0</v>
      </c>
      <c r="G37" s="121">
        <v>0.0</v>
      </c>
      <c r="H37" s="121">
        <v>0.0</v>
      </c>
      <c r="I37" s="121">
        <v>0.0</v>
      </c>
      <c r="J37" s="121">
        <v>0.0</v>
      </c>
      <c r="K37" s="121">
        <v>0.0</v>
      </c>
      <c r="L37" s="121">
        <v>0.0</v>
      </c>
      <c r="M37" s="121">
        <v>0.0</v>
      </c>
      <c r="N37" s="121">
        <v>0.0</v>
      </c>
      <c r="O37" s="121">
        <v>10.0</v>
      </c>
      <c r="P37" s="121">
        <v>0.0</v>
      </c>
      <c r="Q37" s="121">
        <v>0.0</v>
      </c>
      <c r="R37" s="121">
        <v>0.0</v>
      </c>
      <c r="S37" s="121">
        <v>0.0</v>
      </c>
      <c r="T37" s="121">
        <v>0.0</v>
      </c>
      <c r="U37" s="121">
        <v>0.0</v>
      </c>
      <c r="V37" s="121">
        <v>0.0</v>
      </c>
      <c r="W37" s="121">
        <v>0.0</v>
      </c>
      <c r="X37" s="121">
        <v>0.0</v>
      </c>
    </row>
    <row r="38" ht="15.75" customHeight="1">
      <c r="A38" s="121">
        <v>5.0</v>
      </c>
      <c r="B38" s="121" t="s">
        <v>151</v>
      </c>
      <c r="C38" s="121">
        <v>8.0</v>
      </c>
      <c r="D38" s="122">
        <v>44.0</v>
      </c>
      <c r="E38" s="149">
        <v>0.0</v>
      </c>
      <c r="F38" s="121">
        <v>0.0</v>
      </c>
      <c r="G38" s="121">
        <v>0.0</v>
      </c>
      <c r="H38" s="121">
        <v>1.0</v>
      </c>
      <c r="I38" s="121">
        <v>0.0</v>
      </c>
      <c r="J38" s="121">
        <v>0.0</v>
      </c>
      <c r="K38" s="121">
        <v>0.0</v>
      </c>
      <c r="L38" s="121">
        <v>0.0</v>
      </c>
      <c r="M38" s="121">
        <v>0.0</v>
      </c>
      <c r="N38" s="121">
        <v>0.0</v>
      </c>
      <c r="O38" s="121">
        <v>0.0</v>
      </c>
      <c r="P38" s="121">
        <v>0.0</v>
      </c>
      <c r="Q38" s="121">
        <v>0.0</v>
      </c>
      <c r="R38" s="121">
        <v>0.0</v>
      </c>
      <c r="S38" s="121">
        <v>0.0</v>
      </c>
      <c r="T38" s="121">
        <v>0.0</v>
      </c>
      <c r="U38" s="121">
        <v>0.0</v>
      </c>
      <c r="V38" s="121">
        <v>0.0</v>
      </c>
      <c r="W38" s="121">
        <v>0.0</v>
      </c>
      <c r="X38" s="121">
        <v>0.0</v>
      </c>
    </row>
    <row r="39" ht="15.75" customHeight="1">
      <c r="A39" s="121">
        <v>6.0</v>
      </c>
      <c r="B39" s="121" t="s">
        <v>147</v>
      </c>
      <c r="C39" s="121">
        <v>10.0</v>
      </c>
      <c r="D39" s="122">
        <v>54.0</v>
      </c>
      <c r="E39" s="149">
        <v>50.0</v>
      </c>
      <c r="F39" s="121">
        <v>0.0</v>
      </c>
      <c r="G39" s="121">
        <v>0.0</v>
      </c>
      <c r="H39" s="121">
        <v>0.0</v>
      </c>
      <c r="I39" s="121">
        <v>0.0</v>
      </c>
      <c r="J39" s="121">
        <v>0.0</v>
      </c>
      <c r="K39" s="121">
        <v>0.0</v>
      </c>
      <c r="L39" s="121">
        <v>0.0</v>
      </c>
      <c r="M39" s="121">
        <v>0.0</v>
      </c>
      <c r="N39" s="121">
        <v>0.0</v>
      </c>
      <c r="O39" s="121">
        <v>0.0</v>
      </c>
      <c r="P39" s="121">
        <v>0.0</v>
      </c>
      <c r="Q39" s="121">
        <v>0.0</v>
      </c>
      <c r="R39" s="121">
        <v>0.0</v>
      </c>
      <c r="S39" s="121">
        <v>0.0</v>
      </c>
      <c r="T39" s="121">
        <v>0.0</v>
      </c>
      <c r="U39" s="121">
        <v>0.0</v>
      </c>
      <c r="V39" s="121">
        <v>0.0</v>
      </c>
      <c r="W39" s="121">
        <v>0.0</v>
      </c>
      <c r="X39" s="121">
        <v>0.0</v>
      </c>
    </row>
    <row r="40" ht="15.75" customHeight="1">
      <c r="A40" s="121">
        <v>6.0</v>
      </c>
      <c r="B40" s="121" t="s">
        <v>148</v>
      </c>
      <c r="C40" s="121">
        <v>10.0</v>
      </c>
      <c r="D40" s="122">
        <v>54.0</v>
      </c>
      <c r="E40" s="149">
        <v>0.0</v>
      </c>
      <c r="F40" s="121">
        <v>0.0</v>
      </c>
      <c r="G40" s="121">
        <v>0.0</v>
      </c>
      <c r="H40" s="121">
        <v>0.0</v>
      </c>
      <c r="I40" s="121">
        <v>0.0</v>
      </c>
      <c r="J40" s="121">
        <v>0.0</v>
      </c>
      <c r="K40" s="121">
        <v>0.0</v>
      </c>
      <c r="L40" s="121">
        <v>0.0</v>
      </c>
      <c r="M40" s="121">
        <v>0.0</v>
      </c>
      <c r="N40" s="121">
        <v>15.0</v>
      </c>
      <c r="O40" s="121">
        <v>0.0</v>
      </c>
      <c r="P40" s="121">
        <v>0.0</v>
      </c>
      <c r="Q40" s="121">
        <v>0.0</v>
      </c>
      <c r="R40" s="121">
        <v>0.0</v>
      </c>
      <c r="S40" s="121">
        <v>0.0</v>
      </c>
      <c r="T40" s="121">
        <v>0.0</v>
      </c>
      <c r="U40" s="121">
        <v>0.0</v>
      </c>
      <c r="V40" s="121">
        <v>0.0</v>
      </c>
      <c r="W40" s="121">
        <v>0.0</v>
      </c>
      <c r="X40" s="121">
        <v>0.0</v>
      </c>
    </row>
    <row r="41" ht="15.75" customHeight="1">
      <c r="A41" s="121">
        <v>6.0</v>
      </c>
      <c r="B41" s="121" t="s">
        <v>149</v>
      </c>
      <c r="C41" s="121">
        <v>10.0</v>
      </c>
      <c r="D41" s="122">
        <v>54.0</v>
      </c>
      <c r="E41" s="149">
        <v>0.0</v>
      </c>
      <c r="F41" s="121">
        <v>0.0</v>
      </c>
      <c r="G41" s="121">
        <v>0.0</v>
      </c>
      <c r="H41" s="121">
        <v>0.0</v>
      </c>
      <c r="I41" s="121">
        <v>0.0</v>
      </c>
      <c r="J41" s="121">
        <v>1.0</v>
      </c>
      <c r="K41" s="121">
        <v>0.0</v>
      </c>
      <c r="L41" s="121">
        <v>0.0</v>
      </c>
      <c r="M41" s="121">
        <v>0.0</v>
      </c>
      <c r="N41" s="121">
        <v>0.0</v>
      </c>
      <c r="O41" s="121">
        <v>0.0</v>
      </c>
      <c r="P41" s="121">
        <v>0.0</v>
      </c>
      <c r="Q41" s="121">
        <v>0.0</v>
      </c>
      <c r="R41" s="121">
        <v>0.0</v>
      </c>
      <c r="S41" s="121">
        <v>0.0</v>
      </c>
      <c r="T41" s="121">
        <v>0.0</v>
      </c>
      <c r="U41" s="121">
        <v>0.0</v>
      </c>
      <c r="V41" s="121">
        <v>0.0</v>
      </c>
      <c r="W41" s="121">
        <v>0.0</v>
      </c>
      <c r="X41" s="121">
        <v>0.0</v>
      </c>
    </row>
    <row r="42" ht="15.75" customHeight="1">
      <c r="A42" s="121">
        <v>6.0</v>
      </c>
      <c r="B42" s="121" t="s">
        <v>150</v>
      </c>
      <c r="C42" s="121">
        <v>10.0</v>
      </c>
      <c r="D42" s="122">
        <v>54.0</v>
      </c>
      <c r="E42" s="149">
        <v>0.0</v>
      </c>
      <c r="F42" s="121">
        <v>0.0</v>
      </c>
      <c r="G42" s="121">
        <v>0.0</v>
      </c>
      <c r="H42" s="121">
        <v>0.0</v>
      </c>
      <c r="I42" s="121">
        <v>0.0</v>
      </c>
      <c r="J42" s="121">
        <v>0.0</v>
      </c>
      <c r="K42" s="121">
        <v>0.0</v>
      </c>
      <c r="L42" s="121">
        <v>1.0</v>
      </c>
      <c r="M42" s="121">
        <v>0.0</v>
      </c>
      <c r="N42" s="121">
        <v>0.0</v>
      </c>
      <c r="O42" s="121">
        <v>0.0</v>
      </c>
      <c r="P42" s="121">
        <v>0.0</v>
      </c>
      <c r="Q42" s="121">
        <v>0.0</v>
      </c>
      <c r="R42" s="121">
        <v>0.0</v>
      </c>
      <c r="S42" s="121">
        <v>0.0</v>
      </c>
      <c r="T42" s="121">
        <v>0.0</v>
      </c>
      <c r="U42" s="121">
        <v>0.0</v>
      </c>
      <c r="V42" s="121">
        <v>0.0</v>
      </c>
      <c r="W42" s="121">
        <v>0.0</v>
      </c>
      <c r="X42" s="121">
        <v>0.0</v>
      </c>
    </row>
    <row r="43" ht="15.75" customHeight="1">
      <c r="A43" s="121">
        <v>6.0</v>
      </c>
      <c r="B43" s="121" t="s">
        <v>151</v>
      </c>
      <c r="C43" s="121">
        <v>10.0</v>
      </c>
      <c r="D43" s="122">
        <v>54.0</v>
      </c>
      <c r="E43" s="149">
        <v>0.0</v>
      </c>
      <c r="F43" s="121">
        <v>0.0</v>
      </c>
      <c r="G43" s="121">
        <v>15.0</v>
      </c>
      <c r="H43" s="121">
        <v>0.0</v>
      </c>
      <c r="I43" s="121">
        <v>0.0</v>
      </c>
      <c r="J43" s="121">
        <v>0.0</v>
      </c>
      <c r="K43" s="121">
        <v>0.0</v>
      </c>
      <c r="L43" s="121">
        <v>0.0</v>
      </c>
      <c r="M43" s="121">
        <v>0.0</v>
      </c>
      <c r="N43" s="121">
        <v>0.0</v>
      </c>
      <c r="O43" s="121">
        <v>0.0</v>
      </c>
      <c r="P43" s="121">
        <v>0.0</v>
      </c>
      <c r="Q43" s="121">
        <v>0.0</v>
      </c>
      <c r="R43" s="121">
        <v>0.0</v>
      </c>
      <c r="S43" s="121">
        <v>0.0</v>
      </c>
      <c r="T43" s="121">
        <v>0.0</v>
      </c>
      <c r="U43" s="121">
        <v>0.0</v>
      </c>
      <c r="V43" s="121">
        <v>0.0</v>
      </c>
      <c r="W43" s="121">
        <v>0.0</v>
      </c>
      <c r="X43" s="121">
        <v>0.0</v>
      </c>
    </row>
    <row r="44" ht="15.75" customHeight="1">
      <c r="A44" s="121">
        <v>7.0</v>
      </c>
      <c r="B44" s="121" t="s">
        <v>147</v>
      </c>
      <c r="C44" s="121">
        <v>12.0</v>
      </c>
      <c r="D44" s="122">
        <v>66.0</v>
      </c>
      <c r="E44" s="149">
        <v>0.0</v>
      </c>
      <c r="F44" s="121">
        <v>0.0</v>
      </c>
      <c r="G44" s="121">
        <v>0.0</v>
      </c>
      <c r="H44" s="121">
        <v>0.0</v>
      </c>
      <c r="I44" s="121">
        <v>0.0</v>
      </c>
      <c r="J44" s="121">
        <v>0.0</v>
      </c>
      <c r="K44" s="121">
        <v>1.0</v>
      </c>
      <c r="L44" s="121">
        <v>0.0</v>
      </c>
      <c r="M44" s="121">
        <v>0.0</v>
      </c>
      <c r="N44" s="121">
        <v>0.0</v>
      </c>
      <c r="O44" s="121">
        <v>0.0</v>
      </c>
      <c r="P44" s="121">
        <v>0.0</v>
      </c>
      <c r="Q44" s="121">
        <v>0.0</v>
      </c>
      <c r="R44" s="121">
        <v>0.0</v>
      </c>
      <c r="S44" s="121">
        <v>0.0</v>
      </c>
      <c r="T44" s="121">
        <v>0.0</v>
      </c>
      <c r="U44" s="121">
        <v>0.0</v>
      </c>
      <c r="V44" s="121">
        <v>0.0</v>
      </c>
      <c r="W44" s="121">
        <v>0.0</v>
      </c>
      <c r="X44" s="121">
        <v>0.0</v>
      </c>
    </row>
    <row r="45" ht="15.75" customHeight="1">
      <c r="A45" s="121">
        <v>7.0</v>
      </c>
      <c r="B45" s="121" t="s">
        <v>148</v>
      </c>
      <c r="C45" s="121">
        <v>12.0</v>
      </c>
      <c r="D45" s="122">
        <v>66.0</v>
      </c>
      <c r="E45" s="149">
        <v>0.0</v>
      </c>
      <c r="F45" s="121">
        <v>0.0</v>
      </c>
      <c r="G45" s="121">
        <v>0.0</v>
      </c>
      <c r="H45" s="121">
        <v>0.0</v>
      </c>
      <c r="I45" s="121">
        <v>0.0</v>
      </c>
      <c r="J45" s="121">
        <v>0.0</v>
      </c>
      <c r="K45" s="121">
        <v>0.0</v>
      </c>
      <c r="L45" s="121">
        <v>0.0</v>
      </c>
      <c r="M45" s="121">
        <v>0.0</v>
      </c>
      <c r="N45" s="121">
        <v>0.0</v>
      </c>
      <c r="O45" s="121">
        <v>15.0</v>
      </c>
      <c r="P45" s="121">
        <v>0.0</v>
      </c>
      <c r="Q45" s="121">
        <v>0.0</v>
      </c>
      <c r="R45" s="121">
        <v>0.0</v>
      </c>
      <c r="S45" s="121">
        <v>0.0</v>
      </c>
      <c r="T45" s="121">
        <v>0.0</v>
      </c>
      <c r="U45" s="121">
        <v>0.0</v>
      </c>
      <c r="V45" s="121">
        <v>0.0</v>
      </c>
      <c r="W45" s="121">
        <v>0.0</v>
      </c>
      <c r="X45" s="121">
        <v>0.0</v>
      </c>
    </row>
    <row r="46" ht="15.75" customHeight="1">
      <c r="A46" s="121">
        <v>7.0</v>
      </c>
      <c r="B46" s="121" t="s">
        <v>149</v>
      </c>
      <c r="C46" s="121">
        <v>12.0</v>
      </c>
      <c r="D46" s="122">
        <v>66.0</v>
      </c>
      <c r="E46" s="149">
        <v>0.0</v>
      </c>
      <c r="F46" s="121">
        <v>0.0</v>
      </c>
      <c r="G46" s="121">
        <v>0.0</v>
      </c>
      <c r="H46" s="121">
        <v>1.0</v>
      </c>
      <c r="I46" s="121">
        <v>0.0</v>
      </c>
      <c r="J46" s="121">
        <v>0.0</v>
      </c>
      <c r="K46" s="121">
        <v>0.0</v>
      </c>
      <c r="L46" s="121">
        <v>0.0</v>
      </c>
      <c r="M46" s="121">
        <v>0.0</v>
      </c>
      <c r="N46" s="121">
        <v>0.0</v>
      </c>
      <c r="O46" s="121">
        <v>0.0</v>
      </c>
      <c r="P46" s="121">
        <v>0.0</v>
      </c>
      <c r="Q46" s="121">
        <v>0.0</v>
      </c>
      <c r="R46" s="121">
        <v>0.0</v>
      </c>
      <c r="S46" s="121">
        <v>0.0</v>
      </c>
      <c r="T46" s="121">
        <v>0.0</v>
      </c>
      <c r="U46" s="121">
        <v>0.0</v>
      </c>
      <c r="V46" s="121">
        <v>0.0</v>
      </c>
      <c r="W46" s="121">
        <v>0.0</v>
      </c>
      <c r="X46" s="121">
        <v>0.0</v>
      </c>
    </row>
    <row r="47" ht="15.75" customHeight="1">
      <c r="A47" s="121">
        <v>7.0</v>
      </c>
      <c r="B47" s="121" t="s">
        <v>150</v>
      </c>
      <c r="C47" s="121">
        <v>12.0</v>
      </c>
      <c r="D47" s="122">
        <v>66.0</v>
      </c>
      <c r="E47" s="149">
        <v>0.0</v>
      </c>
      <c r="F47" s="121">
        <v>30.0</v>
      </c>
      <c r="G47" s="121">
        <v>0.0</v>
      </c>
      <c r="H47" s="121">
        <v>0.0</v>
      </c>
      <c r="I47" s="121">
        <v>0.0</v>
      </c>
      <c r="J47" s="121">
        <v>0.0</v>
      </c>
      <c r="K47" s="121">
        <v>0.0</v>
      </c>
      <c r="L47" s="121">
        <v>0.0</v>
      </c>
      <c r="M47" s="121">
        <v>0.0</v>
      </c>
      <c r="N47" s="121">
        <v>0.0</v>
      </c>
      <c r="O47" s="121">
        <v>0.0</v>
      </c>
      <c r="P47" s="121">
        <v>0.0</v>
      </c>
      <c r="Q47" s="121">
        <v>0.0</v>
      </c>
      <c r="R47" s="121">
        <v>0.0</v>
      </c>
      <c r="S47" s="121">
        <v>0.0</v>
      </c>
      <c r="T47" s="121">
        <v>0.0</v>
      </c>
      <c r="U47" s="121">
        <v>0.0</v>
      </c>
      <c r="V47" s="121">
        <v>0.0</v>
      </c>
      <c r="W47" s="121">
        <v>0.0</v>
      </c>
      <c r="X47" s="121">
        <v>0.0</v>
      </c>
    </row>
    <row r="48" ht="15.75" customHeight="1">
      <c r="A48" s="121">
        <v>7.0</v>
      </c>
      <c r="B48" s="121" t="s">
        <v>151</v>
      </c>
      <c r="C48" s="121">
        <v>12.0</v>
      </c>
      <c r="D48" s="122">
        <v>66.0</v>
      </c>
      <c r="E48" s="149">
        <v>0.0</v>
      </c>
      <c r="F48" s="121">
        <v>0.0</v>
      </c>
      <c r="G48" s="121">
        <v>15.0</v>
      </c>
      <c r="H48" s="121">
        <v>0.0</v>
      </c>
      <c r="I48" s="121">
        <v>0.0</v>
      </c>
      <c r="J48" s="121">
        <v>0.0</v>
      </c>
      <c r="K48" s="121">
        <v>0.0</v>
      </c>
      <c r="L48" s="121">
        <v>0.0</v>
      </c>
      <c r="M48" s="121">
        <v>0.0</v>
      </c>
      <c r="N48" s="121">
        <v>0.0</v>
      </c>
      <c r="O48" s="121">
        <v>0.0</v>
      </c>
      <c r="P48" s="121">
        <v>0.0</v>
      </c>
      <c r="Q48" s="121">
        <v>0.0</v>
      </c>
      <c r="R48" s="121">
        <v>0.0</v>
      </c>
      <c r="S48" s="121">
        <v>0.0</v>
      </c>
      <c r="T48" s="121">
        <v>0.0</v>
      </c>
      <c r="U48" s="121">
        <v>0.0</v>
      </c>
      <c r="V48" s="121">
        <v>0.0</v>
      </c>
      <c r="W48" s="121">
        <v>0.0</v>
      </c>
      <c r="X48" s="121">
        <v>0.0</v>
      </c>
    </row>
    <row r="49" ht="15.75" customHeight="1">
      <c r="A49" s="121">
        <v>8.0</v>
      </c>
      <c r="B49" s="121" t="s">
        <v>147</v>
      </c>
      <c r="C49" s="121">
        <v>15.0</v>
      </c>
      <c r="D49" s="122">
        <v>81.0</v>
      </c>
      <c r="E49" s="149">
        <v>0.0</v>
      </c>
      <c r="F49" s="121">
        <v>0.0</v>
      </c>
      <c r="G49" s="121">
        <v>0.0</v>
      </c>
      <c r="H49" s="121">
        <v>0.0</v>
      </c>
      <c r="I49" s="121">
        <v>0.0</v>
      </c>
      <c r="J49" s="121">
        <v>1.0</v>
      </c>
      <c r="K49" s="121">
        <v>0.0</v>
      </c>
      <c r="L49" s="121">
        <v>0.0</v>
      </c>
      <c r="M49" s="121">
        <v>0.0</v>
      </c>
      <c r="N49" s="121">
        <v>30.0</v>
      </c>
      <c r="O49" s="121">
        <v>0.0</v>
      </c>
      <c r="P49" s="121">
        <v>0.0</v>
      </c>
      <c r="Q49" s="121">
        <v>0.0</v>
      </c>
      <c r="R49" s="121">
        <v>0.0</v>
      </c>
      <c r="S49" s="121">
        <v>0.0</v>
      </c>
      <c r="T49" s="121">
        <v>0.0</v>
      </c>
      <c r="U49" s="121">
        <v>0.0</v>
      </c>
      <c r="V49" s="121">
        <v>0.0</v>
      </c>
      <c r="W49" s="121">
        <v>0.0</v>
      </c>
      <c r="X49" s="121">
        <v>0.0</v>
      </c>
    </row>
    <row r="50" ht="15.75" customHeight="1">
      <c r="A50" s="121">
        <v>8.0</v>
      </c>
      <c r="B50" s="121" t="s">
        <v>148</v>
      </c>
      <c r="C50" s="121">
        <v>15.0</v>
      </c>
      <c r="D50" s="122">
        <v>81.0</v>
      </c>
      <c r="E50" s="149">
        <v>0.0</v>
      </c>
      <c r="F50" s="121">
        <v>0.0</v>
      </c>
      <c r="G50" s="121">
        <v>0.0</v>
      </c>
      <c r="H50" s="121">
        <v>0.0</v>
      </c>
      <c r="I50" s="121">
        <v>0.0</v>
      </c>
      <c r="J50" s="121">
        <v>0.0</v>
      </c>
      <c r="K50" s="121">
        <v>0.0</v>
      </c>
      <c r="L50" s="121">
        <v>0.0</v>
      </c>
      <c r="M50" s="121">
        <v>1.0</v>
      </c>
      <c r="N50" s="121">
        <v>0.0</v>
      </c>
      <c r="O50" s="121">
        <v>0.0</v>
      </c>
      <c r="P50" s="121">
        <v>0.0</v>
      </c>
      <c r="Q50" s="121">
        <v>0.0</v>
      </c>
      <c r="R50" s="121">
        <v>0.0</v>
      </c>
      <c r="S50" s="121">
        <v>0.0</v>
      </c>
      <c r="T50" s="121">
        <v>0.0</v>
      </c>
      <c r="U50" s="121">
        <v>0.0</v>
      </c>
      <c r="V50" s="121">
        <v>0.0</v>
      </c>
      <c r="W50" s="121">
        <v>0.0</v>
      </c>
      <c r="X50" s="121">
        <v>0.0</v>
      </c>
    </row>
    <row r="51" ht="15.75" customHeight="1">
      <c r="A51" s="121">
        <v>8.0</v>
      </c>
      <c r="B51" s="121" t="s">
        <v>149</v>
      </c>
      <c r="C51" s="121">
        <v>15.0</v>
      </c>
      <c r="D51" s="122">
        <v>81.0</v>
      </c>
      <c r="E51" s="149">
        <v>0.0</v>
      </c>
      <c r="F51" s="121">
        <v>0.0</v>
      </c>
      <c r="G51" s="121">
        <v>0.0</v>
      </c>
      <c r="H51" s="121">
        <v>0.0</v>
      </c>
      <c r="I51" s="121">
        <v>0.0</v>
      </c>
      <c r="J51" s="121">
        <v>0.0</v>
      </c>
      <c r="K51" s="121">
        <v>0.0</v>
      </c>
      <c r="L51" s="121">
        <v>0.0</v>
      </c>
      <c r="M51" s="121">
        <v>0.0</v>
      </c>
      <c r="N51" s="121">
        <v>0.0</v>
      </c>
      <c r="O51" s="121">
        <v>0.0</v>
      </c>
      <c r="P51" s="121">
        <v>15.0</v>
      </c>
      <c r="Q51" s="121">
        <v>0.0</v>
      </c>
      <c r="R51" s="121">
        <v>0.0</v>
      </c>
      <c r="S51" s="121">
        <v>0.0</v>
      </c>
      <c r="T51" s="121">
        <v>0.0</v>
      </c>
      <c r="U51" s="121">
        <v>0.0</v>
      </c>
      <c r="V51" s="121">
        <v>0.0</v>
      </c>
      <c r="W51" s="121">
        <v>0.0</v>
      </c>
      <c r="X51" s="121">
        <v>0.0</v>
      </c>
    </row>
    <row r="52" ht="15.75" customHeight="1">
      <c r="A52" s="121">
        <v>8.0</v>
      </c>
      <c r="B52" s="121" t="s">
        <v>150</v>
      </c>
      <c r="C52" s="121">
        <v>15.0</v>
      </c>
      <c r="D52" s="122">
        <v>81.0</v>
      </c>
      <c r="E52" s="149">
        <v>0.0</v>
      </c>
      <c r="F52" s="121">
        <v>0.0</v>
      </c>
      <c r="G52" s="121">
        <v>0.0</v>
      </c>
      <c r="H52" s="121">
        <v>0.0</v>
      </c>
      <c r="I52" s="121">
        <v>1.0</v>
      </c>
      <c r="J52" s="121">
        <v>0.0</v>
      </c>
      <c r="K52" s="121">
        <v>0.0</v>
      </c>
      <c r="L52" s="121">
        <v>0.0</v>
      </c>
      <c r="M52" s="121">
        <v>0.0</v>
      </c>
      <c r="N52" s="121">
        <v>0.0</v>
      </c>
      <c r="O52" s="121">
        <v>0.0</v>
      </c>
      <c r="P52" s="121">
        <v>0.0</v>
      </c>
      <c r="Q52" s="121">
        <v>0.0</v>
      </c>
      <c r="R52" s="121">
        <v>0.0</v>
      </c>
      <c r="S52" s="121">
        <v>0.0</v>
      </c>
      <c r="T52" s="121">
        <v>0.0</v>
      </c>
      <c r="U52" s="121">
        <v>0.0</v>
      </c>
      <c r="V52" s="121">
        <v>0.0</v>
      </c>
      <c r="W52" s="121">
        <v>0.0</v>
      </c>
      <c r="X52" s="121">
        <v>0.0</v>
      </c>
    </row>
    <row r="53" ht="15.75" customHeight="1">
      <c r="A53" s="121">
        <v>8.0</v>
      </c>
      <c r="B53" s="121" t="s">
        <v>151</v>
      </c>
      <c r="C53" s="121">
        <v>15.0</v>
      </c>
      <c r="D53" s="122">
        <v>81.0</v>
      </c>
      <c r="E53" s="149">
        <v>0.0</v>
      </c>
      <c r="F53" s="121">
        <v>0.0</v>
      </c>
      <c r="G53" s="121">
        <v>0.0</v>
      </c>
      <c r="H53" s="121">
        <v>1.0</v>
      </c>
      <c r="I53" s="121">
        <v>0.0</v>
      </c>
      <c r="J53" s="121">
        <v>0.0</v>
      </c>
      <c r="K53" s="121">
        <v>0.0</v>
      </c>
      <c r="L53" s="121">
        <v>0.0</v>
      </c>
      <c r="M53" s="121">
        <v>0.0</v>
      </c>
      <c r="N53" s="121">
        <v>0.0</v>
      </c>
      <c r="O53" s="121">
        <v>0.0</v>
      </c>
      <c r="P53" s="121">
        <v>0.0</v>
      </c>
      <c r="Q53" s="121">
        <v>0.0</v>
      </c>
      <c r="R53" s="121">
        <v>0.0</v>
      </c>
      <c r="S53" s="121">
        <v>0.0</v>
      </c>
      <c r="T53" s="121">
        <v>0.0</v>
      </c>
      <c r="U53" s="121">
        <v>0.0</v>
      </c>
      <c r="V53" s="121">
        <v>0.0</v>
      </c>
      <c r="W53" s="121">
        <v>0.0</v>
      </c>
      <c r="X53" s="121">
        <v>0.0</v>
      </c>
    </row>
    <row r="54" ht="15.75" customHeight="1">
      <c r="A54" s="121">
        <v>9.0</v>
      </c>
      <c r="B54" s="121" t="s">
        <v>147</v>
      </c>
      <c r="C54" s="121">
        <v>17.0</v>
      </c>
      <c r="D54" s="122">
        <v>98.0</v>
      </c>
      <c r="E54" s="149">
        <v>70.0</v>
      </c>
      <c r="F54" s="121">
        <v>30.0</v>
      </c>
      <c r="G54" s="121">
        <v>0.0</v>
      </c>
      <c r="H54" s="121">
        <v>1.0</v>
      </c>
      <c r="I54" s="121">
        <v>0.0</v>
      </c>
      <c r="J54" s="121">
        <v>0.0</v>
      </c>
      <c r="K54" s="121">
        <v>0.0</v>
      </c>
      <c r="L54" s="121">
        <v>0.0</v>
      </c>
      <c r="M54" s="121">
        <v>0.0</v>
      </c>
      <c r="N54" s="121">
        <v>0.0</v>
      </c>
      <c r="O54" s="121">
        <v>0.0</v>
      </c>
      <c r="P54" s="121">
        <v>0.0</v>
      </c>
      <c r="Q54" s="121">
        <v>0.0</v>
      </c>
      <c r="R54" s="121">
        <v>0.0</v>
      </c>
      <c r="S54" s="121">
        <v>0.0</v>
      </c>
      <c r="T54" s="121">
        <v>0.0</v>
      </c>
      <c r="U54" s="121">
        <v>0.0</v>
      </c>
      <c r="V54" s="121">
        <v>0.0</v>
      </c>
      <c r="W54" s="121">
        <v>0.0</v>
      </c>
      <c r="X54" s="121">
        <v>0.0</v>
      </c>
    </row>
    <row r="55" ht="15.75" customHeight="1">
      <c r="A55" s="121">
        <v>9.0</v>
      </c>
      <c r="B55" s="121" t="s">
        <v>148</v>
      </c>
      <c r="C55" s="121">
        <v>17.0</v>
      </c>
      <c r="D55" s="122">
        <v>98.0</v>
      </c>
      <c r="E55" s="149">
        <v>0.0</v>
      </c>
      <c r="F55" s="121">
        <v>0.0</v>
      </c>
      <c r="G55" s="121">
        <v>0.0</v>
      </c>
      <c r="H55" s="121">
        <v>0.0</v>
      </c>
      <c r="I55" s="121">
        <v>0.0</v>
      </c>
      <c r="J55" s="121">
        <v>0.0</v>
      </c>
      <c r="K55" s="121">
        <v>1.0</v>
      </c>
      <c r="L55" s="121">
        <v>0.0</v>
      </c>
      <c r="M55" s="121">
        <v>0.0</v>
      </c>
      <c r="N55" s="121">
        <v>0.0</v>
      </c>
      <c r="O55" s="121">
        <v>0.0</v>
      </c>
      <c r="P55" s="121">
        <v>0.0</v>
      </c>
      <c r="Q55" s="121">
        <v>15.0</v>
      </c>
      <c r="R55" s="121">
        <v>0.0</v>
      </c>
      <c r="S55" s="121">
        <v>0.0</v>
      </c>
      <c r="T55" s="121">
        <v>0.0</v>
      </c>
      <c r="U55" s="121">
        <v>0.0</v>
      </c>
      <c r="V55" s="121">
        <v>0.0</v>
      </c>
      <c r="W55" s="121">
        <v>0.0</v>
      </c>
      <c r="X55" s="121">
        <v>0.0</v>
      </c>
    </row>
    <row r="56" ht="15.75" customHeight="1">
      <c r="A56" s="121">
        <v>9.0</v>
      </c>
      <c r="B56" s="121" t="s">
        <v>149</v>
      </c>
      <c r="C56" s="121">
        <v>17.0</v>
      </c>
      <c r="D56" s="122">
        <v>98.0</v>
      </c>
      <c r="E56" s="149">
        <v>0.0</v>
      </c>
      <c r="F56" s="121">
        <v>0.0</v>
      </c>
      <c r="G56" s="121">
        <v>0.0</v>
      </c>
      <c r="H56" s="121">
        <v>0.0</v>
      </c>
      <c r="I56" s="121">
        <v>0.0</v>
      </c>
      <c r="J56" s="121">
        <v>0.0</v>
      </c>
      <c r="K56" s="121">
        <v>0.0</v>
      </c>
      <c r="L56" s="121">
        <v>0.0</v>
      </c>
      <c r="M56" s="121">
        <v>0.0</v>
      </c>
      <c r="N56" s="121">
        <v>0.0</v>
      </c>
      <c r="O56" s="121">
        <v>0.0</v>
      </c>
      <c r="P56" s="121">
        <v>15.0</v>
      </c>
      <c r="Q56" s="121">
        <v>0.0</v>
      </c>
      <c r="R56" s="121">
        <v>0.0</v>
      </c>
      <c r="S56" s="121">
        <v>0.0</v>
      </c>
      <c r="T56" s="121">
        <v>0.0</v>
      </c>
      <c r="U56" s="121">
        <v>0.0</v>
      </c>
      <c r="V56" s="121">
        <v>0.0</v>
      </c>
      <c r="W56" s="121">
        <v>0.0</v>
      </c>
      <c r="X56" s="121">
        <v>0.0</v>
      </c>
    </row>
    <row r="57" ht="15.75" customHeight="1">
      <c r="A57" s="121">
        <v>9.0</v>
      </c>
      <c r="B57" s="121" t="s">
        <v>150</v>
      </c>
      <c r="C57" s="121">
        <v>17.0</v>
      </c>
      <c r="D57" s="122">
        <v>98.0</v>
      </c>
      <c r="E57" s="149">
        <v>0.0</v>
      </c>
      <c r="F57" s="121">
        <v>0.0</v>
      </c>
      <c r="G57" s="121">
        <v>0.0</v>
      </c>
      <c r="H57" s="121">
        <v>0.0</v>
      </c>
      <c r="I57" s="121">
        <v>0.0</v>
      </c>
      <c r="J57" s="121">
        <v>0.0</v>
      </c>
      <c r="K57" s="121">
        <v>0.0</v>
      </c>
      <c r="L57" s="121">
        <v>0.0</v>
      </c>
      <c r="M57" s="121">
        <v>0.0</v>
      </c>
      <c r="N57" s="121">
        <v>0.0</v>
      </c>
      <c r="O57" s="121">
        <v>15.0</v>
      </c>
      <c r="P57" s="121">
        <v>0.0</v>
      </c>
      <c r="Q57" s="121">
        <v>0.0</v>
      </c>
      <c r="R57" s="121">
        <v>0.0</v>
      </c>
      <c r="S57" s="121">
        <v>0.0</v>
      </c>
      <c r="T57" s="121">
        <v>0.0</v>
      </c>
      <c r="U57" s="121">
        <v>0.0</v>
      </c>
      <c r="V57" s="121">
        <v>0.0</v>
      </c>
      <c r="W57" s="121">
        <v>0.0</v>
      </c>
      <c r="X57" s="121">
        <v>0.0</v>
      </c>
    </row>
    <row r="58" ht="15.75" customHeight="1">
      <c r="A58" s="121">
        <v>9.0</v>
      </c>
      <c r="B58" s="121" t="s">
        <v>151</v>
      </c>
      <c r="C58" s="121">
        <v>17.0</v>
      </c>
      <c r="D58" s="122">
        <v>98.0</v>
      </c>
      <c r="E58" s="149">
        <v>0.0</v>
      </c>
      <c r="F58" s="121">
        <v>0.0</v>
      </c>
      <c r="G58" s="121">
        <v>15.0</v>
      </c>
      <c r="H58" s="121">
        <v>0.0</v>
      </c>
      <c r="I58" s="121">
        <v>0.0</v>
      </c>
      <c r="J58" s="121">
        <v>0.0</v>
      </c>
      <c r="K58" s="121">
        <v>0.0</v>
      </c>
      <c r="L58" s="121">
        <v>0.0</v>
      </c>
      <c r="M58" s="121">
        <v>0.0</v>
      </c>
      <c r="N58" s="121">
        <v>0.0</v>
      </c>
      <c r="O58" s="121">
        <v>0.0</v>
      </c>
      <c r="P58" s="121">
        <v>0.0</v>
      </c>
      <c r="Q58" s="121">
        <v>0.0</v>
      </c>
      <c r="R58" s="121">
        <v>0.0</v>
      </c>
      <c r="S58" s="121">
        <v>0.0</v>
      </c>
      <c r="T58" s="121">
        <v>0.0</v>
      </c>
      <c r="U58" s="121">
        <v>0.0</v>
      </c>
      <c r="V58" s="121">
        <v>0.0</v>
      </c>
      <c r="W58" s="121">
        <v>0.0</v>
      </c>
      <c r="X58" s="121">
        <v>0.0</v>
      </c>
    </row>
    <row r="59" ht="15.75" customHeight="1">
      <c r="A59" s="121">
        <v>10.0</v>
      </c>
      <c r="B59" s="121" t="s">
        <v>147</v>
      </c>
      <c r="C59" s="121">
        <v>8.0</v>
      </c>
      <c r="D59" s="122">
        <v>106.0</v>
      </c>
      <c r="E59" s="149">
        <v>0.0</v>
      </c>
      <c r="F59" s="121">
        <v>0.0</v>
      </c>
      <c r="G59" s="121">
        <v>0.0</v>
      </c>
      <c r="H59" s="121">
        <v>0.0</v>
      </c>
      <c r="I59" s="121">
        <v>0.0</v>
      </c>
      <c r="J59" s="121">
        <v>0.0</v>
      </c>
      <c r="K59" s="121">
        <v>0.0</v>
      </c>
      <c r="L59" s="121">
        <v>0.0</v>
      </c>
      <c r="M59" s="121">
        <v>0.0</v>
      </c>
      <c r="N59" s="121">
        <v>0.0</v>
      </c>
      <c r="O59" s="121">
        <v>20.0</v>
      </c>
      <c r="P59" s="121">
        <v>0.0</v>
      </c>
      <c r="Q59" s="121">
        <v>0.0</v>
      </c>
      <c r="R59" s="121">
        <v>0.0</v>
      </c>
      <c r="S59" s="121">
        <v>0.0</v>
      </c>
      <c r="T59" s="121">
        <v>0.0</v>
      </c>
      <c r="U59" s="121">
        <v>0.0</v>
      </c>
      <c r="V59" s="121">
        <v>0.0</v>
      </c>
      <c r="W59" s="121">
        <v>0.0</v>
      </c>
      <c r="X59" s="121">
        <v>0.0</v>
      </c>
    </row>
    <row r="60" ht="15.75" customHeight="1">
      <c r="A60" s="121">
        <v>10.0</v>
      </c>
      <c r="B60" s="121" t="s">
        <v>148</v>
      </c>
      <c r="C60" s="121">
        <v>8.0</v>
      </c>
      <c r="D60" s="122">
        <v>106.0</v>
      </c>
      <c r="E60" s="149">
        <v>0.0</v>
      </c>
      <c r="F60" s="121">
        <v>0.0</v>
      </c>
      <c r="G60" s="121">
        <v>0.0</v>
      </c>
      <c r="H60" s="121">
        <v>0.0</v>
      </c>
      <c r="I60" s="121">
        <v>0.0</v>
      </c>
      <c r="J60" s="121">
        <v>0.0</v>
      </c>
      <c r="K60" s="121">
        <v>0.0</v>
      </c>
      <c r="L60" s="121">
        <v>0.0</v>
      </c>
      <c r="M60" s="121">
        <v>0.0</v>
      </c>
      <c r="N60" s="121">
        <v>15.0</v>
      </c>
      <c r="O60" s="121">
        <v>0.0</v>
      </c>
      <c r="P60" s="121">
        <v>0.0</v>
      </c>
      <c r="Q60" s="121">
        <v>0.0</v>
      </c>
      <c r="R60" s="121">
        <v>0.0</v>
      </c>
      <c r="S60" s="121">
        <v>0.0</v>
      </c>
      <c r="T60" s="121">
        <v>0.0</v>
      </c>
      <c r="U60" s="121">
        <v>0.0</v>
      </c>
      <c r="V60" s="121">
        <v>0.0</v>
      </c>
      <c r="W60" s="121">
        <v>0.0</v>
      </c>
      <c r="X60" s="121">
        <v>0.0</v>
      </c>
    </row>
    <row r="61" ht="15.75" customHeight="1">
      <c r="A61" s="121">
        <v>10.0</v>
      </c>
      <c r="B61" s="121" t="s">
        <v>149</v>
      </c>
      <c r="C61" s="121">
        <v>8.0</v>
      </c>
      <c r="D61" s="122">
        <v>106.0</v>
      </c>
      <c r="E61" s="149">
        <v>0.0</v>
      </c>
      <c r="F61" s="121">
        <v>0.0</v>
      </c>
      <c r="G61" s="121">
        <v>0.0</v>
      </c>
      <c r="H61" s="121">
        <v>0.0</v>
      </c>
      <c r="I61" s="121">
        <v>0.0</v>
      </c>
      <c r="J61" s="121">
        <v>1.0</v>
      </c>
      <c r="K61" s="121">
        <v>0.0</v>
      </c>
      <c r="L61" s="121">
        <v>0.0</v>
      </c>
      <c r="M61" s="121">
        <v>0.0</v>
      </c>
      <c r="N61" s="121">
        <v>0.0</v>
      </c>
      <c r="O61" s="121">
        <v>0.0</v>
      </c>
      <c r="P61" s="121">
        <v>0.0</v>
      </c>
      <c r="Q61" s="121">
        <v>0.0</v>
      </c>
      <c r="R61" s="121">
        <v>0.0</v>
      </c>
      <c r="S61" s="121">
        <v>0.0</v>
      </c>
      <c r="T61" s="121">
        <v>0.0</v>
      </c>
      <c r="U61" s="121">
        <v>0.0</v>
      </c>
      <c r="V61" s="121">
        <v>0.0</v>
      </c>
      <c r="W61" s="121">
        <v>0.0</v>
      </c>
      <c r="X61" s="121">
        <v>0.0</v>
      </c>
    </row>
    <row r="62" ht="15.75" customHeight="1">
      <c r="A62" s="121">
        <v>10.0</v>
      </c>
      <c r="B62" s="121" t="s">
        <v>150</v>
      </c>
      <c r="C62" s="121">
        <v>8.0</v>
      </c>
      <c r="D62" s="122">
        <v>106.0</v>
      </c>
      <c r="E62" s="149">
        <v>0.0</v>
      </c>
      <c r="F62" s="121">
        <v>0.0</v>
      </c>
      <c r="G62" s="121">
        <v>0.0</v>
      </c>
      <c r="H62" s="121">
        <v>0.0</v>
      </c>
      <c r="I62" s="121">
        <v>1.0</v>
      </c>
      <c r="J62" s="121">
        <v>0.0</v>
      </c>
      <c r="K62" s="121">
        <v>0.0</v>
      </c>
      <c r="L62" s="121">
        <v>0.0</v>
      </c>
      <c r="M62" s="121">
        <v>0.0</v>
      </c>
      <c r="N62" s="121">
        <v>0.0</v>
      </c>
      <c r="O62" s="121">
        <v>0.0</v>
      </c>
      <c r="P62" s="121">
        <v>0.0</v>
      </c>
      <c r="Q62" s="121">
        <v>0.0</v>
      </c>
      <c r="R62" s="121">
        <v>0.0</v>
      </c>
      <c r="S62" s="121">
        <v>0.0</v>
      </c>
      <c r="T62" s="121">
        <v>0.0</v>
      </c>
      <c r="U62" s="121">
        <v>0.0</v>
      </c>
      <c r="V62" s="121">
        <v>0.0</v>
      </c>
      <c r="W62" s="121">
        <v>0.0</v>
      </c>
      <c r="X62" s="121">
        <v>0.0</v>
      </c>
    </row>
    <row r="63" ht="15.75" customHeight="1">
      <c r="A63" s="121">
        <v>10.0</v>
      </c>
      <c r="B63" s="121" t="s">
        <v>151</v>
      </c>
      <c r="C63" s="121">
        <v>8.0</v>
      </c>
      <c r="D63" s="122">
        <v>106.0</v>
      </c>
      <c r="E63" s="149">
        <v>0.0</v>
      </c>
      <c r="F63" s="121">
        <v>0.0</v>
      </c>
      <c r="G63" s="121">
        <v>0.0</v>
      </c>
      <c r="H63" s="121">
        <v>1.0</v>
      </c>
      <c r="I63" s="121">
        <v>0.0</v>
      </c>
      <c r="J63" s="121">
        <v>0.0</v>
      </c>
      <c r="K63" s="121">
        <v>0.0</v>
      </c>
      <c r="L63" s="121">
        <v>0.0</v>
      </c>
      <c r="M63" s="121">
        <v>0.0</v>
      </c>
      <c r="N63" s="121">
        <v>0.0</v>
      </c>
      <c r="O63" s="121">
        <v>0.0</v>
      </c>
      <c r="P63" s="121">
        <v>0.0</v>
      </c>
      <c r="Q63" s="121">
        <v>0.0</v>
      </c>
      <c r="R63" s="121">
        <v>0.0</v>
      </c>
      <c r="S63" s="121">
        <v>0.0</v>
      </c>
      <c r="T63" s="121">
        <v>0.0</v>
      </c>
      <c r="U63" s="121">
        <v>0.0</v>
      </c>
      <c r="V63" s="121">
        <v>0.0</v>
      </c>
      <c r="W63" s="121">
        <v>0.0</v>
      </c>
      <c r="X63" s="121">
        <v>0.0</v>
      </c>
    </row>
    <row r="64" ht="15.75" customHeight="1">
      <c r="A64" s="121">
        <v>11.0</v>
      </c>
      <c r="B64" s="121" t="s">
        <v>147</v>
      </c>
      <c r="C64" s="121">
        <v>10.0</v>
      </c>
      <c r="D64" s="122">
        <v>116.0</v>
      </c>
      <c r="E64" s="149">
        <v>0.0</v>
      </c>
      <c r="F64" s="121">
        <v>0.0</v>
      </c>
      <c r="G64" s="121">
        <v>0.0</v>
      </c>
      <c r="H64" s="121">
        <v>0.0</v>
      </c>
      <c r="I64" s="121">
        <v>0.0</v>
      </c>
      <c r="J64" s="121">
        <v>0.0</v>
      </c>
      <c r="K64" s="121">
        <v>0.0</v>
      </c>
      <c r="L64" s="121">
        <v>0.0</v>
      </c>
      <c r="M64" s="121">
        <v>0.0</v>
      </c>
      <c r="N64" s="121">
        <v>15.0</v>
      </c>
      <c r="O64" s="121">
        <v>0.0</v>
      </c>
      <c r="P64" s="121">
        <v>0.0</v>
      </c>
      <c r="Q64" s="121">
        <v>0.0</v>
      </c>
      <c r="R64" s="121">
        <v>0.0</v>
      </c>
      <c r="S64" s="121">
        <v>0.0</v>
      </c>
      <c r="T64" s="121">
        <v>0.0</v>
      </c>
      <c r="U64" s="121">
        <v>0.0</v>
      </c>
      <c r="V64" s="121">
        <v>0.0</v>
      </c>
      <c r="W64" s="121">
        <v>0.0</v>
      </c>
      <c r="X64" s="121">
        <v>0.0</v>
      </c>
    </row>
    <row r="65" ht="15.75" customHeight="1">
      <c r="A65" s="121">
        <v>11.0</v>
      </c>
      <c r="B65" s="121" t="s">
        <v>148</v>
      </c>
      <c r="C65" s="121">
        <v>10.0</v>
      </c>
      <c r="D65" s="122">
        <v>116.0</v>
      </c>
      <c r="E65" s="149">
        <v>0.0</v>
      </c>
      <c r="F65" s="121">
        <v>0.0</v>
      </c>
      <c r="G65" s="121">
        <v>0.0</v>
      </c>
      <c r="H65" s="121">
        <v>0.0</v>
      </c>
      <c r="I65" s="121">
        <v>0.0</v>
      </c>
      <c r="J65" s="121">
        <v>0.0</v>
      </c>
      <c r="K65" s="121">
        <v>0.0</v>
      </c>
      <c r="L65" s="121">
        <v>0.0</v>
      </c>
      <c r="M65" s="121">
        <v>0.0</v>
      </c>
      <c r="N65" s="121">
        <v>0.0</v>
      </c>
      <c r="O65" s="121">
        <v>0.0</v>
      </c>
      <c r="P65" s="121">
        <v>10.0</v>
      </c>
      <c r="Q65" s="121">
        <v>0.0</v>
      </c>
      <c r="R65" s="121">
        <v>0.0</v>
      </c>
      <c r="S65" s="121">
        <v>0.0</v>
      </c>
      <c r="T65" s="121">
        <v>0.0</v>
      </c>
      <c r="U65" s="121">
        <v>0.0</v>
      </c>
      <c r="V65" s="121">
        <v>0.0</v>
      </c>
      <c r="W65" s="121">
        <v>0.0</v>
      </c>
      <c r="X65" s="121">
        <v>0.0</v>
      </c>
    </row>
    <row r="66" ht="15.75" customHeight="1">
      <c r="A66" s="121">
        <v>11.0</v>
      </c>
      <c r="B66" s="121" t="s">
        <v>149</v>
      </c>
      <c r="C66" s="121">
        <v>10.0</v>
      </c>
      <c r="D66" s="122">
        <v>116.0</v>
      </c>
      <c r="E66" s="149">
        <v>0.0</v>
      </c>
      <c r="F66" s="121">
        <v>0.0</v>
      </c>
      <c r="G66" s="121">
        <v>0.0</v>
      </c>
      <c r="H66" s="121">
        <v>0.0</v>
      </c>
      <c r="I66" s="121">
        <v>0.0</v>
      </c>
      <c r="J66" s="121">
        <v>0.0</v>
      </c>
      <c r="K66" s="121">
        <v>1.0</v>
      </c>
      <c r="L66" s="121">
        <v>0.0</v>
      </c>
      <c r="M66" s="121">
        <v>0.0</v>
      </c>
      <c r="N66" s="121">
        <v>0.0</v>
      </c>
      <c r="O66" s="121">
        <v>0.0</v>
      </c>
      <c r="P66" s="121">
        <v>0.0</v>
      </c>
      <c r="Q66" s="121">
        <v>0.0</v>
      </c>
      <c r="R66" s="121">
        <v>0.0</v>
      </c>
      <c r="S66" s="121">
        <v>0.0</v>
      </c>
      <c r="T66" s="121">
        <v>0.0</v>
      </c>
      <c r="U66" s="121">
        <v>0.0</v>
      </c>
      <c r="V66" s="121">
        <v>0.0</v>
      </c>
      <c r="W66" s="121">
        <v>0.0</v>
      </c>
      <c r="X66" s="121">
        <v>0.0</v>
      </c>
    </row>
    <row r="67" ht="15.75" customHeight="1">
      <c r="A67" s="121">
        <v>11.0</v>
      </c>
      <c r="B67" s="121" t="s">
        <v>150</v>
      </c>
      <c r="C67" s="121">
        <v>10.0</v>
      </c>
      <c r="D67" s="122">
        <v>116.0</v>
      </c>
      <c r="E67" s="149">
        <v>0.0</v>
      </c>
      <c r="F67" s="121">
        <v>0.0</v>
      </c>
      <c r="G67" s="121">
        <v>0.0</v>
      </c>
      <c r="H67" s="121">
        <v>0.0</v>
      </c>
      <c r="I67" s="121">
        <v>0.0</v>
      </c>
      <c r="J67" s="121">
        <v>0.0</v>
      </c>
      <c r="K67" s="121">
        <v>0.0</v>
      </c>
      <c r="L67" s="121">
        <v>0.0</v>
      </c>
      <c r="M67" s="121">
        <v>0.0</v>
      </c>
      <c r="N67" s="121">
        <v>0.0</v>
      </c>
      <c r="O67" s="121">
        <v>10.0</v>
      </c>
      <c r="P67" s="121">
        <v>0.0</v>
      </c>
      <c r="Q67" s="121">
        <v>0.0</v>
      </c>
      <c r="R67" s="121">
        <v>0.0</v>
      </c>
      <c r="S67" s="121">
        <v>0.0</v>
      </c>
      <c r="T67" s="121">
        <v>0.0</v>
      </c>
      <c r="U67" s="121">
        <v>0.0</v>
      </c>
      <c r="V67" s="121">
        <v>0.0</v>
      </c>
      <c r="W67" s="121">
        <v>0.0</v>
      </c>
      <c r="X67" s="121">
        <v>0.0</v>
      </c>
    </row>
    <row r="68" ht="15.75" customHeight="1">
      <c r="A68" s="121">
        <v>11.0</v>
      </c>
      <c r="B68" s="121" t="s">
        <v>151</v>
      </c>
      <c r="C68" s="121">
        <v>10.0</v>
      </c>
      <c r="D68" s="122">
        <v>116.0</v>
      </c>
      <c r="E68" s="149">
        <v>0.0</v>
      </c>
      <c r="F68" s="121">
        <v>30.0</v>
      </c>
      <c r="G68" s="121">
        <v>0.0</v>
      </c>
      <c r="H68" s="121">
        <v>0.0</v>
      </c>
      <c r="I68" s="121">
        <v>0.0</v>
      </c>
      <c r="J68" s="121">
        <v>0.0</v>
      </c>
      <c r="K68" s="121">
        <v>0.0</v>
      </c>
      <c r="L68" s="121">
        <v>0.0</v>
      </c>
      <c r="M68" s="121">
        <v>0.0</v>
      </c>
      <c r="N68" s="121">
        <v>0.0</v>
      </c>
      <c r="O68" s="121">
        <v>0.0</v>
      </c>
      <c r="P68" s="121">
        <v>0.0</v>
      </c>
      <c r="Q68" s="121">
        <v>0.0</v>
      </c>
      <c r="R68" s="121">
        <v>0.0</v>
      </c>
      <c r="S68" s="121">
        <v>0.0</v>
      </c>
      <c r="T68" s="121">
        <v>0.0</v>
      </c>
      <c r="U68" s="121">
        <v>0.0</v>
      </c>
      <c r="V68" s="121">
        <v>0.0</v>
      </c>
      <c r="W68" s="121">
        <v>0.0</v>
      </c>
      <c r="X68" s="121">
        <v>0.0</v>
      </c>
    </row>
    <row r="69" ht="15.75" customHeight="1">
      <c r="A69" s="121">
        <v>12.0</v>
      </c>
      <c r="B69" s="121" t="s">
        <v>147</v>
      </c>
      <c r="C69" s="121">
        <v>12.0</v>
      </c>
      <c r="D69" s="122">
        <v>128.0</v>
      </c>
      <c r="E69" s="149">
        <v>0.0</v>
      </c>
      <c r="F69" s="121">
        <v>0.0</v>
      </c>
      <c r="G69" s="121">
        <v>0.0</v>
      </c>
      <c r="H69" s="121">
        <v>0.0</v>
      </c>
      <c r="I69" s="121">
        <v>0.0</v>
      </c>
      <c r="J69" s="121">
        <v>0.0</v>
      </c>
      <c r="K69" s="121">
        <v>0.0</v>
      </c>
      <c r="L69" s="121">
        <v>0.0</v>
      </c>
      <c r="M69" s="121">
        <v>1.0</v>
      </c>
      <c r="N69" s="121">
        <v>0.0</v>
      </c>
      <c r="O69" s="121">
        <v>0.0</v>
      </c>
      <c r="P69" s="121">
        <v>0.0</v>
      </c>
      <c r="Q69" s="121">
        <v>0.0</v>
      </c>
      <c r="R69" s="121">
        <v>0.0</v>
      </c>
      <c r="S69" s="121">
        <v>0.0</v>
      </c>
      <c r="T69" s="121">
        <v>0.0</v>
      </c>
      <c r="U69" s="121">
        <v>0.0</v>
      </c>
      <c r="V69" s="121">
        <v>0.0</v>
      </c>
      <c r="W69" s="121">
        <v>0.0</v>
      </c>
      <c r="X69" s="121">
        <v>0.0</v>
      </c>
    </row>
    <row r="70" ht="15.75" customHeight="1">
      <c r="A70" s="121">
        <v>12.0</v>
      </c>
      <c r="B70" s="121" t="s">
        <v>148</v>
      </c>
      <c r="C70" s="121">
        <v>12.0</v>
      </c>
      <c r="D70" s="122">
        <v>128.0</v>
      </c>
      <c r="E70" s="149">
        <v>0.0</v>
      </c>
      <c r="F70" s="121">
        <v>0.0</v>
      </c>
      <c r="G70" s="121">
        <v>0.0</v>
      </c>
      <c r="H70" s="121">
        <v>0.0</v>
      </c>
      <c r="I70" s="121">
        <v>0.0</v>
      </c>
      <c r="J70" s="121">
        <v>0.0</v>
      </c>
      <c r="K70" s="121">
        <v>0.0</v>
      </c>
      <c r="L70" s="121">
        <v>1.0</v>
      </c>
      <c r="M70" s="121">
        <v>0.0</v>
      </c>
      <c r="N70" s="121">
        <v>0.0</v>
      </c>
      <c r="O70" s="121">
        <v>0.0</v>
      </c>
      <c r="P70" s="121">
        <v>0.0</v>
      </c>
      <c r="Q70" s="121">
        <v>0.0</v>
      </c>
      <c r="R70" s="121">
        <v>0.0</v>
      </c>
      <c r="S70" s="121">
        <v>0.0</v>
      </c>
      <c r="T70" s="121">
        <v>0.0</v>
      </c>
      <c r="U70" s="121">
        <v>0.0</v>
      </c>
      <c r="V70" s="121">
        <v>0.0</v>
      </c>
      <c r="W70" s="121">
        <v>0.0</v>
      </c>
      <c r="X70" s="121">
        <v>0.0</v>
      </c>
    </row>
    <row r="71" ht="15.75" customHeight="1">
      <c r="A71" s="121">
        <v>12.0</v>
      </c>
      <c r="B71" s="121" t="s">
        <v>149</v>
      </c>
      <c r="C71" s="121">
        <v>12.0</v>
      </c>
      <c r="D71" s="122">
        <v>128.0</v>
      </c>
      <c r="E71" s="149">
        <v>0.0</v>
      </c>
      <c r="F71" s="121">
        <v>0.0</v>
      </c>
      <c r="G71" s="121">
        <v>0.0</v>
      </c>
      <c r="H71" s="121">
        <v>1.0</v>
      </c>
      <c r="I71" s="121">
        <v>0.0</v>
      </c>
      <c r="J71" s="121">
        <v>0.0</v>
      </c>
      <c r="K71" s="121">
        <v>0.0</v>
      </c>
      <c r="L71" s="121">
        <v>0.0</v>
      </c>
      <c r="M71" s="121">
        <v>0.0</v>
      </c>
      <c r="N71" s="121">
        <v>0.0</v>
      </c>
      <c r="O71" s="121">
        <v>0.0</v>
      </c>
      <c r="P71" s="121">
        <v>0.0</v>
      </c>
      <c r="Q71" s="121">
        <v>0.0</v>
      </c>
      <c r="R71" s="121">
        <v>0.0</v>
      </c>
      <c r="S71" s="121">
        <v>0.0</v>
      </c>
      <c r="T71" s="121">
        <v>0.0</v>
      </c>
      <c r="U71" s="121">
        <v>0.0</v>
      </c>
      <c r="V71" s="121">
        <v>0.0</v>
      </c>
      <c r="W71" s="121">
        <v>0.0</v>
      </c>
      <c r="X71" s="121">
        <v>0.0</v>
      </c>
    </row>
    <row r="72" ht="15.75" customHeight="1">
      <c r="A72" s="121">
        <v>12.0</v>
      </c>
      <c r="B72" s="121" t="s">
        <v>150</v>
      </c>
      <c r="C72" s="121">
        <v>12.0</v>
      </c>
      <c r="D72" s="122">
        <v>128.0</v>
      </c>
      <c r="E72" s="149">
        <v>0.0</v>
      </c>
      <c r="F72" s="121">
        <v>30.0</v>
      </c>
      <c r="G72" s="121">
        <v>0.0</v>
      </c>
      <c r="H72" s="121">
        <v>0.0</v>
      </c>
      <c r="I72" s="121">
        <v>0.0</v>
      </c>
      <c r="J72" s="121">
        <v>0.0</v>
      </c>
      <c r="K72" s="121">
        <v>0.0</v>
      </c>
      <c r="L72" s="121">
        <v>0.0</v>
      </c>
      <c r="M72" s="121">
        <v>0.0</v>
      </c>
      <c r="N72" s="121">
        <v>0.0</v>
      </c>
      <c r="O72" s="121">
        <v>0.0</v>
      </c>
      <c r="P72" s="121">
        <v>0.0</v>
      </c>
      <c r="Q72" s="121">
        <v>0.0</v>
      </c>
      <c r="R72" s="121">
        <v>0.0</v>
      </c>
      <c r="S72" s="121">
        <v>0.0</v>
      </c>
      <c r="T72" s="121">
        <v>0.0</v>
      </c>
      <c r="U72" s="121">
        <v>0.0</v>
      </c>
      <c r="V72" s="121">
        <v>0.0</v>
      </c>
      <c r="W72" s="121">
        <v>0.0</v>
      </c>
      <c r="X72" s="121">
        <v>0.0</v>
      </c>
    </row>
    <row r="73" ht="15.75" customHeight="1">
      <c r="A73" s="121">
        <v>12.0</v>
      </c>
      <c r="B73" s="121" t="s">
        <v>151</v>
      </c>
      <c r="C73" s="121">
        <v>12.0</v>
      </c>
      <c r="D73" s="122">
        <v>128.0</v>
      </c>
      <c r="E73" s="149">
        <v>0.0</v>
      </c>
      <c r="F73" s="121">
        <v>0.0</v>
      </c>
      <c r="G73" s="121">
        <v>15.0</v>
      </c>
      <c r="H73" s="121">
        <v>0.0</v>
      </c>
      <c r="I73" s="121">
        <v>0.0</v>
      </c>
      <c r="J73" s="121">
        <v>0.0</v>
      </c>
      <c r="K73" s="121">
        <v>0.0</v>
      </c>
      <c r="L73" s="121">
        <v>0.0</v>
      </c>
      <c r="M73" s="121">
        <v>0.0</v>
      </c>
      <c r="N73" s="121">
        <v>0.0</v>
      </c>
      <c r="O73" s="121">
        <v>0.0</v>
      </c>
      <c r="P73" s="121">
        <v>0.0</v>
      </c>
      <c r="Q73" s="121">
        <v>0.0</v>
      </c>
      <c r="R73" s="121">
        <v>0.0</v>
      </c>
      <c r="S73" s="121">
        <v>0.0</v>
      </c>
      <c r="T73" s="121">
        <v>0.0</v>
      </c>
      <c r="U73" s="121">
        <v>0.0</v>
      </c>
      <c r="V73" s="121">
        <v>0.0</v>
      </c>
      <c r="W73" s="121">
        <v>0.0</v>
      </c>
      <c r="X73" s="121">
        <v>0.0</v>
      </c>
    </row>
    <row r="74" ht="15.75" customHeight="1">
      <c r="A74" s="121">
        <v>13.0</v>
      </c>
      <c r="B74" s="121" t="s">
        <v>147</v>
      </c>
      <c r="C74" s="121">
        <v>15.0</v>
      </c>
      <c r="D74" s="122">
        <v>143.0</v>
      </c>
      <c r="E74" s="149">
        <v>65.0</v>
      </c>
      <c r="F74" s="121">
        <v>0.0</v>
      </c>
      <c r="G74" s="121">
        <v>0.0</v>
      </c>
      <c r="H74" s="121">
        <v>0.0</v>
      </c>
      <c r="I74" s="121">
        <v>0.0</v>
      </c>
      <c r="J74" s="121">
        <v>0.0</v>
      </c>
      <c r="K74" s="121">
        <v>0.0</v>
      </c>
      <c r="L74" s="121">
        <v>0.0</v>
      </c>
      <c r="M74" s="121">
        <v>0.0</v>
      </c>
      <c r="N74" s="121">
        <v>0.0</v>
      </c>
      <c r="O74" s="121">
        <v>0.0</v>
      </c>
      <c r="P74" s="121">
        <v>0.0</v>
      </c>
      <c r="Q74" s="121">
        <v>0.0</v>
      </c>
      <c r="R74" s="121">
        <v>0.0</v>
      </c>
      <c r="S74" s="121">
        <v>0.0</v>
      </c>
      <c r="T74" s="121">
        <v>0.0</v>
      </c>
      <c r="U74" s="121">
        <v>0.0</v>
      </c>
      <c r="V74" s="121">
        <v>0.0</v>
      </c>
      <c r="W74" s="121">
        <v>0.0</v>
      </c>
      <c r="X74" s="121">
        <v>0.0</v>
      </c>
    </row>
    <row r="75" ht="15.75" customHeight="1">
      <c r="A75" s="121">
        <v>13.0</v>
      </c>
      <c r="B75" s="121" t="s">
        <v>148</v>
      </c>
      <c r="C75" s="121">
        <v>15.0</v>
      </c>
      <c r="D75" s="122">
        <v>143.0</v>
      </c>
      <c r="E75" s="149">
        <v>0.0</v>
      </c>
      <c r="F75" s="121">
        <v>0.0</v>
      </c>
      <c r="G75" s="121">
        <v>0.0</v>
      </c>
      <c r="H75" s="121">
        <v>0.0</v>
      </c>
      <c r="I75" s="121">
        <v>0.0</v>
      </c>
      <c r="J75" s="121">
        <v>1.0</v>
      </c>
      <c r="K75" s="121">
        <v>0.0</v>
      </c>
      <c r="L75" s="121">
        <v>0.0</v>
      </c>
      <c r="M75" s="121">
        <v>0.0</v>
      </c>
      <c r="N75" s="121">
        <v>0.0</v>
      </c>
      <c r="O75" s="121">
        <v>0.0</v>
      </c>
      <c r="P75" s="121">
        <v>0.0</v>
      </c>
      <c r="Q75" s="121">
        <v>0.0</v>
      </c>
      <c r="R75" s="121">
        <v>0.0</v>
      </c>
      <c r="S75" s="121">
        <v>0.0</v>
      </c>
      <c r="T75" s="121">
        <v>0.0</v>
      </c>
      <c r="U75" s="121">
        <v>0.0</v>
      </c>
      <c r="V75" s="121">
        <v>0.0</v>
      </c>
      <c r="W75" s="121">
        <v>0.0</v>
      </c>
      <c r="X75" s="121">
        <v>0.0</v>
      </c>
    </row>
    <row r="76" ht="15.75" customHeight="1">
      <c r="A76" s="121">
        <v>13.0</v>
      </c>
      <c r="B76" s="121" t="s">
        <v>149</v>
      </c>
      <c r="C76" s="121">
        <v>15.0</v>
      </c>
      <c r="D76" s="122">
        <v>143.0</v>
      </c>
      <c r="E76" s="149">
        <v>0.0</v>
      </c>
      <c r="F76" s="121">
        <v>0.0</v>
      </c>
      <c r="G76" s="121">
        <v>0.0</v>
      </c>
      <c r="H76" s="121">
        <v>0.0</v>
      </c>
      <c r="I76" s="121">
        <v>0.0</v>
      </c>
      <c r="J76" s="121">
        <v>0.0</v>
      </c>
      <c r="K76" s="121">
        <v>0.0</v>
      </c>
      <c r="L76" s="121">
        <v>0.0</v>
      </c>
      <c r="M76" s="121">
        <v>0.0</v>
      </c>
      <c r="N76" s="121">
        <v>0.0</v>
      </c>
      <c r="O76" s="121">
        <v>0.0</v>
      </c>
      <c r="P76" s="121">
        <v>15.0</v>
      </c>
      <c r="Q76" s="121">
        <v>0.0</v>
      </c>
      <c r="R76" s="121">
        <v>0.0</v>
      </c>
      <c r="S76" s="121">
        <v>0.0</v>
      </c>
      <c r="T76" s="121">
        <v>0.0</v>
      </c>
      <c r="U76" s="121">
        <v>0.0</v>
      </c>
      <c r="V76" s="121">
        <v>0.0</v>
      </c>
      <c r="W76" s="121">
        <v>0.0</v>
      </c>
      <c r="X76" s="121">
        <v>0.0</v>
      </c>
    </row>
    <row r="77" ht="15.75" customHeight="1">
      <c r="A77" s="121">
        <v>13.0</v>
      </c>
      <c r="B77" s="121" t="s">
        <v>150</v>
      </c>
      <c r="C77" s="121">
        <v>15.0</v>
      </c>
      <c r="D77" s="122">
        <v>143.0</v>
      </c>
      <c r="E77" s="149">
        <v>0.0</v>
      </c>
      <c r="F77" s="121">
        <v>0.0</v>
      </c>
      <c r="G77" s="121">
        <v>0.0</v>
      </c>
      <c r="H77" s="121">
        <v>0.0</v>
      </c>
      <c r="I77" s="121">
        <v>0.0</v>
      </c>
      <c r="J77" s="121">
        <v>0.0</v>
      </c>
      <c r="K77" s="121">
        <v>1.0</v>
      </c>
      <c r="L77" s="121">
        <v>0.0</v>
      </c>
      <c r="M77" s="121">
        <v>0.0</v>
      </c>
      <c r="N77" s="121">
        <v>0.0</v>
      </c>
      <c r="O77" s="121">
        <v>0.0</v>
      </c>
      <c r="P77" s="121">
        <v>0.0</v>
      </c>
      <c r="Q77" s="121">
        <v>0.0</v>
      </c>
      <c r="R77" s="121">
        <v>0.0</v>
      </c>
      <c r="S77" s="121">
        <v>0.0</v>
      </c>
      <c r="T77" s="121">
        <v>0.0</v>
      </c>
      <c r="U77" s="121">
        <v>0.0</v>
      </c>
      <c r="V77" s="121">
        <v>0.0</v>
      </c>
      <c r="W77" s="121">
        <v>0.0</v>
      </c>
      <c r="X77" s="121">
        <v>0.0</v>
      </c>
    </row>
    <row r="78" ht="15.75" customHeight="1">
      <c r="A78" s="121">
        <v>13.0</v>
      </c>
      <c r="B78" s="121" t="s">
        <v>151</v>
      </c>
      <c r="C78" s="121">
        <v>15.0</v>
      </c>
      <c r="D78" s="122">
        <v>143.0</v>
      </c>
      <c r="E78" s="149">
        <v>0.0</v>
      </c>
      <c r="F78" s="121">
        <v>0.0</v>
      </c>
      <c r="G78" s="121">
        <v>0.0</v>
      </c>
      <c r="H78" s="121">
        <v>0.0</v>
      </c>
      <c r="I78" s="121">
        <v>0.0</v>
      </c>
      <c r="J78" s="121">
        <v>0.0</v>
      </c>
      <c r="K78" s="121">
        <v>0.0</v>
      </c>
      <c r="L78" s="121">
        <v>0.0</v>
      </c>
      <c r="M78" s="121">
        <v>0.0</v>
      </c>
      <c r="N78" s="121">
        <v>0.0</v>
      </c>
      <c r="O78" s="121">
        <v>15.0</v>
      </c>
      <c r="P78" s="121">
        <v>0.0</v>
      </c>
      <c r="Q78" s="121">
        <v>0.0</v>
      </c>
      <c r="R78" s="121">
        <v>0.0</v>
      </c>
      <c r="S78" s="121">
        <v>0.0</v>
      </c>
      <c r="T78" s="121">
        <v>0.0</v>
      </c>
      <c r="U78" s="121">
        <v>0.0</v>
      </c>
      <c r="V78" s="121">
        <v>0.0</v>
      </c>
      <c r="W78" s="121">
        <v>0.0</v>
      </c>
      <c r="X78" s="121">
        <v>0.0</v>
      </c>
    </row>
    <row r="79" ht="15.75" customHeight="1">
      <c r="A79" s="121">
        <v>14.0</v>
      </c>
      <c r="B79" s="121" t="s">
        <v>147</v>
      </c>
      <c r="C79" s="121">
        <v>17.0</v>
      </c>
      <c r="D79" s="122">
        <v>160.0</v>
      </c>
      <c r="E79" s="149">
        <v>0.0</v>
      </c>
      <c r="F79" s="121">
        <v>0.0</v>
      </c>
      <c r="G79" s="121">
        <v>0.0</v>
      </c>
      <c r="H79" s="121">
        <v>0.0</v>
      </c>
      <c r="I79" s="121">
        <v>0.0</v>
      </c>
      <c r="J79" s="121">
        <v>0.0</v>
      </c>
      <c r="K79" s="121">
        <v>0.0</v>
      </c>
      <c r="L79" s="121">
        <v>0.0</v>
      </c>
      <c r="M79" s="121">
        <v>0.0</v>
      </c>
      <c r="N79" s="121">
        <v>20.0</v>
      </c>
      <c r="O79" s="121">
        <v>0.0</v>
      </c>
      <c r="P79" s="121">
        <v>0.0</v>
      </c>
      <c r="Q79" s="121">
        <v>0.0</v>
      </c>
      <c r="R79" s="121">
        <v>0.0</v>
      </c>
      <c r="S79" s="121">
        <v>0.0</v>
      </c>
      <c r="T79" s="121">
        <v>0.0</v>
      </c>
      <c r="U79" s="121">
        <v>0.0</v>
      </c>
      <c r="V79" s="121">
        <v>0.0</v>
      </c>
      <c r="W79" s="121">
        <v>0.0</v>
      </c>
      <c r="X79" s="121">
        <v>0.0</v>
      </c>
    </row>
    <row r="80" ht="15.75" customHeight="1">
      <c r="A80" s="121">
        <v>14.0</v>
      </c>
      <c r="B80" s="121" t="s">
        <v>148</v>
      </c>
      <c r="C80" s="121">
        <v>17.0</v>
      </c>
      <c r="D80" s="122">
        <v>160.0</v>
      </c>
      <c r="E80" s="149">
        <v>0.0</v>
      </c>
      <c r="F80" s="121">
        <v>0.0</v>
      </c>
      <c r="G80" s="121">
        <v>0.0</v>
      </c>
      <c r="H80" s="121">
        <v>0.0</v>
      </c>
      <c r="I80" s="121">
        <v>0.0</v>
      </c>
      <c r="J80" s="121">
        <v>0.0</v>
      </c>
      <c r="K80" s="121">
        <v>0.0</v>
      </c>
      <c r="L80" s="121">
        <v>0.0</v>
      </c>
      <c r="M80" s="121">
        <v>1.0</v>
      </c>
      <c r="N80" s="121">
        <v>0.0</v>
      </c>
      <c r="O80" s="121">
        <v>0.0</v>
      </c>
      <c r="P80" s="121">
        <v>0.0</v>
      </c>
      <c r="Q80" s="121">
        <v>0.0</v>
      </c>
      <c r="R80" s="121">
        <v>0.0</v>
      </c>
      <c r="S80" s="121">
        <v>0.0</v>
      </c>
      <c r="T80" s="121">
        <v>0.0</v>
      </c>
      <c r="U80" s="121">
        <v>0.0</v>
      </c>
      <c r="V80" s="121">
        <v>0.0</v>
      </c>
      <c r="W80" s="121">
        <v>0.0</v>
      </c>
      <c r="X80" s="121">
        <v>0.0</v>
      </c>
    </row>
    <row r="81" ht="15.75" customHeight="1">
      <c r="A81" s="121">
        <v>14.0</v>
      </c>
      <c r="B81" s="121" t="s">
        <v>149</v>
      </c>
      <c r="C81" s="121">
        <v>17.0</v>
      </c>
      <c r="D81" s="122">
        <v>160.0</v>
      </c>
      <c r="E81" s="149">
        <v>0.0</v>
      </c>
      <c r="F81" s="121">
        <v>0.0</v>
      </c>
      <c r="G81" s="121">
        <v>0.0</v>
      </c>
      <c r="H81" s="121">
        <v>0.0</v>
      </c>
      <c r="I81" s="121">
        <v>0.0</v>
      </c>
      <c r="J81" s="121">
        <v>0.0</v>
      </c>
      <c r="K81" s="121">
        <v>0.0</v>
      </c>
      <c r="L81" s="121">
        <v>1.0</v>
      </c>
      <c r="M81" s="121">
        <v>0.0</v>
      </c>
      <c r="N81" s="121">
        <v>0.0</v>
      </c>
      <c r="O81" s="121">
        <v>0.0</v>
      </c>
      <c r="P81" s="121">
        <v>0.0</v>
      </c>
      <c r="Q81" s="121">
        <v>0.0</v>
      </c>
      <c r="R81" s="121">
        <v>0.0</v>
      </c>
      <c r="S81" s="121">
        <v>0.0</v>
      </c>
      <c r="T81" s="121">
        <v>0.0</v>
      </c>
      <c r="U81" s="121">
        <v>0.0</v>
      </c>
      <c r="V81" s="121">
        <v>0.0</v>
      </c>
      <c r="W81" s="121">
        <v>0.0</v>
      </c>
      <c r="X81" s="121">
        <v>0.0</v>
      </c>
    </row>
    <row r="82" ht="15.75" customHeight="1">
      <c r="A82" s="121">
        <v>14.0</v>
      </c>
      <c r="B82" s="121" t="s">
        <v>150</v>
      </c>
      <c r="C82" s="121">
        <v>17.0</v>
      </c>
      <c r="D82" s="122">
        <v>160.0</v>
      </c>
      <c r="E82" s="149">
        <v>0.0</v>
      </c>
      <c r="F82" s="121">
        <v>0.0</v>
      </c>
      <c r="G82" s="121">
        <v>0.0</v>
      </c>
      <c r="H82" s="121">
        <v>0.0</v>
      </c>
      <c r="I82" s="121">
        <v>0.0</v>
      </c>
      <c r="J82" s="121">
        <v>0.0</v>
      </c>
      <c r="K82" s="121">
        <v>1.0</v>
      </c>
      <c r="L82" s="121">
        <v>0.0</v>
      </c>
      <c r="M82" s="121">
        <v>0.0</v>
      </c>
      <c r="N82" s="121">
        <v>0.0</v>
      </c>
      <c r="O82" s="121">
        <v>0.0</v>
      </c>
      <c r="P82" s="121">
        <v>0.0</v>
      </c>
      <c r="Q82" s="121">
        <v>0.0</v>
      </c>
      <c r="R82" s="121">
        <v>0.0</v>
      </c>
      <c r="S82" s="121">
        <v>0.0</v>
      </c>
      <c r="T82" s="121">
        <v>0.0</v>
      </c>
      <c r="U82" s="121">
        <v>0.0</v>
      </c>
      <c r="V82" s="121">
        <v>0.0</v>
      </c>
      <c r="W82" s="121">
        <v>0.0</v>
      </c>
      <c r="X82" s="121">
        <v>0.0</v>
      </c>
    </row>
    <row r="83" ht="15.75" customHeight="1">
      <c r="A83" s="121">
        <v>14.0</v>
      </c>
      <c r="B83" s="121" t="s">
        <v>151</v>
      </c>
      <c r="C83" s="121">
        <v>17.0</v>
      </c>
      <c r="D83" s="122">
        <v>160.0</v>
      </c>
      <c r="E83" s="149">
        <v>0.0</v>
      </c>
      <c r="F83" s="121">
        <v>30.0</v>
      </c>
      <c r="G83" s="121">
        <v>0.0</v>
      </c>
      <c r="H83" s="121">
        <v>0.0</v>
      </c>
      <c r="I83" s="121">
        <v>0.0</v>
      </c>
      <c r="J83" s="121">
        <v>0.0</v>
      </c>
      <c r="K83" s="121">
        <v>0.0</v>
      </c>
      <c r="L83" s="121">
        <v>0.0</v>
      </c>
      <c r="M83" s="121">
        <v>0.0</v>
      </c>
      <c r="N83" s="121">
        <v>0.0</v>
      </c>
      <c r="O83" s="121">
        <v>0.0</v>
      </c>
      <c r="P83" s="121">
        <v>0.0</v>
      </c>
      <c r="Q83" s="121">
        <v>0.0</v>
      </c>
      <c r="R83" s="121">
        <v>0.0</v>
      </c>
      <c r="S83" s="121">
        <v>0.0</v>
      </c>
      <c r="T83" s="121">
        <v>0.0</v>
      </c>
      <c r="U83" s="121">
        <v>0.0</v>
      </c>
      <c r="V83" s="121">
        <v>0.0</v>
      </c>
      <c r="W83" s="121">
        <v>0.0</v>
      </c>
      <c r="X83" s="121">
        <v>0.0</v>
      </c>
    </row>
    <row r="84" ht="15.75" customHeight="1">
      <c r="A84" s="121">
        <v>15.0</v>
      </c>
      <c r="B84" s="121" t="s">
        <v>147</v>
      </c>
      <c r="C84" s="121">
        <v>25.0</v>
      </c>
      <c r="D84" s="122">
        <v>185.0</v>
      </c>
      <c r="E84" s="149">
        <v>150.0</v>
      </c>
      <c r="F84" s="121">
        <v>0.0</v>
      </c>
      <c r="G84" s="121">
        <v>0.0</v>
      </c>
      <c r="H84" s="121">
        <v>0.0</v>
      </c>
      <c r="I84" s="121">
        <v>0.0</v>
      </c>
      <c r="J84" s="121">
        <v>0.0</v>
      </c>
      <c r="K84" s="121">
        <v>1.0</v>
      </c>
      <c r="L84" s="121">
        <v>0.0</v>
      </c>
      <c r="M84" s="121">
        <v>0.0</v>
      </c>
      <c r="N84" s="121">
        <v>0.0</v>
      </c>
      <c r="O84" s="121">
        <v>30.0</v>
      </c>
      <c r="P84" s="121">
        <v>0.0</v>
      </c>
      <c r="Q84" s="121">
        <v>0.0</v>
      </c>
      <c r="R84" s="121">
        <v>0.0</v>
      </c>
      <c r="S84" s="121">
        <v>0.0</v>
      </c>
      <c r="T84" s="121">
        <v>0.0</v>
      </c>
      <c r="U84" s="121">
        <v>0.0</v>
      </c>
      <c r="V84" s="121">
        <v>0.0</v>
      </c>
      <c r="W84" s="121">
        <v>0.0</v>
      </c>
      <c r="X84" s="121">
        <v>0.0</v>
      </c>
    </row>
    <row r="85" ht="15.75" customHeight="1">
      <c r="A85" s="121">
        <v>15.0</v>
      </c>
      <c r="B85" s="121" t="s">
        <v>148</v>
      </c>
      <c r="C85" s="121">
        <v>25.0</v>
      </c>
      <c r="D85" s="122">
        <v>185.0</v>
      </c>
      <c r="E85" s="149">
        <v>0.0</v>
      </c>
      <c r="F85" s="121">
        <v>50.0</v>
      </c>
      <c r="G85" s="121">
        <v>0.0</v>
      </c>
      <c r="H85" s="121">
        <v>0.0</v>
      </c>
      <c r="I85" s="121">
        <v>0.0</v>
      </c>
      <c r="J85" s="121">
        <v>0.0</v>
      </c>
      <c r="K85" s="121">
        <v>0.0</v>
      </c>
      <c r="L85" s="121">
        <v>0.0</v>
      </c>
      <c r="M85" s="121">
        <v>0.0</v>
      </c>
      <c r="N85" s="121">
        <v>60.0</v>
      </c>
      <c r="O85" s="121">
        <v>0.0</v>
      </c>
      <c r="P85" s="121">
        <v>0.0</v>
      </c>
      <c r="Q85" s="121">
        <v>0.0</v>
      </c>
      <c r="R85" s="121">
        <v>0.0</v>
      </c>
      <c r="S85" s="121">
        <v>0.0</v>
      </c>
      <c r="T85" s="121">
        <v>0.0</v>
      </c>
      <c r="U85" s="121">
        <v>0.0</v>
      </c>
      <c r="V85" s="121">
        <v>0.0</v>
      </c>
      <c r="W85" s="121">
        <v>0.0</v>
      </c>
      <c r="X85" s="121">
        <v>0.0</v>
      </c>
    </row>
    <row r="86" ht="15.75" customHeight="1">
      <c r="A86" s="121">
        <v>15.0</v>
      </c>
      <c r="B86" s="121" t="s">
        <v>149</v>
      </c>
      <c r="C86" s="121">
        <v>25.0</v>
      </c>
      <c r="D86" s="122">
        <v>185.0</v>
      </c>
      <c r="E86" s="149">
        <v>0.0</v>
      </c>
      <c r="F86" s="121">
        <v>0.0</v>
      </c>
      <c r="G86" s="121">
        <v>0.0</v>
      </c>
      <c r="H86" s="121">
        <v>0.0</v>
      </c>
      <c r="I86" s="121">
        <v>0.0</v>
      </c>
      <c r="J86" s="121">
        <v>0.0</v>
      </c>
      <c r="K86" s="121">
        <v>0.0</v>
      </c>
      <c r="L86" s="121">
        <v>0.0</v>
      </c>
      <c r="M86" s="121">
        <v>0.0</v>
      </c>
      <c r="N86" s="121">
        <v>0.0</v>
      </c>
      <c r="O86" s="121">
        <v>0.0</v>
      </c>
      <c r="P86" s="121">
        <v>30.0</v>
      </c>
      <c r="Q86" s="121">
        <v>0.0</v>
      </c>
      <c r="R86" s="121">
        <v>0.0</v>
      </c>
      <c r="S86" s="121">
        <v>0.0</v>
      </c>
      <c r="T86" s="121">
        <v>0.0</v>
      </c>
      <c r="U86" s="121">
        <v>0.0</v>
      </c>
      <c r="V86" s="121">
        <v>0.0</v>
      </c>
      <c r="W86" s="121">
        <v>0.0</v>
      </c>
      <c r="X86" s="121">
        <v>0.0</v>
      </c>
    </row>
    <row r="87" ht="15.75" customHeight="1">
      <c r="A87" s="121">
        <v>15.0</v>
      </c>
      <c r="B87" s="121" t="s">
        <v>150</v>
      </c>
      <c r="C87" s="121">
        <v>25.0</v>
      </c>
      <c r="D87" s="122">
        <v>185.0</v>
      </c>
      <c r="E87" s="149">
        <v>0.0</v>
      </c>
      <c r="F87" s="121">
        <v>0.0</v>
      </c>
      <c r="G87" s="121">
        <v>0.0</v>
      </c>
      <c r="H87" s="121">
        <v>0.0</v>
      </c>
      <c r="I87" s="121">
        <v>0.0</v>
      </c>
      <c r="J87" s="121">
        <v>0.0</v>
      </c>
      <c r="K87" s="121">
        <v>0.0</v>
      </c>
      <c r="L87" s="121">
        <v>1.0</v>
      </c>
      <c r="M87" s="121">
        <v>0.0</v>
      </c>
      <c r="N87" s="121">
        <v>0.0</v>
      </c>
      <c r="O87" s="121">
        <v>0.0</v>
      </c>
      <c r="P87" s="121">
        <v>0.0</v>
      </c>
      <c r="Q87" s="121">
        <v>0.0</v>
      </c>
      <c r="R87" s="121">
        <v>0.0</v>
      </c>
      <c r="S87" s="121">
        <v>0.0</v>
      </c>
      <c r="T87" s="121">
        <v>0.0</v>
      </c>
      <c r="U87" s="121">
        <v>0.0</v>
      </c>
      <c r="V87" s="121">
        <v>0.0</v>
      </c>
      <c r="W87" s="121">
        <v>0.0</v>
      </c>
      <c r="X87" s="121">
        <v>0.0</v>
      </c>
    </row>
    <row r="88" ht="15.75" customHeight="1">
      <c r="A88" s="121">
        <v>15.0</v>
      </c>
      <c r="B88" s="121" t="s">
        <v>151</v>
      </c>
      <c r="C88" s="121">
        <v>25.0</v>
      </c>
      <c r="D88" s="122">
        <v>185.0</v>
      </c>
      <c r="E88" s="149">
        <v>0.0</v>
      </c>
      <c r="F88" s="121">
        <v>0.0</v>
      </c>
      <c r="G88" s="121">
        <v>30.0</v>
      </c>
      <c r="H88" s="121">
        <v>0.0</v>
      </c>
      <c r="I88" s="121">
        <v>0.0</v>
      </c>
      <c r="J88" s="121">
        <v>0.0</v>
      </c>
      <c r="K88" s="121">
        <v>0.0</v>
      </c>
      <c r="L88" s="121">
        <v>0.0</v>
      </c>
      <c r="M88" s="121">
        <v>0.0</v>
      </c>
      <c r="N88" s="121">
        <v>0.0</v>
      </c>
      <c r="O88" s="121">
        <v>0.0</v>
      </c>
      <c r="P88" s="121">
        <v>0.0</v>
      </c>
      <c r="Q88" s="121">
        <v>0.0</v>
      </c>
      <c r="R88" s="121">
        <v>0.0</v>
      </c>
      <c r="S88" s="121">
        <v>0.0</v>
      </c>
      <c r="T88" s="121">
        <v>0.0</v>
      </c>
      <c r="U88" s="121">
        <v>0.0</v>
      </c>
      <c r="V88" s="121">
        <v>0.0</v>
      </c>
      <c r="W88" s="121">
        <v>0.0</v>
      </c>
      <c r="X88" s="121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5" priority="1" operator="greaterThan">
      <formula>0</formula>
    </cfRule>
  </conditionalFormatting>
  <conditionalFormatting sqref="A14:X88">
    <cfRule type="expression" dxfId="6" priority="2">
      <formula>ISEVEN(INT((ROW()-ROW($A$14))/$B$4)+1)</formula>
    </cfRule>
  </conditionalFormatting>
  <conditionalFormatting sqref="A1:D1000">
    <cfRule type="expression" dxfId="7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6" width="8.63"/>
  </cols>
  <sheetData>
    <row r="1" ht="21.75" customHeight="1">
      <c r="A1" s="79" t="s">
        <v>34</v>
      </c>
    </row>
    <row r="2" ht="19.5" customHeight="1">
      <c r="A2" s="112" t="s">
        <v>114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</row>
    <row r="3">
      <c r="A3" s="145" t="s">
        <v>152</v>
      </c>
      <c r="B3" s="146">
        <v>4.0</v>
      </c>
    </row>
    <row r="4">
      <c r="A4" s="145" t="s">
        <v>153</v>
      </c>
      <c r="B4" s="146">
        <v>1.0</v>
      </c>
    </row>
    <row r="5">
      <c r="A5" s="145" t="s">
        <v>154</v>
      </c>
      <c r="B5" s="146">
        <v>15.0</v>
      </c>
    </row>
    <row r="6">
      <c r="A6" s="145" t="s">
        <v>155</v>
      </c>
      <c r="B6" s="146">
        <v>2.0</v>
      </c>
    </row>
    <row r="7">
      <c r="A7" s="145" t="s">
        <v>156</v>
      </c>
      <c r="B7" s="146" t="b">
        <f>TRUE()</f>
        <v>1</v>
      </c>
    </row>
    <row r="9" ht="19.5" customHeight="1">
      <c r="A9" s="112" t="s">
        <v>116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</row>
    <row r="10" ht="90.0" customHeight="1">
      <c r="A10" s="116" t="s">
        <v>157</v>
      </c>
      <c r="B10" s="117" t="s">
        <v>158</v>
      </c>
      <c r="C10" s="118" t="s">
        <v>82</v>
      </c>
      <c r="D10" s="119" t="s">
        <v>68</v>
      </c>
      <c r="E10" s="119" t="s">
        <v>103</v>
      </c>
      <c r="F10" s="119" t="s">
        <v>69</v>
      </c>
      <c r="G10" s="119" t="s">
        <v>70</v>
      </c>
      <c r="H10" s="119" t="s">
        <v>71</v>
      </c>
      <c r="I10" s="119" t="s">
        <v>72</v>
      </c>
      <c r="J10" s="119" t="s">
        <v>73</v>
      </c>
      <c r="K10" s="119" t="s">
        <v>74</v>
      </c>
      <c r="L10" s="119" t="s">
        <v>75</v>
      </c>
      <c r="M10" s="119" t="s">
        <v>76</v>
      </c>
      <c r="N10" s="119" t="s">
        <v>77</v>
      </c>
      <c r="O10" s="119" t="s">
        <v>78</v>
      </c>
      <c r="P10" s="119" t="s">
        <v>118</v>
      </c>
      <c r="Q10" s="119" t="s">
        <v>104</v>
      </c>
      <c r="R10" s="119" t="s">
        <v>105</v>
      </c>
      <c r="S10" s="119" t="s">
        <v>106</v>
      </c>
      <c r="T10" s="119" t="s">
        <v>107</v>
      </c>
      <c r="U10" s="119" t="s">
        <v>108</v>
      </c>
      <c r="V10" s="119" t="s">
        <v>109</v>
      </c>
      <c r="W10" s="119" t="s">
        <v>110</v>
      </c>
    </row>
    <row r="11">
      <c r="A11" s="121">
        <v>1.0</v>
      </c>
      <c r="B11" s="122">
        <v>30.0</v>
      </c>
      <c r="C11" s="149">
        <v>0.0</v>
      </c>
      <c r="D11" s="121">
        <v>0.0</v>
      </c>
      <c r="E11" s="121">
        <v>0.0</v>
      </c>
      <c r="F11" s="121">
        <v>0.0</v>
      </c>
      <c r="G11" s="121">
        <v>1.0</v>
      </c>
      <c r="H11" s="121">
        <v>0.0</v>
      </c>
      <c r="I11" s="121">
        <v>0.0</v>
      </c>
      <c r="J11" s="121">
        <v>0.0</v>
      </c>
      <c r="K11" s="121">
        <v>0.0</v>
      </c>
      <c r="L11" s="121">
        <v>0.0</v>
      </c>
      <c r="M11" s="121">
        <v>0.0</v>
      </c>
      <c r="N11" s="121">
        <v>0.0</v>
      </c>
      <c r="O11" s="121">
        <v>0.0</v>
      </c>
      <c r="P11" s="121">
        <v>0.0</v>
      </c>
      <c r="Q11" s="121">
        <v>0.0</v>
      </c>
      <c r="R11" s="121">
        <v>0.0</v>
      </c>
      <c r="S11" s="121">
        <v>0.0</v>
      </c>
      <c r="T11" s="121">
        <v>0.0</v>
      </c>
      <c r="U11" s="121">
        <v>0.0</v>
      </c>
      <c r="V11" s="121">
        <v>0.0</v>
      </c>
      <c r="W11" s="121">
        <v>0.0</v>
      </c>
    </row>
    <row r="12">
      <c r="A12" s="121">
        <v>2.0</v>
      </c>
      <c r="B12" s="122">
        <v>80.0</v>
      </c>
      <c r="C12" s="149">
        <v>0.0</v>
      </c>
      <c r="D12" s="121">
        <v>0.0</v>
      </c>
      <c r="E12" s="121">
        <v>0.0</v>
      </c>
      <c r="F12" s="121">
        <v>0.0</v>
      </c>
      <c r="G12" s="121">
        <v>0.0</v>
      </c>
      <c r="H12" s="121">
        <v>0.0</v>
      </c>
      <c r="I12" s="121">
        <v>0.0</v>
      </c>
      <c r="J12" s="121">
        <v>0.0</v>
      </c>
      <c r="K12" s="121">
        <v>0.0</v>
      </c>
      <c r="L12" s="121">
        <v>0.0</v>
      </c>
      <c r="M12" s="121">
        <v>10.0</v>
      </c>
      <c r="N12" s="121">
        <v>0.0</v>
      </c>
      <c r="O12" s="121">
        <v>0.0</v>
      </c>
      <c r="P12" s="121">
        <v>0.0</v>
      </c>
      <c r="Q12" s="121">
        <v>0.0</v>
      </c>
      <c r="R12" s="121">
        <v>0.0</v>
      </c>
      <c r="S12" s="121">
        <v>0.0</v>
      </c>
      <c r="T12" s="121">
        <v>0.0</v>
      </c>
      <c r="U12" s="121">
        <v>0.0</v>
      </c>
      <c r="V12" s="121">
        <v>0.0</v>
      </c>
      <c r="W12" s="121">
        <v>0.0</v>
      </c>
    </row>
    <row r="13">
      <c r="A13" s="121">
        <v>3.0</v>
      </c>
      <c r="B13" s="122">
        <v>150.0</v>
      </c>
      <c r="C13" s="149">
        <v>0.0</v>
      </c>
      <c r="D13" s="121">
        <v>0.0</v>
      </c>
      <c r="E13" s="121">
        <v>0.0</v>
      </c>
      <c r="F13" s="121">
        <v>0.0</v>
      </c>
      <c r="G13" s="121">
        <v>0.0</v>
      </c>
      <c r="H13" s="121">
        <v>0.0</v>
      </c>
      <c r="I13" s="121">
        <v>0.0</v>
      </c>
      <c r="J13" s="121">
        <v>0.0</v>
      </c>
      <c r="K13" s="121">
        <v>0.0</v>
      </c>
      <c r="L13" s="121">
        <v>0.0</v>
      </c>
      <c r="M13" s="121">
        <v>0.0</v>
      </c>
      <c r="N13" s="121">
        <v>10.0</v>
      </c>
      <c r="O13" s="121">
        <v>0.0</v>
      </c>
      <c r="P13" s="121">
        <v>0.0</v>
      </c>
      <c r="Q13" s="121">
        <v>0.0</v>
      </c>
      <c r="R13" s="121">
        <v>0.0</v>
      </c>
      <c r="S13" s="121">
        <v>0.0</v>
      </c>
      <c r="T13" s="121">
        <v>0.0</v>
      </c>
      <c r="U13" s="121">
        <v>0.0</v>
      </c>
      <c r="V13" s="121">
        <v>0.0</v>
      </c>
      <c r="W13" s="121">
        <v>0.0</v>
      </c>
    </row>
    <row r="14">
      <c r="A14" s="121">
        <v>4.0</v>
      </c>
      <c r="B14" s="122">
        <v>250.0</v>
      </c>
      <c r="C14" s="149">
        <v>0.0</v>
      </c>
      <c r="D14" s="121">
        <v>0.0</v>
      </c>
      <c r="E14" s="121">
        <v>0.0</v>
      </c>
      <c r="F14" s="121">
        <v>0.0</v>
      </c>
      <c r="G14" s="121">
        <v>0.0</v>
      </c>
      <c r="H14" s="121">
        <v>0.0</v>
      </c>
      <c r="I14" s="121">
        <v>0.0</v>
      </c>
      <c r="J14" s="121">
        <v>0.0</v>
      </c>
      <c r="K14" s="121">
        <v>0.0</v>
      </c>
      <c r="L14" s="121">
        <v>30.0</v>
      </c>
      <c r="M14" s="121">
        <v>0.0</v>
      </c>
      <c r="N14" s="121">
        <v>0.0</v>
      </c>
      <c r="O14" s="121">
        <v>0.0</v>
      </c>
      <c r="P14" s="121">
        <v>0.0</v>
      </c>
      <c r="Q14" s="121">
        <v>0.0</v>
      </c>
      <c r="R14" s="121">
        <v>0.0</v>
      </c>
      <c r="S14" s="121">
        <v>0.0</v>
      </c>
      <c r="T14" s="121">
        <v>0.0</v>
      </c>
      <c r="U14" s="121">
        <v>0.0</v>
      </c>
      <c r="V14" s="121">
        <v>0.0</v>
      </c>
      <c r="W14" s="121">
        <v>0.0</v>
      </c>
    </row>
    <row r="15">
      <c r="A15" s="121">
        <v>5.0</v>
      </c>
      <c r="B15" s="122">
        <v>370.0</v>
      </c>
      <c r="C15" s="149">
        <v>25.0</v>
      </c>
      <c r="D15" s="121">
        <v>0.0</v>
      </c>
      <c r="E15" s="121">
        <v>0.0</v>
      </c>
      <c r="F15" s="121">
        <v>0.0</v>
      </c>
      <c r="G15" s="121">
        <v>0.0</v>
      </c>
      <c r="H15" s="121">
        <v>0.0</v>
      </c>
      <c r="I15" s="121">
        <v>0.0</v>
      </c>
      <c r="J15" s="121">
        <v>0.0</v>
      </c>
      <c r="K15" s="121">
        <v>0.0</v>
      </c>
      <c r="L15" s="121">
        <v>0.0</v>
      </c>
      <c r="M15" s="121">
        <v>0.0</v>
      </c>
      <c r="N15" s="121">
        <v>0.0</v>
      </c>
      <c r="O15" s="121">
        <v>0.0</v>
      </c>
      <c r="P15" s="121">
        <v>0.0</v>
      </c>
      <c r="Q15" s="121">
        <v>0.0</v>
      </c>
      <c r="R15" s="121">
        <v>0.0</v>
      </c>
      <c r="S15" s="121">
        <v>0.0</v>
      </c>
      <c r="T15" s="121">
        <v>0.0</v>
      </c>
      <c r="U15" s="121">
        <v>0.0</v>
      </c>
      <c r="V15" s="121">
        <v>0.0</v>
      </c>
      <c r="W15" s="121">
        <v>0.0</v>
      </c>
    </row>
    <row r="16">
      <c r="A16" s="121">
        <v>6.0</v>
      </c>
      <c r="B16" s="122">
        <v>520.0</v>
      </c>
      <c r="C16" s="149">
        <v>0.0</v>
      </c>
      <c r="D16" s="121">
        <v>0.0</v>
      </c>
      <c r="E16" s="121">
        <v>0.0</v>
      </c>
      <c r="F16" s="121">
        <v>1.0</v>
      </c>
      <c r="G16" s="121">
        <v>0.0</v>
      </c>
      <c r="H16" s="121">
        <v>0.0</v>
      </c>
      <c r="I16" s="121">
        <v>0.0</v>
      </c>
      <c r="J16" s="121">
        <v>0.0</v>
      </c>
      <c r="K16" s="121">
        <v>0.0</v>
      </c>
      <c r="L16" s="121">
        <v>0.0</v>
      </c>
      <c r="M16" s="121">
        <v>0.0</v>
      </c>
      <c r="N16" s="121">
        <v>0.0</v>
      </c>
      <c r="O16" s="121">
        <v>10.0</v>
      </c>
      <c r="P16" s="121">
        <v>0.0</v>
      </c>
      <c r="Q16" s="121">
        <v>0.0</v>
      </c>
      <c r="R16" s="121">
        <v>0.0</v>
      </c>
      <c r="S16" s="121">
        <v>0.0</v>
      </c>
      <c r="T16" s="121">
        <v>0.0</v>
      </c>
      <c r="U16" s="121">
        <v>0.0</v>
      </c>
      <c r="V16" s="121">
        <v>0.0</v>
      </c>
      <c r="W16" s="121">
        <v>0.0</v>
      </c>
    </row>
    <row r="17">
      <c r="A17" s="121">
        <v>7.0</v>
      </c>
      <c r="B17" s="122">
        <v>690.0</v>
      </c>
      <c r="C17" s="149">
        <v>0.0</v>
      </c>
      <c r="D17" s="121">
        <v>0.0</v>
      </c>
      <c r="E17" s="121">
        <v>0.0</v>
      </c>
      <c r="F17" s="121">
        <v>0.0</v>
      </c>
      <c r="G17" s="121">
        <v>0.0</v>
      </c>
      <c r="H17" s="121">
        <v>0.0</v>
      </c>
      <c r="I17" s="121">
        <v>0.0</v>
      </c>
      <c r="J17" s="121">
        <v>0.0</v>
      </c>
      <c r="K17" s="121">
        <v>0.0</v>
      </c>
      <c r="L17" s="121">
        <v>60.0</v>
      </c>
      <c r="M17" s="121">
        <v>0.0</v>
      </c>
      <c r="N17" s="121">
        <v>0.0</v>
      </c>
      <c r="O17" s="121">
        <v>0.0</v>
      </c>
      <c r="P17" s="121">
        <v>0.0</v>
      </c>
      <c r="Q17" s="121">
        <v>0.0</v>
      </c>
      <c r="R17" s="121">
        <v>0.0</v>
      </c>
      <c r="S17" s="121">
        <v>0.0</v>
      </c>
      <c r="T17" s="121">
        <v>0.0</v>
      </c>
      <c r="U17" s="121">
        <v>0.0</v>
      </c>
      <c r="V17" s="121">
        <v>0.0</v>
      </c>
      <c r="W17" s="121">
        <v>0.0</v>
      </c>
    </row>
    <row r="18">
      <c r="A18" s="121">
        <v>8.0</v>
      </c>
      <c r="B18" s="122">
        <v>890.0</v>
      </c>
      <c r="C18" s="149">
        <v>0.0</v>
      </c>
      <c r="D18" s="121">
        <v>0.0</v>
      </c>
      <c r="E18" s="121">
        <v>0.0</v>
      </c>
      <c r="F18" s="121">
        <v>0.0</v>
      </c>
      <c r="G18" s="121">
        <v>0.0</v>
      </c>
      <c r="H18" s="121">
        <v>0.0</v>
      </c>
      <c r="I18" s="121">
        <v>0.0</v>
      </c>
      <c r="J18" s="121">
        <v>0.0</v>
      </c>
      <c r="K18" s="121">
        <v>0.0</v>
      </c>
      <c r="L18" s="121">
        <v>0.0</v>
      </c>
      <c r="M18" s="121">
        <v>15.0</v>
      </c>
      <c r="N18" s="121">
        <v>0.0</v>
      </c>
      <c r="O18" s="121">
        <v>0.0</v>
      </c>
      <c r="P18" s="121">
        <v>0.0</v>
      </c>
      <c r="Q18" s="121">
        <v>0.0</v>
      </c>
      <c r="R18" s="121">
        <v>0.0</v>
      </c>
      <c r="S18" s="121">
        <v>0.0</v>
      </c>
      <c r="T18" s="121">
        <v>0.0</v>
      </c>
      <c r="U18" s="121">
        <v>0.0</v>
      </c>
      <c r="V18" s="121">
        <v>0.0</v>
      </c>
      <c r="W18" s="121">
        <v>0.0</v>
      </c>
    </row>
    <row r="19">
      <c r="A19" s="121">
        <v>9.0</v>
      </c>
      <c r="B19" s="122">
        <v>1110.0</v>
      </c>
      <c r="C19" s="149">
        <v>25.0</v>
      </c>
      <c r="D19" s="121">
        <v>0.0</v>
      </c>
      <c r="E19" s="121">
        <v>0.0</v>
      </c>
      <c r="F19" s="121">
        <v>0.0</v>
      </c>
      <c r="G19" s="121">
        <v>0.0</v>
      </c>
      <c r="H19" s="121">
        <v>0.0</v>
      </c>
      <c r="I19" s="121">
        <v>0.0</v>
      </c>
      <c r="J19" s="121">
        <v>0.0</v>
      </c>
      <c r="K19" s="121">
        <v>0.0</v>
      </c>
      <c r="L19" s="121">
        <v>0.0</v>
      </c>
      <c r="M19" s="121">
        <v>0.0</v>
      </c>
      <c r="N19" s="121">
        <v>0.0</v>
      </c>
      <c r="O19" s="121">
        <v>0.0</v>
      </c>
      <c r="P19" s="121">
        <v>0.0</v>
      </c>
      <c r="Q19" s="121">
        <v>0.0</v>
      </c>
      <c r="R19" s="121">
        <v>0.0</v>
      </c>
      <c r="S19" s="121">
        <v>0.0</v>
      </c>
      <c r="T19" s="121">
        <v>0.0</v>
      </c>
      <c r="U19" s="121">
        <v>0.0</v>
      </c>
      <c r="V19" s="121">
        <v>0.0</v>
      </c>
      <c r="W19" s="121">
        <v>0.0</v>
      </c>
    </row>
    <row r="20">
      <c r="A20" s="121">
        <v>10.0</v>
      </c>
      <c r="B20" s="122">
        <v>1360.0</v>
      </c>
      <c r="C20" s="149">
        <v>0.0</v>
      </c>
      <c r="D20" s="121">
        <v>0.0</v>
      </c>
      <c r="E20" s="121">
        <v>0.0</v>
      </c>
      <c r="F20" s="121">
        <v>0.0</v>
      </c>
      <c r="G20" s="121">
        <v>0.0</v>
      </c>
      <c r="H20" s="121">
        <v>0.0</v>
      </c>
      <c r="I20" s="121">
        <v>0.0</v>
      </c>
      <c r="J20" s="121">
        <v>0.0</v>
      </c>
      <c r="K20" s="121">
        <v>0.0</v>
      </c>
      <c r="L20" s="121">
        <v>0.0</v>
      </c>
      <c r="M20" s="121">
        <v>0.0</v>
      </c>
      <c r="N20" s="121">
        <v>15.0</v>
      </c>
      <c r="O20" s="121">
        <v>0.0</v>
      </c>
      <c r="P20" s="121">
        <v>0.0</v>
      </c>
      <c r="Q20" s="121">
        <v>0.0</v>
      </c>
      <c r="R20" s="121">
        <v>0.0</v>
      </c>
      <c r="S20" s="121">
        <v>0.0</v>
      </c>
      <c r="T20" s="121">
        <v>0.0</v>
      </c>
      <c r="U20" s="121">
        <v>0.0</v>
      </c>
      <c r="V20" s="121">
        <v>0.0</v>
      </c>
      <c r="W20" s="121">
        <v>0.0</v>
      </c>
    </row>
    <row r="21" ht="15.75" customHeight="1">
      <c r="A21" s="121">
        <v>11.0</v>
      </c>
      <c r="B21" s="122">
        <v>1630.0</v>
      </c>
      <c r="C21" s="149">
        <v>0.0</v>
      </c>
      <c r="D21" s="121">
        <v>0.0</v>
      </c>
      <c r="E21" s="121">
        <v>0.0</v>
      </c>
      <c r="F21" s="121">
        <v>0.0</v>
      </c>
      <c r="G21" s="121">
        <v>0.0</v>
      </c>
      <c r="H21" s="121">
        <v>0.0</v>
      </c>
      <c r="I21" s="121">
        <v>1.0</v>
      </c>
      <c r="J21" s="121">
        <v>0.0</v>
      </c>
      <c r="K21" s="121">
        <v>0.0</v>
      </c>
      <c r="L21" s="121">
        <v>0.0</v>
      </c>
      <c r="M21" s="121">
        <v>0.0</v>
      </c>
      <c r="N21" s="121">
        <v>0.0</v>
      </c>
      <c r="O21" s="121">
        <v>0.0</v>
      </c>
      <c r="P21" s="121">
        <v>0.0</v>
      </c>
      <c r="Q21" s="121">
        <v>0.0</v>
      </c>
      <c r="R21" s="121">
        <v>0.0</v>
      </c>
      <c r="S21" s="121">
        <v>0.0</v>
      </c>
      <c r="T21" s="121">
        <v>0.0</v>
      </c>
      <c r="U21" s="121">
        <v>0.0</v>
      </c>
      <c r="V21" s="121">
        <v>0.0</v>
      </c>
      <c r="W21" s="121">
        <v>0.0</v>
      </c>
    </row>
    <row r="22" ht="15.75" customHeight="1">
      <c r="A22" s="121">
        <v>12.0</v>
      </c>
      <c r="B22" s="122">
        <v>1930.0</v>
      </c>
      <c r="C22" s="149">
        <v>0.0</v>
      </c>
      <c r="D22" s="121">
        <v>0.0</v>
      </c>
      <c r="E22" s="121">
        <v>0.0</v>
      </c>
      <c r="F22" s="121">
        <v>0.0</v>
      </c>
      <c r="G22" s="121">
        <v>0.0</v>
      </c>
      <c r="H22" s="121">
        <v>0.0</v>
      </c>
      <c r="I22" s="121">
        <v>0.0</v>
      </c>
      <c r="J22" s="121">
        <v>0.0</v>
      </c>
      <c r="K22" s="121">
        <v>0.0</v>
      </c>
      <c r="L22" s="121">
        <v>60.0</v>
      </c>
      <c r="M22" s="121">
        <v>0.0</v>
      </c>
      <c r="N22" s="121">
        <v>0.0</v>
      </c>
      <c r="O22" s="121">
        <v>15.0</v>
      </c>
      <c r="P22" s="121">
        <v>0.0</v>
      </c>
      <c r="Q22" s="121">
        <v>0.0</v>
      </c>
      <c r="R22" s="121">
        <v>0.0</v>
      </c>
      <c r="S22" s="121">
        <v>0.0</v>
      </c>
      <c r="T22" s="121">
        <v>0.0</v>
      </c>
      <c r="U22" s="121">
        <v>0.0</v>
      </c>
      <c r="V22" s="121">
        <v>0.0</v>
      </c>
      <c r="W22" s="121">
        <v>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1:W22">
    <cfRule type="cellIs" dxfId="5" priority="1" operator="greaterThan">
      <formula>0</formula>
    </cfRule>
  </conditionalFormatting>
  <conditionalFormatting sqref="A1:B1000">
    <cfRule type="expression" dxfId="7" priority="2">
      <formula>ISFORMULA(A1)</formula>
    </cfRule>
  </conditionalFormatting>
  <conditionalFormatting sqref="A11:W22">
    <cfRule type="expression" dxfId="6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4" width="7.5"/>
    <col customWidth="1" min="25" max="32" width="7.63"/>
    <col customWidth="1" min="33" max="33" width="2.5"/>
    <col customWidth="1" min="34" max="34" width="12.0"/>
    <col customWidth="1" min="35" max="35" width="7.0"/>
    <col customWidth="1" min="36" max="36" width="13.63"/>
    <col customWidth="1" min="37" max="37" width="7.0"/>
    <col customWidth="1" min="38" max="38" width="13.63"/>
    <col customWidth="1" min="39" max="39" width="7.0"/>
    <col customWidth="1" min="40" max="40" width="13.63"/>
    <col customWidth="1" min="41" max="41" width="7.0"/>
    <col customWidth="1" min="42" max="42" width="13.63"/>
    <col customWidth="1" min="43" max="43" width="7.0"/>
    <col customWidth="1" min="44" max="44" width="13.63"/>
  </cols>
  <sheetData>
    <row r="1" ht="21.75" customHeight="1">
      <c r="A1" s="150" t="s">
        <v>34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AH1" s="151" t="s">
        <v>159</v>
      </c>
    </row>
    <row r="2" ht="19.5" customHeight="1">
      <c r="A2" s="112" t="s">
        <v>114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AH2" s="152" t="s">
        <v>160</v>
      </c>
      <c r="AI2" s="153" t="s">
        <v>161</v>
      </c>
    </row>
    <row r="3">
      <c r="A3" s="154" t="s">
        <v>152</v>
      </c>
      <c r="B3" s="155">
        <v>3.0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AH3" s="152" t="s">
        <v>162</v>
      </c>
      <c r="AI3" s="153" t="s">
        <v>163</v>
      </c>
    </row>
    <row r="4">
      <c r="A4" s="154" t="s">
        <v>153</v>
      </c>
      <c r="B4" s="156">
        <v>1.0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</row>
    <row r="5">
      <c r="A5" s="154" t="s">
        <v>154</v>
      </c>
      <c r="B5" s="156">
        <v>15.0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AH5" s="157" t="s">
        <v>164</v>
      </c>
      <c r="AI5" s="157" t="s">
        <v>165</v>
      </c>
      <c r="AJ5" s="157" t="s">
        <v>166</v>
      </c>
      <c r="AK5" s="157" t="s">
        <v>167</v>
      </c>
      <c r="AL5" s="157" t="s">
        <v>168</v>
      </c>
      <c r="AM5" s="157" t="s">
        <v>169</v>
      </c>
      <c r="AN5" s="157" t="s">
        <v>170</v>
      </c>
      <c r="AO5" s="157" t="s">
        <v>171</v>
      </c>
      <c r="AP5" s="157" t="s">
        <v>172</v>
      </c>
      <c r="AQ5" s="157" t="s">
        <v>173</v>
      </c>
      <c r="AR5" s="157" t="s">
        <v>174</v>
      </c>
    </row>
    <row r="6">
      <c r="A6" s="154" t="s">
        <v>155</v>
      </c>
      <c r="B6" s="156">
        <v>2.0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AH6" s="158">
        <f>IF(1&lt;=$B$3,1,"")</f>
        <v>1</v>
      </c>
      <c r="AI6" s="159">
        <f t="array" ref="AI6">IF($AH6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6),AVERAGEIFS(data_event_accrual!$K:$K,data_event_accrual!$A:$A,"Jigsaw",data_event_accrual!$B:$B,$AI$3,data_event_accrual!$C:$C,"0-9",data_event_accrual!$E:$E,$AH6),AVERAGEIFS(data_event_accrual!$J:$J,data_event_accrual!$A:$A,"Jigsaw",data_event_accrual!$B:$B,$AI$3,data_event_accrual!$C:$C,"0-9",data_event_accrual!$E:$E,$AH6),AVERAGEIFS(data_event_accrual!$L:$L,data_event_accrual!$A:$A,"Jigsaw",data_event_accrual!$B:$B,$AI$3,data_event_accrual!$C:$C,"0-9",data_event_accrual!$E:$E,$AH6)),1)),COUNTIF($B$11:$B$22,"&lt;="&amp;bal*shr)))</f>
        <v>0</v>
      </c>
      <c r="AJ6" s="160" t="str">
        <f t="array" ref="AJ6">IF($AH6="","",IF(AI6=0,"{}",LET(m,AI6,s,MMULT(SEQUENCE(1,m,1,0),$C$11:$W$22),"{"&amp;TEXTJOIN(", ",TRUE,IF(s&gt;0,$C$10:$W$10&amp;": "&amp;ROUND(s,2),""))&amp;"}")))</f>
        <v>{}</v>
      </c>
      <c r="AK6" s="159">
        <f t="array" ref="AK6">IF($AH6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6),AVERAGEIFS(data_event_accrual!$K:$K,data_event_accrual!$A:$A,"Jigsaw",data_event_accrual!$B:$B,$AI$3,data_event_accrual!$C:$C,"10-19",data_event_accrual!$E:$E,$AH6),AVERAGEIFS(data_event_accrual!$J:$J,data_event_accrual!$A:$A,"Jigsaw",data_event_accrual!$B:$B,$AI$3,data_event_accrual!$C:$C,"10-19",data_event_accrual!$E:$E,$AH6),AVERAGEIFS(data_event_accrual!$L:$L,data_event_accrual!$A:$A,"Jigsaw",data_event_accrual!$B:$B,$AI$3,data_event_accrual!$C:$C,"10-19",data_event_accrual!$E:$E,$AH6)),1)),COUNTIF($B$11:$B$22,"&lt;="&amp;bal*shr)))</f>
        <v>1</v>
      </c>
      <c r="AL6" s="160" t="str">
        <f t="array" ref="AL6">IF($AH6="","",IF(AK6=0,"{}",LET(m,AK6,s,MMULT(SEQUENCE(1,m,1,0),$C$11:$W$22),"{"&amp;TEXTJOIN(", ",TRUE,IF(s&gt;0,$C$10:$W$10&amp;": "&amp;ROUND(s,2),""))&amp;"}")))</f>
        <v>{Chuck: 1}</v>
      </c>
      <c r="AM6" s="159">
        <f t="array" ref="AM6">IF($AH6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6),AVERAGEIFS(data_event_accrual!$K:$K,data_event_accrual!$A:$A,"Jigsaw",data_event_accrual!$B:$B,$AI$3,data_event_accrual!$C:$C,"20-39",data_event_accrual!$E:$E,$AH6),AVERAGEIFS(data_event_accrual!$J:$J,data_event_accrual!$A:$A,"Jigsaw",data_event_accrual!$B:$B,$AI$3,data_event_accrual!$C:$C,"20-39",data_event_accrual!$E:$E,$AH6),AVERAGEIFS(data_event_accrual!$L:$L,data_event_accrual!$A:$A,"Jigsaw",data_event_accrual!$B:$B,$AI$3,data_event_accrual!$C:$C,"20-39",data_event_accrual!$E:$E,$AH6)),1)),COUNTIF($B$11:$B$22,"&lt;="&amp;bal*shr)))</f>
        <v>2</v>
      </c>
      <c r="AN6" s="160" t="str">
        <f t="array" ref="AN6">IF($AH6="","",IF(AM6=0,"{}",LET(m,AM6,s,MMULT(SEQUENCE(1,m,1,0),$C$11:$W$22),"{"&amp;TEXTJOIN(", ",TRUE,IF(s&gt;0,$C$10:$W$10&amp;": "&amp;ROUND(s,2),""))&amp;"}")))</f>
        <v>{Chuck: 1, Unlimited Red: 10}</v>
      </c>
      <c r="AO6" s="159">
        <f t="array" ref="AO6">IF($AH6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6),AVERAGEIFS(data_event_accrual!$K:$K,data_event_accrual!$A:$A,"Jigsaw",data_event_accrual!$B:$B,$AI$3,data_event_accrual!$C:$C,"40-99",data_event_accrual!$E:$E,$AH6),AVERAGEIFS(data_event_accrual!$J:$J,data_event_accrual!$A:$A,"Jigsaw",data_event_accrual!$B:$B,$AI$3,data_event_accrual!$C:$C,"40-99",data_event_accrual!$E:$E,$AH6),AVERAGEIFS(data_event_accrual!$L:$L,data_event_accrual!$A:$A,"Jigsaw",data_event_accrual!$B:$B,$AI$3,data_event_accrual!$C:$C,"40-99",data_event_accrual!$E:$E,$AH6)),1)),COUNTIF($B$11:$B$22,"&lt;="&amp;bal*shr)))</f>
        <v>4</v>
      </c>
      <c r="AP6" s="160" t="str">
        <f t="array" ref="AP6">IF($AH6="","",IF(AO6=0,"{}",LET(m,AO6,s,MMULT(SEQUENCE(1,m,1,0),$C$11:$W$22),"{"&amp;TEXTJOIN(", ",TRUE,IF(s&gt;0,$C$10:$W$10&amp;": "&amp;ROUND(s,2),""))&amp;"}")))</f>
        <v>{Chuck: 1, Unlimited Lives: 30, Unlimited Red: 10, Unlimited Chuck: 10}</v>
      </c>
      <c r="AQ6" s="159">
        <f t="array" ref="AQ6">IF($AH6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6),AVERAGEIFS(data_event_accrual!$K:$K,data_event_accrual!$A:$A,"Jigsaw",data_event_accrual!$B:$B,$AI$3,data_event_accrual!$C:$C,"100+",data_event_accrual!$E:$E,$AH6),AVERAGEIFS(data_event_accrual!$J:$J,data_event_accrual!$A:$A,"Jigsaw",data_event_accrual!$B:$B,$AI$3,data_event_accrual!$C:$C,"100+",data_event_accrual!$E:$E,$AH6),AVERAGEIFS(data_event_accrual!$L:$L,data_event_accrual!$A:$A,"Jigsaw",data_event_accrual!$B:$B,$AI$3,data_event_accrual!$C:$C,"100+",data_event_accrual!$E:$E,$AH6)),1)),COUNTIF($B$11:$B$22,"&lt;="&amp;bal*shr)))</f>
        <v>6</v>
      </c>
      <c r="AR6" s="160" t="str">
        <f t="array" ref="AR6">IF($AH6="","",IF(AQ6=0,"{}",LET(m,AQ6,s,MMULT(SEQUENCE(1,m,1,0),$C$11:$W$22),"{"&amp;TEXTJOIN(", ",TRUE,IF(s&gt;0,$C$10:$W$10&amp;": "&amp;ROUND(s,2),""))&amp;"}")))</f>
        <v>{Coins: 25, Red: 1, Chuck: 1, Unlimited Lives: 30, Unlimited Red: 10, Unlimited Chuck: 10, Unlimited Bomb: 10}</v>
      </c>
    </row>
    <row r="7">
      <c r="A7" s="154" t="s">
        <v>156</v>
      </c>
      <c r="B7" s="156" t="b">
        <f>TRUE()</f>
        <v>1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AH7" s="158">
        <f>IF(2&lt;=$B$3,2,"")</f>
        <v>2</v>
      </c>
      <c r="AI7" s="159">
        <f t="array" ref="AI7">IF($AH7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7),AVERAGEIFS(data_event_accrual!$K:$K,data_event_accrual!$A:$A,"Jigsaw",data_event_accrual!$B:$B,$AI$3,data_event_accrual!$C:$C,"0-9",data_event_accrual!$E:$E,$AH7),AVERAGEIFS(data_event_accrual!$J:$J,data_event_accrual!$A:$A,"Jigsaw",data_event_accrual!$B:$B,$AI$3,data_event_accrual!$C:$C,"0-9",data_event_accrual!$E:$E,$AH7),AVERAGEIFS(data_event_accrual!$L:$L,data_event_accrual!$A:$A,"Jigsaw",data_event_accrual!$B:$B,$AI$3,data_event_accrual!$C:$C,"0-9",data_event_accrual!$E:$E,$AH7)),1)),COUNTIF($B$11:$B$22,"&lt;="&amp;bal*shr)))</f>
        <v>1</v>
      </c>
      <c r="AJ7" s="160" t="str">
        <f t="array" ref="AJ7">IF($AH7="","",IF(AI7=0,"{}",LET(m,AI7,s,MMULT(SEQUENCE(1,m,1,0),$C$11:$W$22),"{"&amp;TEXTJOIN(", ",TRUE,IF(s&gt;0,$C$10:$W$10&amp;": "&amp;ROUND(s,2),""))&amp;"}")))</f>
        <v>{Chuck: 1}</v>
      </c>
      <c r="AK7" s="159">
        <f t="array" ref="AK7">IF($AH7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7),AVERAGEIFS(data_event_accrual!$K:$K,data_event_accrual!$A:$A,"Jigsaw",data_event_accrual!$B:$B,$AI$3,data_event_accrual!$C:$C,"10-19",data_event_accrual!$E:$E,$AH7),AVERAGEIFS(data_event_accrual!$J:$J,data_event_accrual!$A:$A,"Jigsaw",data_event_accrual!$B:$B,$AI$3,data_event_accrual!$C:$C,"10-19",data_event_accrual!$E:$E,$AH7),AVERAGEIFS(data_event_accrual!$L:$L,data_event_accrual!$A:$A,"Jigsaw",data_event_accrual!$B:$B,$AI$3,data_event_accrual!$C:$C,"10-19",data_event_accrual!$E:$E,$AH7)),1)),COUNTIF($B$11:$B$22,"&lt;="&amp;bal*shr)))</f>
        <v>3</v>
      </c>
      <c r="AL7" s="160" t="str">
        <f t="array" ref="AL7">IF($AH7="","",IF(AK7=0,"{}",LET(m,AK7,s,MMULT(SEQUENCE(1,m,1,0),$C$11:$W$22),"{"&amp;TEXTJOIN(", ",TRUE,IF(s&gt;0,$C$10:$W$10&amp;": "&amp;ROUND(s,2),""))&amp;"}")))</f>
        <v>{Chuck: 1, Unlimited Red: 10, Unlimited Chuck: 10}</v>
      </c>
      <c r="AM7" s="159">
        <f t="array" ref="AM7">IF($AH7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7),AVERAGEIFS(data_event_accrual!$K:$K,data_event_accrual!$A:$A,"Jigsaw",data_event_accrual!$B:$B,$AI$3,data_event_accrual!$C:$C,"20-39",data_event_accrual!$E:$E,$AH7),AVERAGEIFS(data_event_accrual!$J:$J,data_event_accrual!$A:$A,"Jigsaw",data_event_accrual!$B:$B,$AI$3,data_event_accrual!$C:$C,"20-39",data_event_accrual!$E:$E,$AH7),AVERAGEIFS(data_event_accrual!$L:$L,data_event_accrual!$A:$A,"Jigsaw",data_event_accrual!$B:$B,$AI$3,data_event_accrual!$C:$C,"20-39",data_event_accrual!$E:$E,$AH7)),1)),COUNTIF($B$11:$B$22,"&lt;="&amp;bal*shr)))</f>
        <v>5</v>
      </c>
      <c r="AN7" s="160" t="str">
        <f t="array" ref="AN7">IF($AH7="","",IF(AM7=0,"{}",LET(m,AM7,s,MMULT(SEQUENCE(1,m,1,0),$C$11:$W$22),"{"&amp;TEXTJOIN(", ",TRUE,IF(s&gt;0,$C$10:$W$10&amp;": "&amp;ROUND(s,2),""))&amp;"}")))</f>
        <v>{Coins: 25, Chuck: 1, Unlimited Lives: 30, Unlimited Red: 10, Unlimited Chuck: 10}</v>
      </c>
      <c r="AO7" s="159">
        <f t="array" ref="AO7">IF($AH7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7),AVERAGEIFS(data_event_accrual!$K:$K,data_event_accrual!$A:$A,"Jigsaw",data_event_accrual!$B:$B,$AI$3,data_event_accrual!$C:$C,"40-99",data_event_accrual!$E:$E,$AH7),AVERAGEIFS(data_event_accrual!$J:$J,data_event_accrual!$A:$A,"Jigsaw",data_event_accrual!$B:$B,$AI$3,data_event_accrual!$C:$C,"40-99",data_event_accrual!$E:$E,$AH7),AVERAGEIFS(data_event_accrual!$L:$L,data_event_accrual!$A:$A,"Jigsaw",data_event_accrual!$B:$B,$AI$3,data_event_accrual!$C:$C,"40-99",data_event_accrual!$E:$E,$AH7)),1)),COUNTIF($B$11:$B$22,"&lt;="&amp;bal*shr)))</f>
        <v>7</v>
      </c>
      <c r="AP7" s="160" t="str">
        <f t="array" ref="AP7">IF($AH7="","",IF(AO7=0,"{}",LET(m,AO7,s,MMULT(SEQUENCE(1,m,1,0),$C$11:$W$22),"{"&amp;TEXTJOIN(", ",TRUE,IF(s&gt;0,$C$10:$W$10&amp;": "&amp;ROUND(s,2),""))&amp;"}")))</f>
        <v>{Coins: 25, Red: 1, Chuck: 1, Unlimited Lives: 90, Unlimited Red: 10, Unlimited Chuck: 10, Unlimited Bomb: 10}</v>
      </c>
      <c r="AQ7" s="159">
        <f t="array" ref="AQ7">IF($AH7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7),AVERAGEIFS(data_event_accrual!$K:$K,data_event_accrual!$A:$A,"Jigsaw",data_event_accrual!$B:$B,$AI$3,data_event_accrual!$C:$C,"100+",data_event_accrual!$E:$E,$AH7),AVERAGEIFS(data_event_accrual!$J:$J,data_event_accrual!$A:$A,"Jigsaw",data_event_accrual!$B:$B,$AI$3,data_event_accrual!$C:$C,"100+",data_event_accrual!$E:$E,$AH7),AVERAGEIFS(data_event_accrual!$L:$L,data_event_accrual!$A:$A,"Jigsaw",data_event_accrual!$B:$B,$AI$3,data_event_accrual!$C:$C,"100+",data_event_accrual!$E:$E,$AH7)),1)),COUNTIF($B$11:$B$22,"&lt;="&amp;bal*shr)))</f>
        <v>10</v>
      </c>
      <c r="AR7" s="160" t="str">
        <f t="array" ref="AR7">IF($AH7="","",IF(AQ7=0,"{}",LET(m,AQ7,s,MMULT(SEQUENCE(1,m,1,0),$C$11:$W$22),"{"&amp;TEXTJOIN(", ",TRUE,IF(s&gt;0,$C$10:$W$10&amp;": "&amp;ROUND(s,2),""))&amp;"}")))</f>
        <v>{Coins: 50, Red: 1, Chuck: 1, Unlimited Lives: 90, Unlimited Red: 25, Unlimited Chuck: 25, Unlimited Bomb: 10}</v>
      </c>
    </row>
    <row r="8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AH8" s="158">
        <f>IF(3&lt;=$B$3,3,"")</f>
        <v>3</v>
      </c>
      <c r="AI8" s="159">
        <f t="array" ref="AI8">IF($AH8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8),AVERAGEIFS(data_event_accrual!$K:$K,data_event_accrual!$A:$A,"Jigsaw",data_event_accrual!$B:$B,$AI$3,data_event_accrual!$C:$C,"0-9",data_event_accrual!$E:$E,$AH8),AVERAGEIFS(data_event_accrual!$J:$J,data_event_accrual!$A:$A,"Jigsaw",data_event_accrual!$B:$B,$AI$3,data_event_accrual!$C:$C,"0-9",data_event_accrual!$E:$E,$AH8),AVERAGEIFS(data_event_accrual!$L:$L,data_event_accrual!$A:$A,"Jigsaw",data_event_accrual!$B:$B,$AI$3,data_event_accrual!$C:$C,"0-9",data_event_accrual!$E:$E,$AH8)),1)),COUNTIF($B$11:$B$22,"&lt;="&amp;bal*shr)))</f>
        <v>2</v>
      </c>
      <c r="AJ8" s="160" t="str">
        <f t="array" ref="AJ8">IF($AH8="","",IF(AI8=0,"{}",LET(m,AI8,s,MMULT(SEQUENCE(1,m,1,0),$C$11:$W$22),"{"&amp;TEXTJOIN(", ",TRUE,IF(s&gt;0,$C$10:$W$10&amp;": "&amp;ROUND(s,2),""))&amp;"}")))</f>
        <v>{Chuck: 1, Unlimited Red: 10}</v>
      </c>
      <c r="AK8" s="159">
        <f t="array" ref="AK8">IF($AH8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8),AVERAGEIFS(data_event_accrual!$K:$K,data_event_accrual!$A:$A,"Jigsaw",data_event_accrual!$B:$B,$AI$3,data_event_accrual!$C:$C,"10-19",data_event_accrual!$E:$E,$AH8),AVERAGEIFS(data_event_accrual!$J:$J,data_event_accrual!$A:$A,"Jigsaw",data_event_accrual!$B:$B,$AI$3,data_event_accrual!$C:$C,"10-19",data_event_accrual!$E:$E,$AH8),AVERAGEIFS(data_event_accrual!$L:$L,data_event_accrual!$A:$A,"Jigsaw",data_event_accrual!$B:$B,$AI$3,data_event_accrual!$C:$C,"10-19",data_event_accrual!$E:$E,$AH8)),1)),COUNTIF($B$11:$B$22,"&lt;="&amp;bal*shr)))</f>
        <v>4</v>
      </c>
      <c r="AL8" s="160" t="str">
        <f t="array" ref="AL8">IF($AH8="","",IF(AK8=0,"{}",LET(m,AK8,s,MMULT(SEQUENCE(1,m,1,0),$C$11:$W$22),"{"&amp;TEXTJOIN(", ",TRUE,IF(s&gt;0,$C$10:$W$10&amp;": "&amp;ROUND(s,2),""))&amp;"}")))</f>
        <v>{Chuck: 1, Unlimited Lives: 30, Unlimited Red: 10, Unlimited Chuck: 10}</v>
      </c>
      <c r="AM8" s="159">
        <f t="array" ref="AM8">IF($AH8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8),AVERAGEIFS(data_event_accrual!$K:$K,data_event_accrual!$A:$A,"Jigsaw",data_event_accrual!$B:$B,$AI$3,data_event_accrual!$C:$C,"20-39",data_event_accrual!$E:$E,$AH8),AVERAGEIFS(data_event_accrual!$J:$J,data_event_accrual!$A:$A,"Jigsaw",data_event_accrual!$B:$B,$AI$3,data_event_accrual!$C:$C,"20-39",data_event_accrual!$E:$E,$AH8),AVERAGEIFS(data_event_accrual!$L:$L,data_event_accrual!$A:$A,"Jigsaw",data_event_accrual!$B:$B,$AI$3,data_event_accrual!$C:$C,"20-39",data_event_accrual!$E:$E,$AH8)),1)),COUNTIF($B$11:$B$22,"&lt;="&amp;bal*shr)))</f>
        <v>6</v>
      </c>
      <c r="AN8" s="160" t="str">
        <f t="array" ref="AN8">IF($AH8="","",IF(AM8=0,"{}",LET(m,AM8,s,MMULT(SEQUENCE(1,m,1,0),$C$11:$W$22),"{"&amp;TEXTJOIN(", ",TRUE,IF(s&gt;0,$C$10:$W$10&amp;": "&amp;ROUND(s,2),""))&amp;"}")))</f>
        <v>{Coins: 25, Red: 1, Chuck: 1, Unlimited Lives: 30, Unlimited Red: 10, Unlimited Chuck: 10, Unlimited Bomb: 10}</v>
      </c>
      <c r="AO8" s="159">
        <f t="array" ref="AO8">IF($AH8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8),AVERAGEIFS(data_event_accrual!$K:$K,data_event_accrual!$A:$A,"Jigsaw",data_event_accrual!$B:$B,$AI$3,data_event_accrual!$C:$C,"40-99",data_event_accrual!$E:$E,$AH8),AVERAGEIFS(data_event_accrual!$J:$J,data_event_accrual!$A:$A,"Jigsaw",data_event_accrual!$B:$B,$AI$3,data_event_accrual!$C:$C,"40-99",data_event_accrual!$E:$E,$AH8),AVERAGEIFS(data_event_accrual!$L:$L,data_event_accrual!$A:$A,"Jigsaw",data_event_accrual!$B:$B,$AI$3,data_event_accrual!$C:$C,"40-99",data_event_accrual!$E:$E,$AH8)),1)),COUNTIF($B$11:$B$22,"&lt;="&amp;bal*shr)))</f>
        <v>9</v>
      </c>
      <c r="AP8" s="160" t="str">
        <f t="array" ref="AP8">IF($AH8="","",IF(AO8=0,"{}",LET(m,AO8,s,MMULT(SEQUENCE(1,m,1,0),$C$11:$W$22),"{"&amp;TEXTJOIN(", ",TRUE,IF(s&gt;0,$C$10:$W$10&amp;": "&amp;ROUND(s,2),""))&amp;"}")))</f>
        <v>{Coins: 50, Red: 1, Chuck: 1, Unlimited Lives: 90, Unlimited Red: 25, Unlimited Chuck: 10, Unlimited Bomb: 10}</v>
      </c>
      <c r="AQ8" s="159">
        <f t="array" ref="AQ8">IF($AH8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8),AVERAGEIFS(data_event_accrual!$K:$K,data_event_accrual!$A:$A,"Jigsaw",data_event_accrual!$B:$B,$AI$3,data_event_accrual!$C:$C,"100+",data_event_accrual!$E:$E,$AH8),AVERAGEIFS(data_event_accrual!$J:$J,data_event_accrual!$A:$A,"Jigsaw",data_event_accrual!$B:$B,$AI$3,data_event_accrual!$C:$C,"100+",data_event_accrual!$E:$E,$AH8),AVERAGEIFS(data_event_accrual!$L:$L,data_event_accrual!$A:$A,"Jigsaw",data_event_accrual!$B:$B,$AI$3,data_event_accrual!$C:$C,"100+",data_event_accrual!$E:$E,$AH8)),1)),COUNTIF($B$11:$B$22,"&lt;="&amp;bal*shr)))</f>
        <v>11</v>
      </c>
      <c r="AR8" s="160" t="str">
        <f t="array" ref="AR8">IF($AH8="","",IF(AQ8=0,"{}",LET(m,AQ8,s,MMULT(SEQUENCE(1,m,1,0),$C$11:$W$22),"{"&amp;TEXTJOIN(", ",TRUE,IF(s&gt;0,$C$10:$W$10&amp;": "&amp;ROUND(s,2),""))&amp;"}")))</f>
        <v>{Coins: 50, Red: 1, Chuck: 1, Slingshot: 1, Unlimited Lives: 90, Unlimited Red: 25, Unlimited Chuck: 25, Unlimited Bomb: 10}</v>
      </c>
    </row>
    <row r="9" ht="19.5" customHeight="1">
      <c r="A9" s="112" t="s">
        <v>116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AH9" s="158" t="str">
        <f>IF(4&lt;=$B$3,4,"")</f>
        <v/>
      </c>
      <c r="AI9" s="159" t="str">
        <f t="array" ref="AI9">IF($AH9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9),AVERAGEIFS(data_event_accrual!$K:$K,data_event_accrual!$A:$A,"Jigsaw",data_event_accrual!$B:$B,$AI$3,data_event_accrual!$C:$C,"0-9",data_event_accrual!$E:$E,$AH9),AVERAGEIFS(data_event_accrual!$J:$J,data_event_accrual!$A:$A,"Jigsaw",data_event_accrual!$B:$B,$AI$3,data_event_accrual!$C:$C,"0-9",data_event_accrual!$E:$E,$AH9),AVERAGEIFS(data_event_accrual!$L:$L,data_event_accrual!$A:$A,"Jigsaw",data_event_accrual!$B:$B,$AI$3,data_event_accrual!$C:$C,"0-9",data_event_accrual!$E:$E,$AH9)),1)),COUNTIF($B$11:$B$22,"&lt;="&amp;bal*shr)))</f>
        <v/>
      </c>
      <c r="AJ9" s="160" t="str">
        <f t="array" ref="AJ9">IF($AH9="","",IF(AI9=0,"{}",LET(m,AI9,s,MMULT(SEQUENCE(1,m,1,0),$C$11:$W$22),"{"&amp;TEXTJOIN(", ",TRUE,IF(s&gt;0,$C$10:$W$10&amp;": "&amp;ROUND(s,2),""))&amp;"}")))</f>
        <v/>
      </c>
      <c r="AK9" s="159" t="str">
        <f t="array" ref="AK9">IF($AH9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9),AVERAGEIFS(data_event_accrual!$K:$K,data_event_accrual!$A:$A,"Jigsaw",data_event_accrual!$B:$B,$AI$3,data_event_accrual!$C:$C,"10-19",data_event_accrual!$E:$E,$AH9),AVERAGEIFS(data_event_accrual!$J:$J,data_event_accrual!$A:$A,"Jigsaw",data_event_accrual!$B:$B,$AI$3,data_event_accrual!$C:$C,"10-19",data_event_accrual!$E:$E,$AH9),AVERAGEIFS(data_event_accrual!$L:$L,data_event_accrual!$A:$A,"Jigsaw",data_event_accrual!$B:$B,$AI$3,data_event_accrual!$C:$C,"10-19",data_event_accrual!$E:$E,$AH9)),1)),COUNTIF($B$11:$B$22,"&lt;="&amp;bal*shr)))</f>
        <v/>
      </c>
      <c r="AL9" s="160" t="str">
        <f t="array" ref="AL9">IF($AH9="","",IF(AK9=0,"{}",LET(m,AK9,s,MMULT(SEQUENCE(1,m,1,0),$C$11:$W$22),"{"&amp;TEXTJOIN(", ",TRUE,IF(s&gt;0,$C$10:$W$10&amp;": "&amp;ROUND(s,2),""))&amp;"}")))</f>
        <v/>
      </c>
      <c r="AM9" s="159" t="str">
        <f t="array" ref="AM9">IF($AH9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9),AVERAGEIFS(data_event_accrual!$K:$K,data_event_accrual!$A:$A,"Jigsaw",data_event_accrual!$B:$B,$AI$3,data_event_accrual!$C:$C,"20-39",data_event_accrual!$E:$E,$AH9),AVERAGEIFS(data_event_accrual!$J:$J,data_event_accrual!$A:$A,"Jigsaw",data_event_accrual!$B:$B,$AI$3,data_event_accrual!$C:$C,"20-39",data_event_accrual!$E:$E,$AH9),AVERAGEIFS(data_event_accrual!$L:$L,data_event_accrual!$A:$A,"Jigsaw",data_event_accrual!$B:$B,$AI$3,data_event_accrual!$C:$C,"20-39",data_event_accrual!$E:$E,$AH9)),1)),COUNTIF($B$11:$B$22,"&lt;="&amp;bal*shr)))</f>
        <v/>
      </c>
      <c r="AN9" s="160" t="str">
        <f t="array" ref="AN9">IF($AH9="","",IF(AM9=0,"{}",LET(m,AM9,s,MMULT(SEQUENCE(1,m,1,0),$C$11:$W$22),"{"&amp;TEXTJOIN(", ",TRUE,IF(s&gt;0,$C$10:$W$10&amp;": "&amp;ROUND(s,2),""))&amp;"}")))</f>
        <v/>
      </c>
      <c r="AO9" s="159" t="str">
        <f t="array" ref="AO9">IF($AH9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9),AVERAGEIFS(data_event_accrual!$K:$K,data_event_accrual!$A:$A,"Jigsaw",data_event_accrual!$B:$B,$AI$3,data_event_accrual!$C:$C,"40-99",data_event_accrual!$E:$E,$AH9),AVERAGEIFS(data_event_accrual!$J:$J,data_event_accrual!$A:$A,"Jigsaw",data_event_accrual!$B:$B,$AI$3,data_event_accrual!$C:$C,"40-99",data_event_accrual!$E:$E,$AH9),AVERAGEIFS(data_event_accrual!$L:$L,data_event_accrual!$A:$A,"Jigsaw",data_event_accrual!$B:$B,$AI$3,data_event_accrual!$C:$C,"40-99",data_event_accrual!$E:$E,$AH9)),1)),COUNTIF($B$11:$B$22,"&lt;="&amp;bal*shr)))</f>
        <v/>
      </c>
      <c r="AP9" s="160" t="str">
        <f t="array" ref="AP9">IF($AH9="","",IF(AO9=0,"{}",LET(m,AO9,s,MMULT(SEQUENCE(1,m,1,0),$C$11:$W$22),"{"&amp;TEXTJOIN(", ",TRUE,IF(s&gt;0,$C$10:$W$10&amp;": "&amp;ROUND(s,2),""))&amp;"}")))</f>
        <v/>
      </c>
      <c r="AQ9" s="159" t="str">
        <f t="array" ref="AQ9">IF($AH9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9),AVERAGEIFS(data_event_accrual!$K:$K,data_event_accrual!$A:$A,"Jigsaw",data_event_accrual!$B:$B,$AI$3,data_event_accrual!$C:$C,"100+",data_event_accrual!$E:$E,$AH9),AVERAGEIFS(data_event_accrual!$J:$J,data_event_accrual!$A:$A,"Jigsaw",data_event_accrual!$B:$B,$AI$3,data_event_accrual!$C:$C,"100+",data_event_accrual!$E:$E,$AH9),AVERAGEIFS(data_event_accrual!$L:$L,data_event_accrual!$A:$A,"Jigsaw",data_event_accrual!$B:$B,$AI$3,data_event_accrual!$C:$C,"100+",data_event_accrual!$E:$E,$AH9)),1)),COUNTIF($B$11:$B$22,"&lt;="&amp;bal*shr)))</f>
        <v/>
      </c>
      <c r="AR9" s="160" t="str">
        <f t="array" ref="AR9">IF($AH9="","",IF(AQ9=0,"{}",LET(m,AQ9,s,MMULT(SEQUENCE(1,m,1,0),$C$11:$W$22),"{"&amp;TEXTJOIN(", ",TRUE,IF(s&gt;0,$C$10:$W$10&amp;": "&amp;ROUND(s,2),""))&amp;"}")))</f>
        <v/>
      </c>
    </row>
    <row r="10" ht="90.0" customHeight="1">
      <c r="A10" s="161" t="s">
        <v>157</v>
      </c>
      <c r="B10" s="162" t="s">
        <v>158</v>
      </c>
      <c r="C10" s="163" t="s">
        <v>82</v>
      </c>
      <c r="D10" s="164" t="s">
        <v>68</v>
      </c>
      <c r="E10" s="164" t="s">
        <v>103</v>
      </c>
      <c r="F10" s="164" t="s">
        <v>69</v>
      </c>
      <c r="G10" s="164" t="s">
        <v>70</v>
      </c>
      <c r="H10" s="164" t="s">
        <v>71</v>
      </c>
      <c r="I10" s="164" t="s">
        <v>72</v>
      </c>
      <c r="J10" s="164" t="s">
        <v>73</v>
      </c>
      <c r="K10" s="164" t="s">
        <v>74</v>
      </c>
      <c r="L10" s="164" t="s">
        <v>75</v>
      </c>
      <c r="M10" s="164" t="s">
        <v>76</v>
      </c>
      <c r="N10" s="164" t="s">
        <v>77</v>
      </c>
      <c r="O10" s="164" t="s">
        <v>78</v>
      </c>
      <c r="P10" s="164" t="s">
        <v>118</v>
      </c>
      <c r="Q10" s="164" t="s">
        <v>104</v>
      </c>
      <c r="R10" s="164" t="s">
        <v>105</v>
      </c>
      <c r="S10" s="164" t="s">
        <v>106</v>
      </c>
      <c r="T10" s="164" t="s">
        <v>107</v>
      </c>
      <c r="U10" s="164" t="s">
        <v>108</v>
      </c>
      <c r="V10" s="164" t="s">
        <v>109</v>
      </c>
      <c r="W10" s="164" t="s">
        <v>110</v>
      </c>
      <c r="AH10" s="158" t="str">
        <f>IF(5&lt;=$B$3,5,"")</f>
        <v/>
      </c>
      <c r="AI10" s="159" t="str">
        <f t="array" ref="AI10">IF($AH10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10),AVERAGEIFS(data_event_accrual!$K:$K,data_event_accrual!$A:$A,"Jigsaw",data_event_accrual!$B:$B,$AI$3,data_event_accrual!$C:$C,"0-9",data_event_accrual!$E:$E,$AH10),AVERAGEIFS(data_event_accrual!$J:$J,data_event_accrual!$A:$A,"Jigsaw",data_event_accrual!$B:$B,$AI$3,data_event_accrual!$C:$C,"0-9",data_event_accrual!$E:$E,$AH10),AVERAGEIFS(data_event_accrual!$L:$L,data_event_accrual!$A:$A,"Jigsaw",data_event_accrual!$B:$B,$AI$3,data_event_accrual!$C:$C,"0-9",data_event_accrual!$E:$E,$AH10)),1)),COUNTIF($B$11:$B$22,"&lt;="&amp;bal*shr)))</f>
        <v/>
      </c>
      <c r="AJ10" s="160" t="str">
        <f t="array" ref="AJ10">IF($AH10="","",IF(AI10=0,"{}",LET(m,AI10,s,MMULT(SEQUENCE(1,m,1,0),$C$11:$W$22),"{"&amp;TEXTJOIN(", ",TRUE,IF(s&gt;0,$C$10:$W$10&amp;": "&amp;ROUND(s,2),""))&amp;"}")))</f>
        <v/>
      </c>
      <c r="AK10" s="159" t="str">
        <f t="array" ref="AK10">IF($AH10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10),AVERAGEIFS(data_event_accrual!$K:$K,data_event_accrual!$A:$A,"Jigsaw",data_event_accrual!$B:$B,$AI$3,data_event_accrual!$C:$C,"10-19",data_event_accrual!$E:$E,$AH10),AVERAGEIFS(data_event_accrual!$J:$J,data_event_accrual!$A:$A,"Jigsaw",data_event_accrual!$B:$B,$AI$3,data_event_accrual!$C:$C,"10-19",data_event_accrual!$E:$E,$AH10),AVERAGEIFS(data_event_accrual!$L:$L,data_event_accrual!$A:$A,"Jigsaw",data_event_accrual!$B:$B,$AI$3,data_event_accrual!$C:$C,"10-19",data_event_accrual!$E:$E,$AH10)),1)),COUNTIF($B$11:$B$22,"&lt;="&amp;bal*shr)))</f>
        <v/>
      </c>
      <c r="AL10" s="160" t="str">
        <f t="array" ref="AL10">IF($AH10="","",IF(AK10=0,"{}",LET(m,AK10,s,MMULT(SEQUENCE(1,m,1,0),$C$11:$W$22),"{"&amp;TEXTJOIN(", ",TRUE,IF(s&gt;0,$C$10:$W$10&amp;": "&amp;ROUND(s,2),""))&amp;"}")))</f>
        <v/>
      </c>
      <c r="AM10" s="159" t="str">
        <f t="array" ref="AM10">IF($AH10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10),AVERAGEIFS(data_event_accrual!$K:$K,data_event_accrual!$A:$A,"Jigsaw",data_event_accrual!$B:$B,$AI$3,data_event_accrual!$C:$C,"20-39",data_event_accrual!$E:$E,$AH10),AVERAGEIFS(data_event_accrual!$J:$J,data_event_accrual!$A:$A,"Jigsaw",data_event_accrual!$B:$B,$AI$3,data_event_accrual!$C:$C,"20-39",data_event_accrual!$E:$E,$AH10),AVERAGEIFS(data_event_accrual!$L:$L,data_event_accrual!$A:$A,"Jigsaw",data_event_accrual!$B:$B,$AI$3,data_event_accrual!$C:$C,"20-39",data_event_accrual!$E:$E,$AH10)),1)),COUNTIF($B$11:$B$22,"&lt;="&amp;bal*shr)))</f>
        <v/>
      </c>
      <c r="AN10" s="160" t="str">
        <f t="array" ref="AN10">IF($AH10="","",IF(AM10=0,"{}",LET(m,AM10,s,MMULT(SEQUENCE(1,m,1,0),$C$11:$W$22),"{"&amp;TEXTJOIN(", ",TRUE,IF(s&gt;0,$C$10:$W$10&amp;": "&amp;ROUND(s,2),""))&amp;"}")))</f>
        <v/>
      </c>
      <c r="AO10" s="159" t="str">
        <f t="array" ref="AO10">IF($AH10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10),AVERAGEIFS(data_event_accrual!$K:$K,data_event_accrual!$A:$A,"Jigsaw",data_event_accrual!$B:$B,$AI$3,data_event_accrual!$C:$C,"40-99",data_event_accrual!$E:$E,$AH10),AVERAGEIFS(data_event_accrual!$J:$J,data_event_accrual!$A:$A,"Jigsaw",data_event_accrual!$B:$B,$AI$3,data_event_accrual!$C:$C,"40-99",data_event_accrual!$E:$E,$AH10),AVERAGEIFS(data_event_accrual!$L:$L,data_event_accrual!$A:$A,"Jigsaw",data_event_accrual!$B:$B,$AI$3,data_event_accrual!$C:$C,"40-99",data_event_accrual!$E:$E,$AH10)),1)),COUNTIF($B$11:$B$22,"&lt;="&amp;bal*shr)))</f>
        <v/>
      </c>
      <c r="AP10" s="160" t="str">
        <f t="array" ref="AP10">IF($AH10="","",IF(AO10=0,"{}",LET(m,AO10,s,MMULT(SEQUENCE(1,m,1,0),$C$11:$W$22),"{"&amp;TEXTJOIN(", ",TRUE,IF(s&gt;0,$C$10:$W$10&amp;": "&amp;ROUND(s,2),""))&amp;"}")))</f>
        <v/>
      </c>
      <c r="AQ10" s="159" t="str">
        <f t="array" ref="AQ10">IF($AH10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10),AVERAGEIFS(data_event_accrual!$K:$K,data_event_accrual!$A:$A,"Jigsaw",data_event_accrual!$B:$B,$AI$3,data_event_accrual!$C:$C,"100+",data_event_accrual!$E:$E,$AH10),AVERAGEIFS(data_event_accrual!$J:$J,data_event_accrual!$A:$A,"Jigsaw",data_event_accrual!$B:$B,$AI$3,data_event_accrual!$C:$C,"100+",data_event_accrual!$E:$E,$AH10),AVERAGEIFS(data_event_accrual!$L:$L,data_event_accrual!$A:$A,"Jigsaw",data_event_accrual!$B:$B,$AI$3,data_event_accrual!$C:$C,"100+",data_event_accrual!$E:$E,$AH10)),1)),COUNTIF($B$11:$B$22,"&lt;="&amp;bal*shr)))</f>
        <v/>
      </c>
      <c r="AR10" s="160" t="str">
        <f t="array" ref="AR10">IF($AH10="","",IF(AQ10=0,"{}",LET(m,AQ10,s,MMULT(SEQUENCE(1,m,1,0),$C$11:$W$22),"{"&amp;TEXTJOIN(", ",TRUE,IF(s&gt;0,$C$10:$W$10&amp;": "&amp;ROUND(s,2),""))&amp;"}")))</f>
        <v/>
      </c>
    </row>
    <row r="11">
      <c r="A11" s="165">
        <v>1.0</v>
      </c>
      <c r="B11" s="166">
        <v>30.0</v>
      </c>
      <c r="C11" s="167">
        <v>0.0</v>
      </c>
      <c r="D11" s="165">
        <v>0.0</v>
      </c>
      <c r="E11" s="165">
        <v>0.0</v>
      </c>
      <c r="F11" s="165">
        <v>0.0</v>
      </c>
      <c r="G11" s="165">
        <v>1.0</v>
      </c>
      <c r="H11" s="165">
        <v>0.0</v>
      </c>
      <c r="I11" s="165">
        <v>0.0</v>
      </c>
      <c r="J11" s="165">
        <v>0.0</v>
      </c>
      <c r="K11" s="165">
        <v>0.0</v>
      </c>
      <c r="L11" s="165">
        <v>0.0</v>
      </c>
      <c r="M11" s="165">
        <v>0.0</v>
      </c>
      <c r="N11" s="165">
        <v>0.0</v>
      </c>
      <c r="O11" s="165">
        <v>0.0</v>
      </c>
      <c r="P11" s="165">
        <v>0.0</v>
      </c>
      <c r="Q11" s="165">
        <v>0.0</v>
      </c>
      <c r="R11" s="165">
        <v>0.0</v>
      </c>
      <c r="S11" s="165">
        <v>0.0</v>
      </c>
      <c r="T11" s="165">
        <v>0.0</v>
      </c>
      <c r="U11" s="165">
        <v>0.0</v>
      </c>
      <c r="V11" s="165">
        <v>0.0</v>
      </c>
      <c r="W11" s="165">
        <v>0.0</v>
      </c>
      <c r="AH11" s="158" t="str">
        <f>IF(6&lt;=$B$3,6,"")</f>
        <v/>
      </c>
      <c r="AI11" s="159" t="str">
        <f t="array" ref="AI11">IF($AH11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11),AVERAGEIFS(data_event_accrual!$K:$K,data_event_accrual!$A:$A,"Jigsaw",data_event_accrual!$B:$B,$AI$3,data_event_accrual!$C:$C,"0-9",data_event_accrual!$E:$E,$AH11),AVERAGEIFS(data_event_accrual!$J:$J,data_event_accrual!$A:$A,"Jigsaw",data_event_accrual!$B:$B,$AI$3,data_event_accrual!$C:$C,"0-9",data_event_accrual!$E:$E,$AH11),AVERAGEIFS(data_event_accrual!$L:$L,data_event_accrual!$A:$A,"Jigsaw",data_event_accrual!$B:$B,$AI$3,data_event_accrual!$C:$C,"0-9",data_event_accrual!$E:$E,$AH11)),1)),COUNTIF($B$11:$B$22,"&lt;="&amp;bal*shr)))</f>
        <v/>
      </c>
      <c r="AJ11" s="160" t="str">
        <f t="array" ref="AJ11">IF($AH11="","",IF(AI11=0,"{}",LET(m,AI11,s,MMULT(SEQUENCE(1,m,1,0),$C$11:$W$22),"{"&amp;TEXTJOIN(", ",TRUE,IF(s&gt;0,$C$10:$W$10&amp;": "&amp;ROUND(s,2),""))&amp;"}")))</f>
        <v/>
      </c>
      <c r="AK11" s="159" t="str">
        <f t="array" ref="AK11">IF($AH11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11),AVERAGEIFS(data_event_accrual!$K:$K,data_event_accrual!$A:$A,"Jigsaw",data_event_accrual!$B:$B,$AI$3,data_event_accrual!$C:$C,"10-19",data_event_accrual!$E:$E,$AH11),AVERAGEIFS(data_event_accrual!$J:$J,data_event_accrual!$A:$A,"Jigsaw",data_event_accrual!$B:$B,$AI$3,data_event_accrual!$C:$C,"10-19",data_event_accrual!$E:$E,$AH11),AVERAGEIFS(data_event_accrual!$L:$L,data_event_accrual!$A:$A,"Jigsaw",data_event_accrual!$B:$B,$AI$3,data_event_accrual!$C:$C,"10-19",data_event_accrual!$E:$E,$AH11)),1)),COUNTIF($B$11:$B$22,"&lt;="&amp;bal*shr)))</f>
        <v/>
      </c>
      <c r="AL11" s="160" t="str">
        <f t="array" ref="AL11">IF($AH11="","",IF(AK11=0,"{}",LET(m,AK11,s,MMULT(SEQUENCE(1,m,1,0),$C$11:$W$22),"{"&amp;TEXTJOIN(", ",TRUE,IF(s&gt;0,$C$10:$W$10&amp;": "&amp;ROUND(s,2),""))&amp;"}")))</f>
        <v/>
      </c>
      <c r="AM11" s="159" t="str">
        <f t="array" ref="AM11">IF($AH11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11),AVERAGEIFS(data_event_accrual!$K:$K,data_event_accrual!$A:$A,"Jigsaw",data_event_accrual!$B:$B,$AI$3,data_event_accrual!$C:$C,"20-39",data_event_accrual!$E:$E,$AH11),AVERAGEIFS(data_event_accrual!$J:$J,data_event_accrual!$A:$A,"Jigsaw",data_event_accrual!$B:$B,$AI$3,data_event_accrual!$C:$C,"20-39",data_event_accrual!$E:$E,$AH11),AVERAGEIFS(data_event_accrual!$L:$L,data_event_accrual!$A:$A,"Jigsaw",data_event_accrual!$B:$B,$AI$3,data_event_accrual!$C:$C,"20-39",data_event_accrual!$E:$E,$AH11)),1)),COUNTIF($B$11:$B$22,"&lt;="&amp;bal*shr)))</f>
        <v/>
      </c>
      <c r="AN11" s="160" t="str">
        <f t="array" ref="AN11">IF($AH11="","",IF(AM11=0,"{}",LET(m,AM11,s,MMULT(SEQUENCE(1,m,1,0),$C$11:$W$22),"{"&amp;TEXTJOIN(", ",TRUE,IF(s&gt;0,$C$10:$W$10&amp;": "&amp;ROUND(s,2),""))&amp;"}")))</f>
        <v/>
      </c>
      <c r="AO11" s="159" t="str">
        <f t="array" ref="AO11">IF($AH11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11),AVERAGEIFS(data_event_accrual!$K:$K,data_event_accrual!$A:$A,"Jigsaw",data_event_accrual!$B:$B,$AI$3,data_event_accrual!$C:$C,"40-99",data_event_accrual!$E:$E,$AH11),AVERAGEIFS(data_event_accrual!$J:$J,data_event_accrual!$A:$A,"Jigsaw",data_event_accrual!$B:$B,$AI$3,data_event_accrual!$C:$C,"40-99",data_event_accrual!$E:$E,$AH11),AVERAGEIFS(data_event_accrual!$L:$L,data_event_accrual!$A:$A,"Jigsaw",data_event_accrual!$B:$B,$AI$3,data_event_accrual!$C:$C,"40-99",data_event_accrual!$E:$E,$AH11)),1)),COUNTIF($B$11:$B$22,"&lt;="&amp;bal*shr)))</f>
        <v/>
      </c>
      <c r="AP11" s="160" t="str">
        <f t="array" ref="AP11">IF($AH11="","",IF(AO11=0,"{}",LET(m,AO11,s,MMULT(SEQUENCE(1,m,1,0),$C$11:$W$22),"{"&amp;TEXTJOIN(", ",TRUE,IF(s&gt;0,$C$10:$W$10&amp;": "&amp;ROUND(s,2),""))&amp;"}")))</f>
        <v/>
      </c>
      <c r="AQ11" s="159" t="str">
        <f t="array" ref="AQ11">IF($AH11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11),AVERAGEIFS(data_event_accrual!$K:$K,data_event_accrual!$A:$A,"Jigsaw",data_event_accrual!$B:$B,$AI$3,data_event_accrual!$C:$C,"100+",data_event_accrual!$E:$E,$AH11),AVERAGEIFS(data_event_accrual!$J:$J,data_event_accrual!$A:$A,"Jigsaw",data_event_accrual!$B:$B,$AI$3,data_event_accrual!$C:$C,"100+",data_event_accrual!$E:$E,$AH11),AVERAGEIFS(data_event_accrual!$L:$L,data_event_accrual!$A:$A,"Jigsaw",data_event_accrual!$B:$B,$AI$3,data_event_accrual!$C:$C,"100+",data_event_accrual!$E:$E,$AH11)),1)),COUNTIF($B$11:$B$22,"&lt;="&amp;bal*shr)))</f>
        <v/>
      </c>
      <c r="AR11" s="160" t="str">
        <f t="array" ref="AR11">IF($AH11="","",IF(AQ11=0,"{}",LET(m,AQ11,s,MMULT(SEQUENCE(1,m,1,0),$C$11:$W$22),"{"&amp;TEXTJOIN(", ",TRUE,IF(s&gt;0,$C$10:$W$10&amp;": "&amp;ROUND(s,2),""))&amp;"}")))</f>
        <v/>
      </c>
    </row>
    <row r="12">
      <c r="A12" s="165">
        <v>2.0</v>
      </c>
      <c r="B12" s="166">
        <v>80.0</v>
      </c>
      <c r="C12" s="167">
        <v>0.0</v>
      </c>
      <c r="D12" s="165">
        <v>0.0</v>
      </c>
      <c r="E12" s="165">
        <v>0.0</v>
      </c>
      <c r="F12" s="165">
        <v>0.0</v>
      </c>
      <c r="G12" s="165">
        <v>0.0</v>
      </c>
      <c r="H12" s="165">
        <v>0.0</v>
      </c>
      <c r="I12" s="165">
        <v>0.0</v>
      </c>
      <c r="J12" s="165">
        <v>0.0</v>
      </c>
      <c r="K12" s="165">
        <v>0.0</v>
      </c>
      <c r="L12" s="165">
        <v>0.0</v>
      </c>
      <c r="M12" s="165">
        <v>10.0</v>
      </c>
      <c r="N12" s="165">
        <v>0.0</v>
      </c>
      <c r="O12" s="165">
        <v>0.0</v>
      </c>
      <c r="P12" s="165">
        <v>0.0</v>
      </c>
      <c r="Q12" s="165">
        <v>0.0</v>
      </c>
      <c r="R12" s="165">
        <v>0.0</v>
      </c>
      <c r="S12" s="165">
        <v>0.0</v>
      </c>
      <c r="T12" s="165">
        <v>0.0</v>
      </c>
      <c r="U12" s="165">
        <v>0.0</v>
      </c>
      <c r="V12" s="165">
        <v>0.0</v>
      </c>
      <c r="W12" s="165">
        <v>0.0</v>
      </c>
      <c r="AH12" s="158" t="str">
        <f>IF(7&lt;=$B$3,7,"")</f>
        <v/>
      </c>
      <c r="AI12" s="159" t="str">
        <f t="array" ref="AI12">IF($AH12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12),AVERAGEIFS(data_event_accrual!$K:$K,data_event_accrual!$A:$A,"Jigsaw",data_event_accrual!$B:$B,$AI$3,data_event_accrual!$C:$C,"0-9",data_event_accrual!$E:$E,$AH12),AVERAGEIFS(data_event_accrual!$J:$J,data_event_accrual!$A:$A,"Jigsaw",data_event_accrual!$B:$B,$AI$3,data_event_accrual!$C:$C,"0-9",data_event_accrual!$E:$E,$AH12),AVERAGEIFS(data_event_accrual!$L:$L,data_event_accrual!$A:$A,"Jigsaw",data_event_accrual!$B:$B,$AI$3,data_event_accrual!$C:$C,"0-9",data_event_accrual!$E:$E,$AH12)),1)),COUNTIF($B$11:$B$22,"&lt;="&amp;bal*shr)))</f>
        <v/>
      </c>
      <c r="AJ12" s="160" t="str">
        <f t="array" ref="AJ12">IF($AH12="","",IF(AI12=0,"{}",LET(m,AI12,s,MMULT(SEQUENCE(1,m,1,0),$C$11:$W$22),"{"&amp;TEXTJOIN(", ",TRUE,IF(s&gt;0,$C$10:$W$10&amp;": "&amp;ROUND(s,2),""))&amp;"}")))</f>
        <v/>
      </c>
      <c r="AK12" s="159" t="str">
        <f t="array" ref="AK12">IF($AH12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12),AVERAGEIFS(data_event_accrual!$K:$K,data_event_accrual!$A:$A,"Jigsaw",data_event_accrual!$B:$B,$AI$3,data_event_accrual!$C:$C,"10-19",data_event_accrual!$E:$E,$AH12),AVERAGEIFS(data_event_accrual!$J:$J,data_event_accrual!$A:$A,"Jigsaw",data_event_accrual!$B:$B,$AI$3,data_event_accrual!$C:$C,"10-19",data_event_accrual!$E:$E,$AH12),AVERAGEIFS(data_event_accrual!$L:$L,data_event_accrual!$A:$A,"Jigsaw",data_event_accrual!$B:$B,$AI$3,data_event_accrual!$C:$C,"10-19",data_event_accrual!$E:$E,$AH12)),1)),COUNTIF($B$11:$B$22,"&lt;="&amp;bal*shr)))</f>
        <v/>
      </c>
      <c r="AL12" s="160" t="str">
        <f t="array" ref="AL12">IF($AH12="","",IF(AK12=0,"{}",LET(m,AK12,s,MMULT(SEQUENCE(1,m,1,0),$C$11:$W$22),"{"&amp;TEXTJOIN(", ",TRUE,IF(s&gt;0,$C$10:$W$10&amp;": "&amp;ROUND(s,2),""))&amp;"}")))</f>
        <v/>
      </c>
      <c r="AM12" s="159" t="str">
        <f t="array" ref="AM12">IF($AH12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12),AVERAGEIFS(data_event_accrual!$K:$K,data_event_accrual!$A:$A,"Jigsaw",data_event_accrual!$B:$B,$AI$3,data_event_accrual!$C:$C,"20-39",data_event_accrual!$E:$E,$AH12),AVERAGEIFS(data_event_accrual!$J:$J,data_event_accrual!$A:$A,"Jigsaw",data_event_accrual!$B:$B,$AI$3,data_event_accrual!$C:$C,"20-39",data_event_accrual!$E:$E,$AH12),AVERAGEIFS(data_event_accrual!$L:$L,data_event_accrual!$A:$A,"Jigsaw",data_event_accrual!$B:$B,$AI$3,data_event_accrual!$C:$C,"20-39",data_event_accrual!$E:$E,$AH12)),1)),COUNTIF($B$11:$B$22,"&lt;="&amp;bal*shr)))</f>
        <v/>
      </c>
      <c r="AN12" s="160" t="str">
        <f t="array" ref="AN12">IF($AH12="","",IF(AM12=0,"{}",LET(m,AM12,s,MMULT(SEQUENCE(1,m,1,0),$C$11:$W$22),"{"&amp;TEXTJOIN(", ",TRUE,IF(s&gt;0,$C$10:$W$10&amp;": "&amp;ROUND(s,2),""))&amp;"}")))</f>
        <v/>
      </c>
      <c r="AO12" s="159" t="str">
        <f t="array" ref="AO12">IF($AH12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12),AVERAGEIFS(data_event_accrual!$K:$K,data_event_accrual!$A:$A,"Jigsaw",data_event_accrual!$B:$B,$AI$3,data_event_accrual!$C:$C,"40-99",data_event_accrual!$E:$E,$AH12),AVERAGEIFS(data_event_accrual!$J:$J,data_event_accrual!$A:$A,"Jigsaw",data_event_accrual!$B:$B,$AI$3,data_event_accrual!$C:$C,"40-99",data_event_accrual!$E:$E,$AH12),AVERAGEIFS(data_event_accrual!$L:$L,data_event_accrual!$A:$A,"Jigsaw",data_event_accrual!$B:$B,$AI$3,data_event_accrual!$C:$C,"40-99",data_event_accrual!$E:$E,$AH12)),1)),COUNTIF($B$11:$B$22,"&lt;="&amp;bal*shr)))</f>
        <v/>
      </c>
      <c r="AP12" s="160" t="str">
        <f t="array" ref="AP12">IF($AH12="","",IF(AO12=0,"{}",LET(m,AO12,s,MMULT(SEQUENCE(1,m,1,0),$C$11:$W$22),"{"&amp;TEXTJOIN(", ",TRUE,IF(s&gt;0,$C$10:$W$10&amp;": "&amp;ROUND(s,2),""))&amp;"}")))</f>
        <v/>
      </c>
      <c r="AQ12" s="159" t="str">
        <f t="array" ref="AQ12">IF($AH12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12),AVERAGEIFS(data_event_accrual!$K:$K,data_event_accrual!$A:$A,"Jigsaw",data_event_accrual!$B:$B,$AI$3,data_event_accrual!$C:$C,"100+",data_event_accrual!$E:$E,$AH12),AVERAGEIFS(data_event_accrual!$J:$J,data_event_accrual!$A:$A,"Jigsaw",data_event_accrual!$B:$B,$AI$3,data_event_accrual!$C:$C,"100+",data_event_accrual!$E:$E,$AH12),AVERAGEIFS(data_event_accrual!$L:$L,data_event_accrual!$A:$A,"Jigsaw",data_event_accrual!$B:$B,$AI$3,data_event_accrual!$C:$C,"100+",data_event_accrual!$E:$E,$AH12)),1)),COUNTIF($B$11:$B$22,"&lt;="&amp;bal*shr)))</f>
        <v/>
      </c>
      <c r="AR12" s="160" t="str">
        <f t="array" ref="AR12">IF($AH12="","",IF(AQ12=0,"{}",LET(m,AQ12,s,MMULT(SEQUENCE(1,m,1,0),$C$11:$W$22),"{"&amp;TEXTJOIN(", ",TRUE,IF(s&gt;0,$C$10:$W$10&amp;": "&amp;ROUND(s,2),""))&amp;"}")))</f>
        <v/>
      </c>
    </row>
    <row r="13">
      <c r="A13" s="165">
        <v>3.0</v>
      </c>
      <c r="B13" s="166">
        <v>150.0</v>
      </c>
      <c r="C13" s="167">
        <v>0.0</v>
      </c>
      <c r="D13" s="165">
        <v>0.0</v>
      </c>
      <c r="E13" s="165">
        <v>0.0</v>
      </c>
      <c r="F13" s="165">
        <v>0.0</v>
      </c>
      <c r="G13" s="165">
        <v>0.0</v>
      </c>
      <c r="H13" s="165">
        <v>0.0</v>
      </c>
      <c r="I13" s="165">
        <v>0.0</v>
      </c>
      <c r="J13" s="165">
        <v>0.0</v>
      </c>
      <c r="K13" s="165">
        <v>0.0</v>
      </c>
      <c r="L13" s="165">
        <v>0.0</v>
      </c>
      <c r="M13" s="165">
        <v>0.0</v>
      </c>
      <c r="N13" s="165">
        <v>10.0</v>
      </c>
      <c r="O13" s="165">
        <v>0.0</v>
      </c>
      <c r="P13" s="165">
        <v>0.0</v>
      </c>
      <c r="Q13" s="165">
        <v>0.0</v>
      </c>
      <c r="R13" s="165">
        <v>0.0</v>
      </c>
      <c r="S13" s="165">
        <v>0.0</v>
      </c>
      <c r="T13" s="165">
        <v>0.0</v>
      </c>
      <c r="U13" s="165">
        <v>0.0</v>
      </c>
      <c r="V13" s="165">
        <v>0.0</v>
      </c>
      <c r="W13" s="165">
        <v>0.0</v>
      </c>
    </row>
    <row r="14">
      <c r="A14" s="165">
        <v>4.0</v>
      </c>
      <c r="B14" s="166">
        <v>250.0</v>
      </c>
      <c r="C14" s="167">
        <v>0.0</v>
      </c>
      <c r="D14" s="165">
        <v>0.0</v>
      </c>
      <c r="E14" s="165">
        <v>0.0</v>
      </c>
      <c r="F14" s="165">
        <v>0.0</v>
      </c>
      <c r="G14" s="165">
        <v>0.0</v>
      </c>
      <c r="H14" s="165">
        <v>0.0</v>
      </c>
      <c r="I14" s="165">
        <v>0.0</v>
      </c>
      <c r="J14" s="165">
        <v>0.0</v>
      </c>
      <c r="K14" s="165">
        <v>0.0</v>
      </c>
      <c r="L14" s="165">
        <v>30.0</v>
      </c>
      <c r="M14" s="165">
        <v>0.0</v>
      </c>
      <c r="N14" s="165">
        <v>0.0</v>
      </c>
      <c r="O14" s="165">
        <v>0.0</v>
      </c>
      <c r="P14" s="165">
        <v>0.0</v>
      </c>
      <c r="Q14" s="165">
        <v>0.0</v>
      </c>
      <c r="R14" s="165">
        <v>0.0</v>
      </c>
      <c r="S14" s="165">
        <v>0.0</v>
      </c>
      <c r="T14" s="165">
        <v>0.0</v>
      </c>
      <c r="U14" s="165">
        <v>0.0</v>
      </c>
      <c r="V14" s="165">
        <v>0.0</v>
      </c>
      <c r="W14" s="165">
        <v>0.0</v>
      </c>
    </row>
    <row r="15">
      <c r="A15" s="165">
        <v>5.0</v>
      </c>
      <c r="B15" s="166">
        <v>370.0</v>
      </c>
      <c r="C15" s="167">
        <v>25.0</v>
      </c>
      <c r="D15" s="165">
        <v>0.0</v>
      </c>
      <c r="E15" s="165">
        <v>0.0</v>
      </c>
      <c r="F15" s="165">
        <v>0.0</v>
      </c>
      <c r="G15" s="165">
        <v>0.0</v>
      </c>
      <c r="H15" s="165">
        <v>0.0</v>
      </c>
      <c r="I15" s="165">
        <v>0.0</v>
      </c>
      <c r="J15" s="165">
        <v>0.0</v>
      </c>
      <c r="K15" s="165">
        <v>0.0</v>
      </c>
      <c r="L15" s="165">
        <v>0.0</v>
      </c>
      <c r="M15" s="165">
        <v>0.0</v>
      </c>
      <c r="N15" s="165">
        <v>0.0</v>
      </c>
      <c r="O15" s="165">
        <v>0.0</v>
      </c>
      <c r="P15" s="165">
        <v>0.0</v>
      </c>
      <c r="Q15" s="165">
        <v>0.0</v>
      </c>
      <c r="R15" s="165">
        <v>0.0</v>
      </c>
      <c r="S15" s="165">
        <v>0.0</v>
      </c>
      <c r="T15" s="165">
        <v>0.0</v>
      </c>
      <c r="U15" s="165">
        <v>0.0</v>
      </c>
      <c r="V15" s="165">
        <v>0.0</v>
      </c>
      <c r="W15" s="165">
        <v>0.0</v>
      </c>
    </row>
    <row r="16">
      <c r="A16" s="165">
        <v>6.0</v>
      </c>
      <c r="B16" s="166">
        <v>520.0</v>
      </c>
      <c r="C16" s="167">
        <v>0.0</v>
      </c>
      <c r="D16" s="165">
        <v>0.0</v>
      </c>
      <c r="E16" s="165">
        <v>0.0</v>
      </c>
      <c r="F16" s="165">
        <v>1.0</v>
      </c>
      <c r="G16" s="165">
        <v>0.0</v>
      </c>
      <c r="H16" s="165">
        <v>0.0</v>
      </c>
      <c r="I16" s="165">
        <v>0.0</v>
      </c>
      <c r="J16" s="165">
        <v>0.0</v>
      </c>
      <c r="K16" s="165">
        <v>0.0</v>
      </c>
      <c r="L16" s="165">
        <v>0.0</v>
      </c>
      <c r="M16" s="165">
        <v>0.0</v>
      </c>
      <c r="N16" s="165">
        <v>0.0</v>
      </c>
      <c r="O16" s="165">
        <v>10.0</v>
      </c>
      <c r="P16" s="165">
        <v>0.0</v>
      </c>
      <c r="Q16" s="165">
        <v>0.0</v>
      </c>
      <c r="R16" s="165">
        <v>0.0</v>
      </c>
      <c r="S16" s="165">
        <v>0.0</v>
      </c>
      <c r="T16" s="165">
        <v>0.0</v>
      </c>
      <c r="U16" s="165">
        <v>0.0</v>
      </c>
      <c r="V16" s="165">
        <v>0.0</v>
      </c>
      <c r="W16" s="165">
        <v>0.0</v>
      </c>
    </row>
    <row r="17">
      <c r="A17" s="165">
        <v>7.0</v>
      </c>
      <c r="B17" s="166">
        <v>690.0</v>
      </c>
      <c r="C17" s="167">
        <v>0.0</v>
      </c>
      <c r="D17" s="165">
        <v>0.0</v>
      </c>
      <c r="E17" s="165">
        <v>0.0</v>
      </c>
      <c r="F17" s="165">
        <v>0.0</v>
      </c>
      <c r="G17" s="165">
        <v>0.0</v>
      </c>
      <c r="H17" s="165">
        <v>0.0</v>
      </c>
      <c r="I17" s="165">
        <v>0.0</v>
      </c>
      <c r="J17" s="165">
        <v>0.0</v>
      </c>
      <c r="K17" s="165">
        <v>0.0</v>
      </c>
      <c r="L17" s="165">
        <v>60.0</v>
      </c>
      <c r="M17" s="165">
        <v>0.0</v>
      </c>
      <c r="N17" s="165">
        <v>0.0</v>
      </c>
      <c r="O17" s="165">
        <v>0.0</v>
      </c>
      <c r="P17" s="165">
        <v>0.0</v>
      </c>
      <c r="Q17" s="165">
        <v>0.0</v>
      </c>
      <c r="R17" s="165">
        <v>0.0</v>
      </c>
      <c r="S17" s="165">
        <v>0.0</v>
      </c>
      <c r="T17" s="165">
        <v>0.0</v>
      </c>
      <c r="U17" s="165">
        <v>0.0</v>
      </c>
      <c r="V17" s="165">
        <v>0.0</v>
      </c>
      <c r="W17" s="165">
        <v>0.0</v>
      </c>
    </row>
    <row r="18">
      <c r="A18" s="165">
        <v>8.0</v>
      </c>
      <c r="B18" s="166">
        <v>890.0</v>
      </c>
      <c r="C18" s="167">
        <v>0.0</v>
      </c>
      <c r="D18" s="165">
        <v>0.0</v>
      </c>
      <c r="E18" s="165">
        <v>0.0</v>
      </c>
      <c r="F18" s="165">
        <v>0.0</v>
      </c>
      <c r="G18" s="165">
        <v>0.0</v>
      </c>
      <c r="H18" s="165">
        <v>0.0</v>
      </c>
      <c r="I18" s="165">
        <v>0.0</v>
      </c>
      <c r="J18" s="165">
        <v>0.0</v>
      </c>
      <c r="K18" s="165">
        <v>0.0</v>
      </c>
      <c r="L18" s="165">
        <v>0.0</v>
      </c>
      <c r="M18" s="165">
        <v>15.0</v>
      </c>
      <c r="N18" s="165">
        <v>0.0</v>
      </c>
      <c r="O18" s="165">
        <v>0.0</v>
      </c>
      <c r="P18" s="165">
        <v>0.0</v>
      </c>
      <c r="Q18" s="165">
        <v>0.0</v>
      </c>
      <c r="R18" s="165">
        <v>0.0</v>
      </c>
      <c r="S18" s="165">
        <v>0.0</v>
      </c>
      <c r="T18" s="165">
        <v>0.0</v>
      </c>
      <c r="U18" s="165">
        <v>0.0</v>
      </c>
      <c r="V18" s="165">
        <v>0.0</v>
      </c>
      <c r="W18" s="165">
        <v>0.0</v>
      </c>
    </row>
    <row r="19">
      <c r="A19" s="165">
        <v>9.0</v>
      </c>
      <c r="B19" s="166">
        <v>1110.0</v>
      </c>
      <c r="C19" s="167">
        <v>25.0</v>
      </c>
      <c r="D19" s="165">
        <v>0.0</v>
      </c>
      <c r="E19" s="165">
        <v>0.0</v>
      </c>
      <c r="F19" s="165">
        <v>0.0</v>
      </c>
      <c r="G19" s="165">
        <v>0.0</v>
      </c>
      <c r="H19" s="165">
        <v>0.0</v>
      </c>
      <c r="I19" s="165">
        <v>0.0</v>
      </c>
      <c r="J19" s="165">
        <v>0.0</v>
      </c>
      <c r="K19" s="165">
        <v>0.0</v>
      </c>
      <c r="L19" s="165">
        <v>0.0</v>
      </c>
      <c r="M19" s="165">
        <v>0.0</v>
      </c>
      <c r="N19" s="165">
        <v>0.0</v>
      </c>
      <c r="O19" s="165">
        <v>0.0</v>
      </c>
      <c r="P19" s="165">
        <v>0.0</v>
      </c>
      <c r="Q19" s="165">
        <v>0.0</v>
      </c>
      <c r="R19" s="165">
        <v>0.0</v>
      </c>
      <c r="S19" s="165">
        <v>0.0</v>
      </c>
      <c r="T19" s="165">
        <v>0.0</v>
      </c>
      <c r="U19" s="165">
        <v>0.0</v>
      </c>
      <c r="V19" s="165">
        <v>0.0</v>
      </c>
      <c r="W19" s="165">
        <v>0.0</v>
      </c>
    </row>
    <row r="20">
      <c r="A20" s="165">
        <v>10.0</v>
      </c>
      <c r="B20" s="166">
        <v>1360.0</v>
      </c>
      <c r="C20" s="167">
        <v>0.0</v>
      </c>
      <c r="D20" s="165">
        <v>0.0</v>
      </c>
      <c r="E20" s="165">
        <v>0.0</v>
      </c>
      <c r="F20" s="165">
        <v>0.0</v>
      </c>
      <c r="G20" s="165">
        <v>0.0</v>
      </c>
      <c r="H20" s="165">
        <v>0.0</v>
      </c>
      <c r="I20" s="165">
        <v>0.0</v>
      </c>
      <c r="J20" s="165">
        <v>0.0</v>
      </c>
      <c r="K20" s="165">
        <v>0.0</v>
      </c>
      <c r="L20" s="165">
        <v>0.0</v>
      </c>
      <c r="M20" s="165">
        <v>0.0</v>
      </c>
      <c r="N20" s="165">
        <v>15.0</v>
      </c>
      <c r="O20" s="165">
        <v>0.0</v>
      </c>
      <c r="P20" s="165">
        <v>0.0</v>
      </c>
      <c r="Q20" s="165">
        <v>0.0</v>
      </c>
      <c r="R20" s="165">
        <v>0.0</v>
      </c>
      <c r="S20" s="165">
        <v>0.0</v>
      </c>
      <c r="T20" s="165">
        <v>0.0</v>
      </c>
      <c r="U20" s="165">
        <v>0.0</v>
      </c>
      <c r="V20" s="165">
        <v>0.0</v>
      </c>
      <c r="W20" s="165">
        <v>0.0</v>
      </c>
    </row>
    <row r="21" ht="15.75" customHeight="1">
      <c r="A21" s="165">
        <v>11.0</v>
      </c>
      <c r="B21" s="166">
        <v>1630.0</v>
      </c>
      <c r="C21" s="167">
        <v>0.0</v>
      </c>
      <c r="D21" s="165">
        <v>0.0</v>
      </c>
      <c r="E21" s="165">
        <v>0.0</v>
      </c>
      <c r="F21" s="165">
        <v>0.0</v>
      </c>
      <c r="G21" s="165">
        <v>0.0</v>
      </c>
      <c r="H21" s="165">
        <v>0.0</v>
      </c>
      <c r="I21" s="165">
        <v>1.0</v>
      </c>
      <c r="J21" s="165">
        <v>0.0</v>
      </c>
      <c r="K21" s="165">
        <v>0.0</v>
      </c>
      <c r="L21" s="165">
        <v>0.0</v>
      </c>
      <c r="M21" s="165">
        <v>0.0</v>
      </c>
      <c r="N21" s="165">
        <v>0.0</v>
      </c>
      <c r="O21" s="165">
        <v>0.0</v>
      </c>
      <c r="P21" s="165">
        <v>0.0</v>
      </c>
      <c r="Q21" s="165">
        <v>0.0</v>
      </c>
      <c r="R21" s="165">
        <v>0.0</v>
      </c>
      <c r="S21" s="165">
        <v>0.0</v>
      </c>
      <c r="T21" s="165">
        <v>0.0</v>
      </c>
      <c r="U21" s="165">
        <v>0.0</v>
      </c>
      <c r="V21" s="165">
        <v>0.0</v>
      </c>
      <c r="W21" s="165">
        <v>0.0</v>
      </c>
    </row>
    <row r="22" ht="15.75" customHeight="1">
      <c r="A22" s="165">
        <v>12.0</v>
      </c>
      <c r="B22" s="166">
        <v>1930.0</v>
      </c>
      <c r="C22" s="167">
        <v>0.0</v>
      </c>
      <c r="D22" s="165">
        <v>0.0</v>
      </c>
      <c r="E22" s="165">
        <v>0.0</v>
      </c>
      <c r="F22" s="165">
        <v>0.0</v>
      </c>
      <c r="G22" s="165">
        <v>0.0</v>
      </c>
      <c r="H22" s="165">
        <v>0.0</v>
      </c>
      <c r="I22" s="165">
        <v>0.0</v>
      </c>
      <c r="J22" s="165">
        <v>0.0</v>
      </c>
      <c r="K22" s="165">
        <v>0.0</v>
      </c>
      <c r="L22" s="165">
        <v>60.0</v>
      </c>
      <c r="M22" s="165">
        <v>0.0</v>
      </c>
      <c r="N22" s="165">
        <v>0.0</v>
      </c>
      <c r="O22" s="165">
        <v>15.0</v>
      </c>
      <c r="P22" s="165">
        <v>0.0</v>
      </c>
      <c r="Q22" s="165">
        <v>0.0</v>
      </c>
      <c r="R22" s="165">
        <v>0.0</v>
      </c>
      <c r="S22" s="165">
        <v>0.0</v>
      </c>
      <c r="T22" s="165">
        <v>0.0</v>
      </c>
      <c r="U22" s="165">
        <v>0.0</v>
      </c>
      <c r="V22" s="165">
        <v>0.0</v>
      </c>
      <c r="W22" s="165">
        <v>0.0</v>
      </c>
    </row>
    <row r="23" ht="15.75" customHeight="1"/>
    <row r="24" ht="15.75" customHeight="1"/>
    <row r="25" ht="15.75" customHeight="1"/>
    <row r="26" ht="15.75" customHeight="1"/>
  </sheetData>
  <conditionalFormatting sqref="C11:W22">
    <cfRule type="cellIs" dxfId="5" priority="1" operator="greaterThan">
      <formula>0</formula>
    </cfRule>
  </conditionalFormatting>
  <conditionalFormatting sqref="A1:B26">
    <cfRule type="expression" dxfId="7" priority="2">
      <formula>ISFORMULA(A1)</formula>
    </cfRule>
  </conditionalFormatting>
  <conditionalFormatting sqref="A11:W22">
    <cfRule type="expression" dxfId="6" priority="3">
      <formula>ISEVEN(ROW()-11+1)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6" width="8.63"/>
  </cols>
  <sheetData>
    <row r="1" ht="21.75" customHeight="1">
      <c r="A1" s="79" t="s">
        <v>44</v>
      </c>
    </row>
    <row r="2" ht="19.5" customHeight="1">
      <c r="A2" s="112" t="s">
        <v>114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</row>
    <row r="3">
      <c r="A3" s="145" t="s">
        <v>152</v>
      </c>
      <c r="B3" s="146">
        <v>3.0</v>
      </c>
    </row>
    <row r="4">
      <c r="A4" s="145" t="s">
        <v>153</v>
      </c>
      <c r="B4" s="146">
        <v>1.0</v>
      </c>
    </row>
    <row r="5">
      <c r="A5" s="145" t="s">
        <v>154</v>
      </c>
      <c r="B5" s="146">
        <v>15.0</v>
      </c>
    </row>
    <row r="6">
      <c r="A6" s="145" t="s">
        <v>175</v>
      </c>
      <c r="B6" s="146">
        <v>1.0</v>
      </c>
    </row>
    <row r="7">
      <c r="A7" s="145" t="s">
        <v>176</v>
      </c>
      <c r="B7" s="146">
        <v>2.0</v>
      </c>
    </row>
    <row r="8">
      <c r="A8" s="145" t="s">
        <v>177</v>
      </c>
      <c r="B8" s="146">
        <v>3.0</v>
      </c>
    </row>
    <row r="10" ht="19.5" customHeight="1">
      <c r="A10" s="112" t="s">
        <v>116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</row>
    <row r="11" ht="90.0" customHeight="1">
      <c r="A11" s="117" t="s">
        <v>178</v>
      </c>
      <c r="B11" s="118" t="s">
        <v>82</v>
      </c>
      <c r="C11" s="119" t="s">
        <v>68</v>
      </c>
      <c r="D11" s="119" t="s">
        <v>103</v>
      </c>
      <c r="E11" s="119" t="s">
        <v>69</v>
      </c>
      <c r="F11" s="119" t="s">
        <v>70</v>
      </c>
      <c r="G11" s="119" t="s">
        <v>71</v>
      </c>
      <c r="H11" s="119" t="s">
        <v>72</v>
      </c>
      <c r="I11" s="119" t="s">
        <v>73</v>
      </c>
      <c r="J11" s="119" t="s">
        <v>74</v>
      </c>
      <c r="K11" s="119" t="s">
        <v>75</v>
      </c>
      <c r="L11" s="119" t="s">
        <v>76</v>
      </c>
      <c r="M11" s="119" t="s">
        <v>77</v>
      </c>
      <c r="N11" s="119" t="s">
        <v>78</v>
      </c>
      <c r="O11" s="119" t="s">
        <v>118</v>
      </c>
      <c r="P11" s="119" t="s">
        <v>104</v>
      </c>
      <c r="Q11" s="119" t="s">
        <v>105</v>
      </c>
      <c r="R11" s="119" t="s">
        <v>106</v>
      </c>
      <c r="S11" s="119" t="s">
        <v>107</v>
      </c>
      <c r="T11" s="119" t="s">
        <v>108</v>
      </c>
      <c r="U11" s="119" t="s">
        <v>109</v>
      </c>
      <c r="V11" s="119" t="s">
        <v>110</v>
      </c>
    </row>
    <row r="12">
      <c r="A12" s="168" t="s">
        <v>179</v>
      </c>
      <c r="B12" s="149">
        <v>0.0</v>
      </c>
      <c r="C12" s="121">
        <v>0.0</v>
      </c>
      <c r="D12" s="121">
        <v>0.0</v>
      </c>
      <c r="E12" s="121">
        <v>1.0</v>
      </c>
      <c r="F12" s="121">
        <v>0.0</v>
      </c>
      <c r="G12" s="121">
        <v>0.0</v>
      </c>
      <c r="H12" s="121">
        <v>0.0</v>
      </c>
      <c r="I12" s="121">
        <v>0.0</v>
      </c>
      <c r="J12" s="121">
        <v>0.0</v>
      </c>
      <c r="K12" s="121">
        <v>60.0</v>
      </c>
      <c r="L12" s="121">
        <v>0.0</v>
      </c>
      <c r="M12" s="121">
        <v>0.0</v>
      </c>
      <c r="N12" s="121">
        <v>0.0</v>
      </c>
      <c r="O12" s="169">
        <v>5.0</v>
      </c>
      <c r="P12" s="121">
        <v>0.0</v>
      </c>
      <c r="Q12" s="121">
        <v>0.0</v>
      </c>
      <c r="R12" s="121">
        <v>0.0</v>
      </c>
      <c r="S12" s="121">
        <v>0.0</v>
      </c>
      <c r="T12" s="121">
        <v>0.0</v>
      </c>
      <c r="U12" s="121">
        <v>0.0</v>
      </c>
      <c r="V12" s="121">
        <v>0.0</v>
      </c>
    </row>
    <row r="13">
      <c r="A13" s="168" t="s">
        <v>180</v>
      </c>
      <c r="B13" s="149">
        <v>10.0</v>
      </c>
      <c r="C13" s="121">
        <v>0.0</v>
      </c>
      <c r="D13" s="121">
        <v>0.0</v>
      </c>
      <c r="E13" s="121">
        <v>0.0</v>
      </c>
      <c r="F13" s="121">
        <v>1.0</v>
      </c>
      <c r="G13" s="121">
        <v>0.0</v>
      </c>
      <c r="H13" s="121">
        <v>0.0</v>
      </c>
      <c r="I13" s="121">
        <v>0.0</v>
      </c>
      <c r="J13" s="121">
        <v>0.0</v>
      </c>
      <c r="K13" s="121">
        <v>0.0</v>
      </c>
      <c r="L13" s="121">
        <v>0.0</v>
      </c>
      <c r="M13" s="121">
        <v>0.0</v>
      </c>
      <c r="N13" s="121">
        <v>0.0</v>
      </c>
      <c r="O13" s="169">
        <v>10.0</v>
      </c>
      <c r="P13" s="121">
        <v>0.0</v>
      </c>
      <c r="Q13" s="121">
        <v>0.0</v>
      </c>
      <c r="R13" s="121">
        <v>0.0</v>
      </c>
      <c r="S13" s="121">
        <v>0.0</v>
      </c>
      <c r="T13" s="121">
        <v>0.0</v>
      </c>
      <c r="U13" s="121">
        <v>0.0</v>
      </c>
      <c r="V13" s="121">
        <v>0.0</v>
      </c>
    </row>
    <row r="14">
      <c r="A14" s="168" t="s">
        <v>181</v>
      </c>
      <c r="B14" s="149">
        <v>0.0</v>
      </c>
      <c r="C14" s="121">
        <v>0.0</v>
      </c>
      <c r="D14" s="121">
        <v>0.0</v>
      </c>
      <c r="E14" s="121">
        <v>0.0</v>
      </c>
      <c r="F14" s="121">
        <v>0.0</v>
      </c>
      <c r="G14" s="121">
        <v>1.0</v>
      </c>
      <c r="H14" s="121">
        <v>0.0</v>
      </c>
      <c r="I14" s="121">
        <v>0.0</v>
      </c>
      <c r="J14" s="121">
        <v>1.0</v>
      </c>
      <c r="K14" s="121">
        <v>30.0</v>
      </c>
      <c r="L14" s="121">
        <v>0.0</v>
      </c>
      <c r="M14" s="121">
        <v>0.0</v>
      </c>
      <c r="N14" s="121">
        <v>0.0</v>
      </c>
      <c r="O14" s="169">
        <v>20.0</v>
      </c>
      <c r="P14" s="121">
        <v>0.0</v>
      </c>
      <c r="Q14" s="121">
        <v>0.0</v>
      </c>
      <c r="R14" s="121">
        <v>0.0</v>
      </c>
      <c r="S14" s="121">
        <v>0.0</v>
      </c>
      <c r="T14" s="121">
        <v>0.0</v>
      </c>
      <c r="U14" s="121">
        <v>0.0</v>
      </c>
      <c r="V14" s="121">
        <v>0.0</v>
      </c>
    </row>
    <row r="15">
      <c r="A15" s="168" t="s">
        <v>182</v>
      </c>
      <c r="B15" s="149">
        <v>15.0</v>
      </c>
      <c r="C15" s="121">
        <v>0.0</v>
      </c>
      <c r="D15" s="121">
        <v>0.0</v>
      </c>
      <c r="E15" s="121">
        <v>0.0</v>
      </c>
      <c r="F15" s="121">
        <v>0.0</v>
      </c>
      <c r="G15" s="121">
        <v>0.0</v>
      </c>
      <c r="H15" s="121">
        <v>0.0</v>
      </c>
      <c r="I15" s="121">
        <v>1.0</v>
      </c>
      <c r="J15" s="121">
        <v>0.0</v>
      </c>
      <c r="K15" s="121">
        <v>0.0</v>
      </c>
      <c r="L15" s="121">
        <v>10.0</v>
      </c>
      <c r="M15" s="121">
        <v>0.0</v>
      </c>
      <c r="N15" s="121">
        <v>0.0</v>
      </c>
      <c r="O15" s="169">
        <v>50.0</v>
      </c>
      <c r="P15" s="121">
        <v>0.0</v>
      </c>
      <c r="Q15" s="121">
        <v>0.0</v>
      </c>
      <c r="R15" s="121">
        <v>0.0</v>
      </c>
      <c r="S15" s="121">
        <v>0.0</v>
      </c>
      <c r="T15" s="121">
        <v>0.0</v>
      </c>
      <c r="U15" s="121">
        <v>0.0</v>
      </c>
      <c r="V15" s="121">
        <v>0.0</v>
      </c>
    </row>
    <row r="16">
      <c r="A16" s="168" t="s">
        <v>183</v>
      </c>
      <c r="B16" s="149">
        <v>40.0</v>
      </c>
      <c r="C16" s="121">
        <v>0.0</v>
      </c>
      <c r="D16" s="121">
        <v>0.0</v>
      </c>
      <c r="E16" s="121">
        <v>0.0</v>
      </c>
      <c r="F16" s="121">
        <v>0.0</v>
      </c>
      <c r="G16" s="121">
        <v>0.0</v>
      </c>
      <c r="H16" s="121">
        <v>1.0</v>
      </c>
      <c r="I16" s="121">
        <v>0.0</v>
      </c>
      <c r="J16" s="121">
        <v>0.0</v>
      </c>
      <c r="K16" s="121">
        <v>0.0</v>
      </c>
      <c r="L16" s="121">
        <v>0.0</v>
      </c>
      <c r="M16" s="121">
        <v>10.0</v>
      </c>
      <c r="N16" s="121">
        <v>0.0</v>
      </c>
      <c r="O16" s="169">
        <v>70.0</v>
      </c>
      <c r="P16" s="121">
        <v>0.0</v>
      </c>
      <c r="Q16" s="121">
        <v>0.0</v>
      </c>
      <c r="R16" s="121">
        <v>0.0</v>
      </c>
      <c r="S16" s="121">
        <v>0.0</v>
      </c>
      <c r="T16" s="121">
        <v>0.0</v>
      </c>
      <c r="U16" s="121">
        <v>0.0</v>
      </c>
      <c r="V16" s="121">
        <v>0.0</v>
      </c>
    </row>
  </sheetData>
  <conditionalFormatting sqref="B12:V16">
    <cfRule type="cellIs" dxfId="5" priority="1" operator="greaterThan">
      <formula>0</formula>
    </cfRule>
  </conditionalFormatting>
  <conditionalFormatting sqref="A12:V16">
    <cfRule type="expression" dxfId="6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9.63"/>
    <col customWidth="1" min="35" max="35" width="5.88"/>
    <col customWidth="1" min="36" max="36" width="15.13"/>
    <col customWidth="1" min="37" max="37" width="5.88"/>
    <col customWidth="1" min="38" max="38" width="15.13"/>
    <col customWidth="1" min="39" max="39" width="5.88"/>
    <col customWidth="1" min="40" max="40" width="15.13"/>
    <col customWidth="1" min="41" max="41" width="5.88"/>
    <col customWidth="1" min="42" max="42" width="15.13"/>
    <col customWidth="1" min="43" max="43" width="5.88"/>
    <col customWidth="1" min="44" max="44" width="15.13"/>
    <col customWidth="1" min="45" max="45" width="7.63"/>
    <col customWidth="1" min="46" max="46" width="5.25"/>
    <col customWidth="1" min="47" max="47" width="7.0"/>
    <col customWidth="1" min="48" max="48" width="11.38"/>
  </cols>
  <sheetData>
    <row r="1" ht="21.75" customHeight="1">
      <c r="A1" s="150" t="s">
        <v>44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AH1" s="151" t="s">
        <v>159</v>
      </c>
    </row>
    <row r="2" ht="19.5" customHeight="1">
      <c r="A2" s="112" t="s">
        <v>114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AH2" s="152" t="s">
        <v>160</v>
      </c>
      <c r="AI2" s="170" t="s">
        <v>184</v>
      </c>
      <c r="AT2" s="152" t="s">
        <v>185</v>
      </c>
      <c r="AU2" s="171">
        <v>0.8</v>
      </c>
    </row>
    <row r="3">
      <c r="A3" s="154" t="s">
        <v>152</v>
      </c>
      <c r="B3" s="155">
        <v>4.0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AH3" s="152" t="s">
        <v>162</v>
      </c>
      <c r="AI3" s="170" t="s">
        <v>163</v>
      </c>
    </row>
    <row r="4">
      <c r="A4" s="154" t="s">
        <v>153</v>
      </c>
      <c r="B4" s="156">
        <v>1.0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AT4" s="172" t="s">
        <v>186</v>
      </c>
      <c r="AU4" s="172" t="s">
        <v>187</v>
      </c>
      <c r="AV4" s="172" t="s">
        <v>188</v>
      </c>
    </row>
    <row r="5">
      <c r="A5" s="154" t="s">
        <v>154</v>
      </c>
      <c r="B5" s="156">
        <v>15.0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AH5" s="157" t="s">
        <v>164</v>
      </c>
      <c r="AI5" s="157" t="s">
        <v>165</v>
      </c>
      <c r="AJ5" s="157" t="s">
        <v>166</v>
      </c>
      <c r="AK5" s="157" t="s">
        <v>167</v>
      </c>
      <c r="AL5" s="157" t="s">
        <v>168</v>
      </c>
      <c r="AM5" s="157" t="s">
        <v>169</v>
      </c>
      <c r="AN5" s="157" t="s">
        <v>170</v>
      </c>
      <c r="AO5" s="157" t="s">
        <v>171</v>
      </c>
      <c r="AP5" s="157" t="s">
        <v>172</v>
      </c>
      <c r="AQ5" s="157" t="s">
        <v>173</v>
      </c>
      <c r="AR5" s="157" t="s">
        <v>174</v>
      </c>
      <c r="AT5" s="173">
        <v>1.0</v>
      </c>
      <c r="AU5" s="174">
        <v>16.0</v>
      </c>
      <c r="AV5" s="175">
        <f t="shared" ref="AV5:AV9" si="1">SUM($AU$5:$AU5)/$AU$2</f>
        <v>20</v>
      </c>
    </row>
    <row r="6">
      <c r="A6" s="154" t="s">
        <v>175</v>
      </c>
      <c r="B6" s="156">
        <v>1.0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AH6" s="158">
        <f>IF(1&lt;=$B$3,1,"")</f>
        <v>1</v>
      </c>
      <c r="AI6" s="159">
        <f t="array" ref="AI6">IF($AH6="","",LET(bal,SUMIFS(data_event_inst!$N:$N,data_event_inst!$A:$A,"Hatchling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Hideaway",data_event_accrual!$B:$B,$AI$3,data_event_accrual!$C:$C,"0-9",data_event_accrual!$E:$E,$AH6),AVERAGEIFS(data_event_accrual!$K:$K,data_event_accrual!$A:$A,"Hatchling Hideaway",data_event_accrual!$B:$B,$AI$3,data_event_accrual!$C:$C,"0-9",data_event_accrual!$E:$E,$AH6),AVERAGEIFS(data_event_accrual!$J:$J,data_event_accrual!$A:$A,"Hatchling Hideaway",data_event_accrual!$B:$B,$AI$3,data_event_accrual!$C:$C,"0-9",data_event_accrual!$E:$E,$AH6),AVERAGEIFS(data_event_accrual!$L:$L,data_event_accrual!$A:$A,"Hatchling Hideaway",data_event_accrual!$B:$B,$AI$3,data_event_accrual!$C:$C,"0-9",data_event_accrual!$E:$E,$AH6)),1)),COUNTIF($AV$5:$AV$9,"&lt;="&amp;bal*shr)))</f>
        <v>0</v>
      </c>
      <c r="AJ6" s="160" t="str">
        <f t="array" ref="AJ6">IF($AH6="","",IF(AI6=0,"{}",LET(m,AI6,s,MMULT(SEQUENCE(1,m,1,0),$B$12:$V$16),"{"&amp;TEXTJOIN(", ",TRUE,IF(s&gt;0,$B$11:$V$11&amp;": "&amp;ROUND(s,2),""))&amp;"}")))</f>
        <v>{}</v>
      </c>
      <c r="AK6" s="159">
        <f t="array" ref="AK6">IF($AH6="","",LET(bal,SUMIFS(data_event_inst!$N:$N,data_event_inst!$A:$A,"Hatchling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Hideaway",data_event_accrual!$B:$B,$AI$3,data_event_accrual!$C:$C,"10-19",data_event_accrual!$E:$E,$AH6),AVERAGEIFS(data_event_accrual!$K:$K,data_event_accrual!$A:$A,"Hatchling Hideaway",data_event_accrual!$B:$B,$AI$3,data_event_accrual!$C:$C,"10-19",data_event_accrual!$E:$E,$AH6),AVERAGEIFS(data_event_accrual!$J:$J,data_event_accrual!$A:$A,"Hatchling Hideaway",data_event_accrual!$B:$B,$AI$3,data_event_accrual!$C:$C,"10-19",data_event_accrual!$E:$E,$AH6),AVERAGEIFS(data_event_accrual!$L:$L,data_event_accrual!$A:$A,"Hatchling Hideaway",data_event_accrual!$B:$B,$AI$3,data_event_accrual!$C:$C,"10-19",data_event_accrual!$E:$E,$AH6)),1)),COUNTIF($AV$5:$AV$9,"&lt;="&amp;bal*shr)))</f>
        <v>0</v>
      </c>
      <c r="AL6" s="160" t="str">
        <f t="array" ref="AL6">IF($AH6="","",IF(AK6=0,"{}",LET(m,AK6,s,MMULT(SEQUENCE(1,m,1,0),$B$12:$V$16),"{"&amp;TEXTJOIN(", ",TRUE,IF(s&gt;0,$B$11:$V$11&amp;": "&amp;ROUND(s,2),""))&amp;"}")))</f>
        <v>{}</v>
      </c>
      <c r="AM6" s="159">
        <f t="array" ref="AM6">IF($AH6="","",LET(bal,SUMIFS(data_event_inst!$N:$N,data_event_inst!$A:$A,"Hatchling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Hideaway",data_event_accrual!$B:$B,$AI$3,data_event_accrual!$C:$C,"20-39",data_event_accrual!$E:$E,$AH6),AVERAGEIFS(data_event_accrual!$K:$K,data_event_accrual!$A:$A,"Hatchling Hideaway",data_event_accrual!$B:$B,$AI$3,data_event_accrual!$C:$C,"20-39",data_event_accrual!$E:$E,$AH6),AVERAGEIFS(data_event_accrual!$J:$J,data_event_accrual!$A:$A,"Hatchling Hideaway",data_event_accrual!$B:$B,$AI$3,data_event_accrual!$C:$C,"20-39",data_event_accrual!$E:$E,$AH6),AVERAGEIFS(data_event_accrual!$L:$L,data_event_accrual!$A:$A,"Hatchling Hideaway",data_event_accrual!$B:$B,$AI$3,data_event_accrual!$C:$C,"20-39",data_event_accrual!$E:$E,$AH6)),1)),COUNTIF($AV$5:$AV$9,"&lt;="&amp;bal*shr)))</f>
        <v>1</v>
      </c>
      <c r="AN6" s="160" t="str">
        <f t="array" ref="AN6">IF($AH6="","",IF(AM6=0,"{}",LET(m,AM6,s,MMULT(SEQUENCE(1,m,1,0),$B$12:$V$16),"{"&amp;TEXTJOIN(", ",TRUE,IF(s&gt;0,$B$11:$V$11&amp;": "&amp;ROUND(s,2),""))&amp;"}")))</f>
        <v>{Red: 1, Unlimited Lives: 60, COOP Token: 5}</v>
      </c>
      <c r="AO6" s="159">
        <f t="array" ref="AO6">IF($AH6="","",LET(bal,SUMIFS(data_event_inst!$N:$N,data_event_inst!$A:$A,"Hatchling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Hideaway",data_event_accrual!$B:$B,$AI$3,data_event_accrual!$C:$C,"40-99",data_event_accrual!$E:$E,$AH6),AVERAGEIFS(data_event_accrual!$K:$K,data_event_accrual!$A:$A,"Hatchling Hideaway",data_event_accrual!$B:$B,$AI$3,data_event_accrual!$C:$C,"40-99",data_event_accrual!$E:$E,$AH6),AVERAGEIFS(data_event_accrual!$J:$J,data_event_accrual!$A:$A,"Hatchling Hideaway",data_event_accrual!$B:$B,$AI$3,data_event_accrual!$C:$C,"40-99",data_event_accrual!$E:$E,$AH6),AVERAGEIFS(data_event_accrual!$L:$L,data_event_accrual!$A:$A,"Hatchling Hideaway",data_event_accrual!$B:$B,$AI$3,data_event_accrual!$C:$C,"40-99",data_event_accrual!$E:$E,$AH6)),1)),COUNTIF($AV$5:$AV$9,"&lt;="&amp;bal*shr)))</f>
        <v>2</v>
      </c>
      <c r="AP6" s="160" t="str">
        <f t="array" ref="AP6">IF($AH6="","",IF(AO6=0,"{}",LET(m,AO6,s,MMULT(SEQUENCE(1,m,1,0),$B$12:$V$16),"{"&amp;TEXTJOIN(", ",TRUE,IF(s&gt;0,$B$11:$V$11&amp;": "&amp;ROUND(s,2),""))&amp;"}")))</f>
        <v>{Coins: 10, Red: 1, Chuck: 1, Unlimited Lives: 60, COOP Token: 15}</v>
      </c>
      <c r="AQ6" s="159">
        <f t="array" ref="AQ6">IF($AH6="","",LET(bal,SUMIFS(data_event_inst!$N:$N,data_event_inst!$A:$A,"Hatchling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Hideaway",data_event_accrual!$B:$B,$AI$3,data_event_accrual!$C:$C,"100+",data_event_accrual!$E:$E,$AH6),AVERAGEIFS(data_event_accrual!$K:$K,data_event_accrual!$A:$A,"Hatchling Hideaway",data_event_accrual!$B:$B,$AI$3,data_event_accrual!$C:$C,"100+",data_event_accrual!$E:$E,$AH6),AVERAGEIFS(data_event_accrual!$J:$J,data_event_accrual!$A:$A,"Hatchling Hideaway",data_event_accrual!$B:$B,$AI$3,data_event_accrual!$C:$C,"100+",data_event_accrual!$E:$E,$AH6),AVERAGEIFS(data_event_accrual!$L:$L,data_event_accrual!$A:$A,"Hatchling Hideaway",data_event_accrual!$B:$B,$AI$3,data_event_accrual!$C:$C,"100+",data_event_accrual!$E:$E,$AH6)),1)),COUNTIF($AV$5:$AV$9,"&lt;="&amp;bal*shr)))</f>
        <v>3</v>
      </c>
      <c r="AR6" s="160" t="str">
        <f t="array" ref="AR6">IF($AH6="","",IF(AQ6=0,"{}",LET(m,AQ6,s,MMULT(SEQUENCE(1,m,1,0),$B$12:$V$16),"{"&amp;TEXTJOIN(", ",TRUE,IF(s&gt;0,$B$11:$V$11&amp;": "&amp;ROUND(s,2),""))&amp;"}")))</f>
        <v>{Coins: 10, Red: 1, Chuck: 1, Bomb: 1, Comet: 1, Unlimited Lives: 90, COOP Token: 35}</v>
      </c>
      <c r="AT6" s="173">
        <v>2.0</v>
      </c>
      <c r="AU6" s="174">
        <v>25.0</v>
      </c>
      <c r="AV6" s="175">
        <f t="shared" si="1"/>
        <v>51.25</v>
      </c>
    </row>
    <row r="7">
      <c r="A7" s="154" t="s">
        <v>176</v>
      </c>
      <c r="B7" s="156">
        <v>2.0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AH7" s="158">
        <f>IF(2&lt;=$B$3,2,"")</f>
        <v>2</v>
      </c>
      <c r="AI7" s="159">
        <f t="array" ref="AI7">IF($AH7="","",LET(bal,SUMIFS(data_event_inst!$N:$N,data_event_inst!$A:$A,"Hatchling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Hideaway",data_event_accrual!$B:$B,$AI$3,data_event_accrual!$C:$C,"0-9",data_event_accrual!$E:$E,$AH7),AVERAGEIFS(data_event_accrual!$K:$K,data_event_accrual!$A:$A,"Hatchling Hideaway",data_event_accrual!$B:$B,$AI$3,data_event_accrual!$C:$C,"0-9",data_event_accrual!$E:$E,$AH7),AVERAGEIFS(data_event_accrual!$J:$J,data_event_accrual!$A:$A,"Hatchling Hideaway",data_event_accrual!$B:$B,$AI$3,data_event_accrual!$C:$C,"0-9",data_event_accrual!$E:$E,$AH7),AVERAGEIFS(data_event_accrual!$L:$L,data_event_accrual!$A:$A,"Hatchling Hideaway",data_event_accrual!$B:$B,$AI$3,data_event_accrual!$C:$C,"0-9",data_event_accrual!$E:$E,$AH7)),1)),COUNTIF($AV$5:$AV$9,"&lt;="&amp;bal*shr)))</f>
        <v>0</v>
      </c>
      <c r="AJ7" s="160" t="str">
        <f t="array" ref="AJ7">IF($AH7="","",IF(AI7=0,"{}",LET(m,AI7,s,MMULT(SEQUENCE(1,m,1,0),$B$12:$V$16),"{"&amp;TEXTJOIN(", ",TRUE,IF(s&gt;0,$B$11:$V$11&amp;": "&amp;ROUND(s,2),""))&amp;"}")))</f>
        <v>{}</v>
      </c>
      <c r="AK7" s="159">
        <f t="array" ref="AK7">IF($AH7="","",LET(bal,SUMIFS(data_event_inst!$N:$N,data_event_inst!$A:$A,"Hatchling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Hideaway",data_event_accrual!$B:$B,$AI$3,data_event_accrual!$C:$C,"10-19",data_event_accrual!$E:$E,$AH7),AVERAGEIFS(data_event_accrual!$K:$K,data_event_accrual!$A:$A,"Hatchling Hideaway",data_event_accrual!$B:$B,$AI$3,data_event_accrual!$C:$C,"10-19",data_event_accrual!$E:$E,$AH7),AVERAGEIFS(data_event_accrual!$J:$J,data_event_accrual!$A:$A,"Hatchling Hideaway",data_event_accrual!$B:$B,$AI$3,data_event_accrual!$C:$C,"10-19",data_event_accrual!$E:$E,$AH7),AVERAGEIFS(data_event_accrual!$L:$L,data_event_accrual!$A:$A,"Hatchling Hideaway",data_event_accrual!$B:$B,$AI$3,data_event_accrual!$C:$C,"10-19",data_event_accrual!$E:$E,$AH7)),1)),COUNTIF($AV$5:$AV$9,"&lt;="&amp;bal*shr)))</f>
        <v>1</v>
      </c>
      <c r="AL7" s="160" t="str">
        <f t="array" ref="AL7">IF($AH7="","",IF(AK7=0,"{}",LET(m,AK7,s,MMULT(SEQUENCE(1,m,1,0),$B$12:$V$16),"{"&amp;TEXTJOIN(", ",TRUE,IF(s&gt;0,$B$11:$V$11&amp;": "&amp;ROUND(s,2),""))&amp;"}")))</f>
        <v>{Red: 1, Unlimited Lives: 60, COOP Token: 5}</v>
      </c>
      <c r="AM7" s="159">
        <f t="array" ref="AM7">IF($AH7="","",LET(bal,SUMIFS(data_event_inst!$N:$N,data_event_inst!$A:$A,"Hatchling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Hideaway",data_event_accrual!$B:$B,$AI$3,data_event_accrual!$C:$C,"20-39",data_event_accrual!$E:$E,$AH7),AVERAGEIFS(data_event_accrual!$K:$K,data_event_accrual!$A:$A,"Hatchling Hideaway",data_event_accrual!$B:$B,$AI$3,data_event_accrual!$C:$C,"20-39",data_event_accrual!$E:$E,$AH7),AVERAGEIFS(data_event_accrual!$J:$J,data_event_accrual!$A:$A,"Hatchling Hideaway",data_event_accrual!$B:$B,$AI$3,data_event_accrual!$C:$C,"20-39",data_event_accrual!$E:$E,$AH7),AVERAGEIFS(data_event_accrual!$L:$L,data_event_accrual!$A:$A,"Hatchling Hideaway",data_event_accrual!$B:$B,$AI$3,data_event_accrual!$C:$C,"20-39",data_event_accrual!$E:$E,$AH7)),1)),COUNTIF($AV$5:$AV$9,"&lt;="&amp;bal*shr)))</f>
        <v>2</v>
      </c>
      <c r="AN7" s="160" t="str">
        <f t="array" ref="AN7">IF($AH7="","",IF(AM7=0,"{}",LET(m,AM7,s,MMULT(SEQUENCE(1,m,1,0),$B$12:$V$16),"{"&amp;TEXTJOIN(", ",TRUE,IF(s&gt;0,$B$11:$V$11&amp;": "&amp;ROUND(s,2),""))&amp;"}")))</f>
        <v>{Coins: 10, Red: 1, Chuck: 1, Unlimited Lives: 60, COOP Token: 15}</v>
      </c>
      <c r="AO7" s="159">
        <f t="array" ref="AO7">IF($AH7="","",LET(bal,SUMIFS(data_event_inst!$N:$N,data_event_inst!$A:$A,"Hatchling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Hideaway",data_event_accrual!$B:$B,$AI$3,data_event_accrual!$C:$C,"40-99",data_event_accrual!$E:$E,$AH7),AVERAGEIFS(data_event_accrual!$K:$K,data_event_accrual!$A:$A,"Hatchling Hideaway",data_event_accrual!$B:$B,$AI$3,data_event_accrual!$C:$C,"40-99",data_event_accrual!$E:$E,$AH7),AVERAGEIFS(data_event_accrual!$J:$J,data_event_accrual!$A:$A,"Hatchling Hideaway",data_event_accrual!$B:$B,$AI$3,data_event_accrual!$C:$C,"40-99",data_event_accrual!$E:$E,$AH7),AVERAGEIFS(data_event_accrual!$L:$L,data_event_accrual!$A:$A,"Hatchling Hideaway",data_event_accrual!$B:$B,$AI$3,data_event_accrual!$C:$C,"40-99",data_event_accrual!$E:$E,$AH7)),1)),COUNTIF($AV$5:$AV$9,"&lt;="&amp;bal*shr)))</f>
        <v>3</v>
      </c>
      <c r="AP7" s="160" t="str">
        <f t="array" ref="AP7">IF($AH7="","",IF(AO7=0,"{}",LET(m,AO7,s,MMULT(SEQUENCE(1,m,1,0),$B$12:$V$16),"{"&amp;TEXTJOIN(", ",TRUE,IF(s&gt;0,$B$11:$V$11&amp;": "&amp;ROUND(s,2),""))&amp;"}")))</f>
        <v>{Coins: 10, Red: 1, Chuck: 1, Bomb: 1, Comet: 1, Unlimited Lives: 90, COOP Token: 35}</v>
      </c>
      <c r="AQ7" s="159">
        <f t="array" ref="AQ7">IF($AH7="","",LET(bal,SUMIFS(data_event_inst!$N:$N,data_event_inst!$A:$A,"Hatchling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Hideaway",data_event_accrual!$B:$B,$AI$3,data_event_accrual!$C:$C,"100+",data_event_accrual!$E:$E,$AH7),AVERAGEIFS(data_event_accrual!$K:$K,data_event_accrual!$A:$A,"Hatchling Hideaway",data_event_accrual!$B:$B,$AI$3,data_event_accrual!$C:$C,"100+",data_event_accrual!$E:$E,$AH7),AVERAGEIFS(data_event_accrual!$J:$J,data_event_accrual!$A:$A,"Hatchling Hideaway",data_event_accrual!$B:$B,$AI$3,data_event_accrual!$C:$C,"100+",data_event_accrual!$E:$E,$AH7),AVERAGEIFS(data_event_accrual!$L:$L,data_event_accrual!$A:$A,"Hatchling Hideaway",data_event_accrual!$B:$B,$AI$3,data_event_accrual!$C:$C,"100+",data_event_accrual!$E:$E,$AH7)),1)),COUNTIF($AV$5:$AV$9,"&lt;="&amp;bal*shr)))</f>
        <v>3</v>
      </c>
      <c r="AR7" s="160" t="str">
        <f t="array" ref="AR7">IF($AH7="","",IF(AQ7=0,"{}",LET(m,AQ7,s,MMULT(SEQUENCE(1,m,1,0),$B$12:$V$16),"{"&amp;TEXTJOIN(", ",TRUE,IF(s&gt;0,$B$11:$V$11&amp;": "&amp;ROUND(s,2),""))&amp;"}")))</f>
        <v>{Coins: 10, Red: 1, Chuck: 1, Bomb: 1, Comet: 1, Unlimited Lives: 90, COOP Token: 35}</v>
      </c>
      <c r="AT7" s="173">
        <v>3.0</v>
      </c>
      <c r="AU7" s="174">
        <v>36.0</v>
      </c>
      <c r="AV7" s="175">
        <f t="shared" si="1"/>
        <v>96.25</v>
      </c>
    </row>
    <row r="8">
      <c r="A8" s="154" t="s">
        <v>177</v>
      </c>
      <c r="B8" s="156">
        <v>3.0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AH8" s="158">
        <f>IF(3&lt;=$B$3,3,"")</f>
        <v>3</v>
      </c>
      <c r="AI8" s="159">
        <f t="array" ref="AI8">IF($AH8="","",LET(bal,SUMIFS(data_event_inst!$N:$N,data_event_inst!$A:$A,"Hatchling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Hideaway",data_event_accrual!$B:$B,$AI$3,data_event_accrual!$C:$C,"0-9",data_event_accrual!$E:$E,$AH8),AVERAGEIFS(data_event_accrual!$K:$K,data_event_accrual!$A:$A,"Hatchling Hideaway",data_event_accrual!$B:$B,$AI$3,data_event_accrual!$C:$C,"0-9",data_event_accrual!$E:$E,$AH8),AVERAGEIFS(data_event_accrual!$J:$J,data_event_accrual!$A:$A,"Hatchling Hideaway",data_event_accrual!$B:$B,$AI$3,data_event_accrual!$C:$C,"0-9",data_event_accrual!$E:$E,$AH8),AVERAGEIFS(data_event_accrual!$L:$L,data_event_accrual!$A:$A,"Hatchling Hideaway",data_event_accrual!$B:$B,$AI$3,data_event_accrual!$C:$C,"0-9",data_event_accrual!$E:$E,$AH8)),1)),COUNTIF($AV$5:$AV$9,"&lt;="&amp;bal*shr)))</f>
        <v>0</v>
      </c>
      <c r="AJ8" s="160" t="str">
        <f t="array" ref="AJ8">IF($AH8="","",IF(AI8=0,"{}",LET(m,AI8,s,MMULT(SEQUENCE(1,m,1,0),$B$12:$V$16),"{"&amp;TEXTJOIN(", ",TRUE,IF(s&gt;0,$B$11:$V$11&amp;": "&amp;ROUND(s,2),""))&amp;"}")))</f>
        <v>{}</v>
      </c>
      <c r="AK8" s="159">
        <f t="array" ref="AK8">IF($AH8="","",LET(bal,SUMIFS(data_event_inst!$N:$N,data_event_inst!$A:$A,"Hatchling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Hideaway",data_event_accrual!$B:$B,$AI$3,data_event_accrual!$C:$C,"10-19",data_event_accrual!$E:$E,$AH8),AVERAGEIFS(data_event_accrual!$K:$K,data_event_accrual!$A:$A,"Hatchling Hideaway",data_event_accrual!$B:$B,$AI$3,data_event_accrual!$C:$C,"10-19",data_event_accrual!$E:$E,$AH8),AVERAGEIFS(data_event_accrual!$J:$J,data_event_accrual!$A:$A,"Hatchling Hideaway",data_event_accrual!$B:$B,$AI$3,data_event_accrual!$C:$C,"10-19",data_event_accrual!$E:$E,$AH8),AVERAGEIFS(data_event_accrual!$L:$L,data_event_accrual!$A:$A,"Hatchling Hideaway",data_event_accrual!$B:$B,$AI$3,data_event_accrual!$C:$C,"10-19",data_event_accrual!$E:$E,$AH8)),1)),COUNTIF($AV$5:$AV$9,"&lt;="&amp;bal*shr)))</f>
        <v>1</v>
      </c>
      <c r="AL8" s="160" t="str">
        <f t="array" ref="AL8">IF($AH8="","",IF(AK8=0,"{}",LET(m,AK8,s,MMULT(SEQUENCE(1,m,1,0),$B$12:$V$16),"{"&amp;TEXTJOIN(", ",TRUE,IF(s&gt;0,$B$11:$V$11&amp;": "&amp;ROUND(s,2),""))&amp;"}")))</f>
        <v>{Red: 1, Unlimited Lives: 60, COOP Token: 5}</v>
      </c>
      <c r="AM8" s="159">
        <f t="array" ref="AM8">IF($AH8="","",LET(bal,SUMIFS(data_event_inst!$N:$N,data_event_inst!$A:$A,"Hatchling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Hideaway",data_event_accrual!$B:$B,$AI$3,data_event_accrual!$C:$C,"20-39",data_event_accrual!$E:$E,$AH8),AVERAGEIFS(data_event_accrual!$K:$K,data_event_accrual!$A:$A,"Hatchling Hideaway",data_event_accrual!$B:$B,$AI$3,data_event_accrual!$C:$C,"20-39",data_event_accrual!$E:$E,$AH8),AVERAGEIFS(data_event_accrual!$J:$J,data_event_accrual!$A:$A,"Hatchling Hideaway",data_event_accrual!$B:$B,$AI$3,data_event_accrual!$C:$C,"20-39",data_event_accrual!$E:$E,$AH8),AVERAGEIFS(data_event_accrual!$L:$L,data_event_accrual!$A:$A,"Hatchling Hideaway",data_event_accrual!$B:$B,$AI$3,data_event_accrual!$C:$C,"20-39",data_event_accrual!$E:$E,$AH8)),1)),COUNTIF($AV$5:$AV$9,"&lt;="&amp;bal*shr)))</f>
        <v>2</v>
      </c>
      <c r="AN8" s="160" t="str">
        <f t="array" ref="AN8">IF($AH8="","",IF(AM8=0,"{}",LET(m,AM8,s,MMULT(SEQUENCE(1,m,1,0),$B$12:$V$16),"{"&amp;TEXTJOIN(", ",TRUE,IF(s&gt;0,$B$11:$V$11&amp;": "&amp;ROUND(s,2),""))&amp;"}")))</f>
        <v>{Coins: 10, Red: 1, Chuck: 1, Unlimited Lives: 60, COOP Token: 15}</v>
      </c>
      <c r="AO8" s="159">
        <f t="array" ref="AO8">IF($AH8="","",LET(bal,SUMIFS(data_event_inst!$N:$N,data_event_inst!$A:$A,"Hatchling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Hideaway",data_event_accrual!$B:$B,$AI$3,data_event_accrual!$C:$C,"40-99",data_event_accrual!$E:$E,$AH8),AVERAGEIFS(data_event_accrual!$K:$K,data_event_accrual!$A:$A,"Hatchling Hideaway",data_event_accrual!$B:$B,$AI$3,data_event_accrual!$C:$C,"40-99",data_event_accrual!$E:$E,$AH8),AVERAGEIFS(data_event_accrual!$J:$J,data_event_accrual!$A:$A,"Hatchling Hideaway",data_event_accrual!$B:$B,$AI$3,data_event_accrual!$C:$C,"40-99",data_event_accrual!$E:$E,$AH8),AVERAGEIFS(data_event_accrual!$L:$L,data_event_accrual!$A:$A,"Hatchling Hideaway",data_event_accrual!$B:$B,$AI$3,data_event_accrual!$C:$C,"40-99",data_event_accrual!$E:$E,$AH8)),1)),COUNTIF($AV$5:$AV$9,"&lt;="&amp;bal*shr)))</f>
        <v>3</v>
      </c>
      <c r="AP8" s="160" t="str">
        <f t="array" ref="AP8">IF($AH8="","",IF(AO8=0,"{}",LET(m,AO8,s,MMULT(SEQUENCE(1,m,1,0),$B$12:$V$16),"{"&amp;TEXTJOIN(", ",TRUE,IF(s&gt;0,$B$11:$V$11&amp;": "&amp;ROUND(s,2),""))&amp;"}")))</f>
        <v>{Coins: 10, Red: 1, Chuck: 1, Bomb: 1, Comet: 1, Unlimited Lives: 90, COOP Token: 35}</v>
      </c>
      <c r="AQ8" s="159">
        <f t="array" ref="AQ8">IF($AH8="","",LET(bal,SUMIFS(data_event_inst!$N:$N,data_event_inst!$A:$A,"Hatchling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Hideaway",data_event_accrual!$B:$B,$AI$3,data_event_accrual!$C:$C,"100+",data_event_accrual!$E:$E,$AH8),AVERAGEIFS(data_event_accrual!$K:$K,data_event_accrual!$A:$A,"Hatchling Hideaway",data_event_accrual!$B:$B,$AI$3,data_event_accrual!$C:$C,"100+",data_event_accrual!$E:$E,$AH8),AVERAGEIFS(data_event_accrual!$J:$J,data_event_accrual!$A:$A,"Hatchling Hideaway",data_event_accrual!$B:$B,$AI$3,data_event_accrual!$C:$C,"100+",data_event_accrual!$E:$E,$AH8),AVERAGEIFS(data_event_accrual!$L:$L,data_event_accrual!$A:$A,"Hatchling Hideaway",data_event_accrual!$B:$B,$AI$3,data_event_accrual!$C:$C,"100+",data_event_accrual!$E:$E,$AH8)),1)),COUNTIF($AV$5:$AV$9,"&lt;="&amp;bal*shr)))</f>
        <v>4</v>
      </c>
      <c r="AR8" s="160" t="str">
        <f t="array" ref="AR8">IF($AH8="","",IF(AQ8=0,"{}",LET(m,AQ8,s,MMULT(SEQUENCE(1,m,1,0),$B$12:$V$16),"{"&amp;TEXTJOIN(", ",TRUE,IF(s&gt;0,$B$11:$V$11&amp;": "&amp;ROUND(s,2),""))&amp;"}")))</f>
        <v>{Coins: 25, Red: 1, Chuck: 1, Bomb: 1, Shuffle: 1, Comet: 1, Unlimited Lives: 90, Unlimited Red: 10, COOP Token: 85}</v>
      </c>
      <c r="AT8" s="173">
        <v>4.0</v>
      </c>
      <c r="AU8" s="174">
        <v>49.0</v>
      </c>
      <c r="AV8" s="175">
        <f t="shared" si="1"/>
        <v>157.5</v>
      </c>
    </row>
    <row r="9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AH9" s="158">
        <f>IF(4&lt;=$B$3,4,"")</f>
        <v>4</v>
      </c>
      <c r="AI9" s="159">
        <f t="array" ref="AI9">IF($AH9="","",LET(bal,SUMIFS(data_event_inst!$N:$N,data_event_inst!$A:$A,"Hatchling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Hideaway",data_event_accrual!$B:$B,$AI$3,data_event_accrual!$C:$C,"0-9",data_event_accrual!$E:$E,$AH9),AVERAGEIFS(data_event_accrual!$K:$K,data_event_accrual!$A:$A,"Hatchling Hideaway",data_event_accrual!$B:$B,$AI$3,data_event_accrual!$C:$C,"0-9",data_event_accrual!$E:$E,$AH9),AVERAGEIFS(data_event_accrual!$J:$J,data_event_accrual!$A:$A,"Hatchling Hideaway",data_event_accrual!$B:$B,$AI$3,data_event_accrual!$C:$C,"0-9",data_event_accrual!$E:$E,$AH9),AVERAGEIFS(data_event_accrual!$L:$L,data_event_accrual!$A:$A,"Hatchling Hideaway",data_event_accrual!$B:$B,$AI$3,data_event_accrual!$C:$C,"0-9",data_event_accrual!$E:$E,$AH9)),1)),COUNTIF($AV$5:$AV$9,"&lt;="&amp;bal*shr)))</f>
        <v>1</v>
      </c>
      <c r="AJ9" s="160" t="str">
        <f t="array" ref="AJ9">IF($AH9="","",IF(AI9=0,"{}",LET(m,AI9,s,MMULT(SEQUENCE(1,m,1,0),$B$12:$V$16),"{"&amp;TEXTJOIN(", ",TRUE,IF(s&gt;0,$B$11:$V$11&amp;": "&amp;ROUND(s,2),""))&amp;"}")))</f>
        <v>{Red: 1, Unlimited Lives: 60, COOP Token: 5}</v>
      </c>
      <c r="AK9" s="159">
        <f t="array" ref="AK9">IF($AH9="","",LET(bal,SUMIFS(data_event_inst!$N:$N,data_event_inst!$A:$A,"Hatchling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Hideaway",data_event_accrual!$B:$B,$AI$3,data_event_accrual!$C:$C,"10-19",data_event_accrual!$E:$E,$AH9),AVERAGEIFS(data_event_accrual!$K:$K,data_event_accrual!$A:$A,"Hatchling Hideaway",data_event_accrual!$B:$B,$AI$3,data_event_accrual!$C:$C,"10-19",data_event_accrual!$E:$E,$AH9),AVERAGEIFS(data_event_accrual!$J:$J,data_event_accrual!$A:$A,"Hatchling Hideaway",data_event_accrual!$B:$B,$AI$3,data_event_accrual!$C:$C,"10-19",data_event_accrual!$E:$E,$AH9),AVERAGEIFS(data_event_accrual!$L:$L,data_event_accrual!$A:$A,"Hatchling Hideaway",data_event_accrual!$B:$B,$AI$3,data_event_accrual!$C:$C,"10-19",data_event_accrual!$E:$E,$AH9)),1)),COUNTIF($AV$5:$AV$9,"&lt;="&amp;bal*shr)))</f>
        <v>1</v>
      </c>
      <c r="AL9" s="160" t="str">
        <f t="array" ref="AL9">IF($AH9="","",IF(AK9=0,"{}",LET(m,AK9,s,MMULT(SEQUENCE(1,m,1,0),$B$12:$V$16),"{"&amp;TEXTJOIN(", ",TRUE,IF(s&gt;0,$B$11:$V$11&amp;": "&amp;ROUND(s,2),""))&amp;"}")))</f>
        <v>{Red: 1, Unlimited Lives: 60, COOP Token: 5}</v>
      </c>
      <c r="AM9" s="159">
        <f t="array" ref="AM9">IF($AH9="","",LET(bal,SUMIFS(data_event_inst!$N:$N,data_event_inst!$A:$A,"Hatchling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Hideaway",data_event_accrual!$B:$B,$AI$3,data_event_accrual!$C:$C,"20-39",data_event_accrual!$E:$E,$AH9),AVERAGEIFS(data_event_accrual!$K:$K,data_event_accrual!$A:$A,"Hatchling Hideaway",data_event_accrual!$B:$B,$AI$3,data_event_accrual!$C:$C,"20-39",data_event_accrual!$E:$E,$AH9),AVERAGEIFS(data_event_accrual!$J:$J,data_event_accrual!$A:$A,"Hatchling Hideaway",data_event_accrual!$B:$B,$AI$3,data_event_accrual!$C:$C,"20-39",data_event_accrual!$E:$E,$AH9),AVERAGEIFS(data_event_accrual!$L:$L,data_event_accrual!$A:$A,"Hatchling Hideaway",data_event_accrual!$B:$B,$AI$3,data_event_accrual!$C:$C,"20-39",data_event_accrual!$E:$E,$AH9)),1)),COUNTIF($AV$5:$AV$9,"&lt;="&amp;bal*shr)))</f>
        <v>2</v>
      </c>
      <c r="AN9" s="160" t="str">
        <f t="array" ref="AN9">IF($AH9="","",IF(AM9=0,"{}",LET(m,AM9,s,MMULT(SEQUENCE(1,m,1,0),$B$12:$V$16),"{"&amp;TEXTJOIN(", ",TRUE,IF(s&gt;0,$B$11:$V$11&amp;": "&amp;ROUND(s,2),""))&amp;"}")))</f>
        <v>{Coins: 10, Red: 1, Chuck: 1, Unlimited Lives: 60, COOP Token: 15}</v>
      </c>
      <c r="AO9" s="159">
        <f t="array" ref="AO9">IF($AH9="","",LET(bal,SUMIFS(data_event_inst!$N:$N,data_event_inst!$A:$A,"Hatchling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Hideaway",data_event_accrual!$B:$B,$AI$3,data_event_accrual!$C:$C,"40-99",data_event_accrual!$E:$E,$AH9),AVERAGEIFS(data_event_accrual!$K:$K,data_event_accrual!$A:$A,"Hatchling Hideaway",data_event_accrual!$B:$B,$AI$3,data_event_accrual!$C:$C,"40-99",data_event_accrual!$E:$E,$AH9),AVERAGEIFS(data_event_accrual!$J:$J,data_event_accrual!$A:$A,"Hatchling Hideaway",data_event_accrual!$B:$B,$AI$3,data_event_accrual!$C:$C,"40-99",data_event_accrual!$E:$E,$AH9),AVERAGEIFS(data_event_accrual!$L:$L,data_event_accrual!$A:$A,"Hatchling Hideaway",data_event_accrual!$B:$B,$AI$3,data_event_accrual!$C:$C,"40-99",data_event_accrual!$E:$E,$AH9)),1)),COUNTIF($AV$5:$AV$9,"&lt;="&amp;bal*shr)))</f>
        <v>3</v>
      </c>
      <c r="AP9" s="160" t="str">
        <f t="array" ref="AP9">IF($AH9="","",IF(AO9=0,"{}",LET(m,AO9,s,MMULT(SEQUENCE(1,m,1,0),$B$12:$V$16),"{"&amp;TEXTJOIN(", ",TRUE,IF(s&gt;0,$B$11:$V$11&amp;": "&amp;ROUND(s,2),""))&amp;"}")))</f>
        <v>{Coins: 10, Red: 1, Chuck: 1, Bomb: 1, Comet: 1, Unlimited Lives: 90, COOP Token: 35}</v>
      </c>
      <c r="AQ9" s="159">
        <f t="array" ref="AQ9">IF($AH9="","",LET(bal,SUMIFS(data_event_inst!$N:$N,data_event_inst!$A:$A,"Hatchling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Hideaway",data_event_accrual!$B:$B,$AI$3,data_event_accrual!$C:$C,"100+",data_event_accrual!$E:$E,$AH9),AVERAGEIFS(data_event_accrual!$K:$K,data_event_accrual!$A:$A,"Hatchling Hideaway",data_event_accrual!$B:$B,$AI$3,data_event_accrual!$C:$C,"100+",data_event_accrual!$E:$E,$AH9),AVERAGEIFS(data_event_accrual!$J:$J,data_event_accrual!$A:$A,"Hatchling Hideaway",data_event_accrual!$B:$B,$AI$3,data_event_accrual!$C:$C,"100+",data_event_accrual!$E:$E,$AH9),AVERAGEIFS(data_event_accrual!$L:$L,data_event_accrual!$A:$A,"Hatchling Hideaway",data_event_accrual!$B:$B,$AI$3,data_event_accrual!$C:$C,"100+",data_event_accrual!$E:$E,$AH9)),1)),COUNTIF($AV$5:$AV$9,"&lt;="&amp;bal*shr)))</f>
        <v>4</v>
      </c>
      <c r="AR9" s="160" t="str">
        <f t="array" ref="AR9">IF($AH9="","",IF(AQ9=0,"{}",LET(m,AQ9,s,MMULT(SEQUENCE(1,m,1,0),$B$12:$V$16),"{"&amp;TEXTJOIN(", ",TRUE,IF(s&gt;0,$B$11:$V$11&amp;": "&amp;ROUND(s,2),""))&amp;"}")))</f>
        <v>{Coins: 25, Red: 1, Chuck: 1, Bomb: 1, Shuffle: 1, Comet: 1, Unlimited Lives: 90, Unlimited Red: 10, COOP Token: 85}</v>
      </c>
      <c r="AT9" s="173">
        <v>5.0</v>
      </c>
      <c r="AU9" s="174">
        <v>64.0</v>
      </c>
      <c r="AV9" s="175">
        <f t="shared" si="1"/>
        <v>237.5</v>
      </c>
    </row>
    <row r="10" ht="19.5" customHeight="1">
      <c r="A10" s="112" t="s">
        <v>116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AH10" s="158" t="str">
        <f>IF(5&lt;=$B$3,5,"")</f>
        <v/>
      </c>
      <c r="AI10" s="159" t="str">
        <f t="array" ref="AI10">IF($AH10="","",LET(bal,SUMIFS(data_event_inst!$N:$N,data_event_inst!$A:$A,"Hatchling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Hideaway",data_event_accrual!$B:$B,$AI$3,data_event_accrual!$C:$C,"0-9",data_event_accrual!$E:$E,$AH10),AVERAGEIFS(data_event_accrual!$K:$K,data_event_accrual!$A:$A,"Hatchling Hideaway",data_event_accrual!$B:$B,$AI$3,data_event_accrual!$C:$C,"0-9",data_event_accrual!$E:$E,$AH10),AVERAGEIFS(data_event_accrual!$J:$J,data_event_accrual!$A:$A,"Hatchling Hideaway",data_event_accrual!$B:$B,$AI$3,data_event_accrual!$C:$C,"0-9",data_event_accrual!$E:$E,$AH10),AVERAGEIFS(data_event_accrual!$L:$L,data_event_accrual!$A:$A,"Hatchling Hideaway",data_event_accrual!$B:$B,$AI$3,data_event_accrual!$C:$C,"0-9",data_event_accrual!$E:$E,$AH10)),1)),COUNTIF($AV$5:$AV$9,"&lt;="&amp;bal*shr)))</f>
        <v/>
      </c>
      <c r="AJ10" s="160" t="str">
        <f t="array" ref="AJ10">IF($AH10="","",IF(AI10=0,"{}",LET(m,AI10,s,MMULT(SEQUENCE(1,m,1,0),$B$12:$V$16),"{"&amp;TEXTJOIN(", ",TRUE,IF(s&gt;0,$B$11:$V$11&amp;": "&amp;ROUND(s,2),""))&amp;"}")))</f>
        <v/>
      </c>
      <c r="AK10" s="159" t="str">
        <f t="array" ref="AK10">IF($AH10="","",LET(bal,SUMIFS(data_event_inst!$N:$N,data_event_inst!$A:$A,"Hatchling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Hideaway",data_event_accrual!$B:$B,$AI$3,data_event_accrual!$C:$C,"10-19",data_event_accrual!$E:$E,$AH10),AVERAGEIFS(data_event_accrual!$K:$K,data_event_accrual!$A:$A,"Hatchling Hideaway",data_event_accrual!$B:$B,$AI$3,data_event_accrual!$C:$C,"10-19",data_event_accrual!$E:$E,$AH10),AVERAGEIFS(data_event_accrual!$J:$J,data_event_accrual!$A:$A,"Hatchling Hideaway",data_event_accrual!$B:$B,$AI$3,data_event_accrual!$C:$C,"10-19",data_event_accrual!$E:$E,$AH10),AVERAGEIFS(data_event_accrual!$L:$L,data_event_accrual!$A:$A,"Hatchling Hideaway",data_event_accrual!$B:$B,$AI$3,data_event_accrual!$C:$C,"10-19",data_event_accrual!$E:$E,$AH10)),1)),COUNTIF($AV$5:$AV$9,"&lt;="&amp;bal*shr)))</f>
        <v/>
      </c>
      <c r="AL10" s="160" t="str">
        <f t="array" ref="AL10">IF($AH10="","",IF(AK10=0,"{}",LET(m,AK10,s,MMULT(SEQUENCE(1,m,1,0),$B$12:$V$16),"{"&amp;TEXTJOIN(", ",TRUE,IF(s&gt;0,$B$11:$V$11&amp;": "&amp;ROUND(s,2),""))&amp;"}")))</f>
        <v/>
      </c>
      <c r="AM10" s="159" t="str">
        <f t="array" ref="AM10">IF($AH10="","",LET(bal,SUMIFS(data_event_inst!$N:$N,data_event_inst!$A:$A,"Hatchling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Hideaway",data_event_accrual!$B:$B,$AI$3,data_event_accrual!$C:$C,"20-39",data_event_accrual!$E:$E,$AH10),AVERAGEIFS(data_event_accrual!$K:$K,data_event_accrual!$A:$A,"Hatchling Hideaway",data_event_accrual!$B:$B,$AI$3,data_event_accrual!$C:$C,"20-39",data_event_accrual!$E:$E,$AH10),AVERAGEIFS(data_event_accrual!$J:$J,data_event_accrual!$A:$A,"Hatchling Hideaway",data_event_accrual!$B:$B,$AI$3,data_event_accrual!$C:$C,"20-39",data_event_accrual!$E:$E,$AH10),AVERAGEIFS(data_event_accrual!$L:$L,data_event_accrual!$A:$A,"Hatchling Hideaway",data_event_accrual!$B:$B,$AI$3,data_event_accrual!$C:$C,"20-39",data_event_accrual!$E:$E,$AH10)),1)),COUNTIF($AV$5:$AV$9,"&lt;="&amp;bal*shr)))</f>
        <v/>
      </c>
      <c r="AN10" s="160" t="str">
        <f t="array" ref="AN10">IF($AH10="","",IF(AM10=0,"{}",LET(m,AM10,s,MMULT(SEQUENCE(1,m,1,0),$B$12:$V$16),"{"&amp;TEXTJOIN(", ",TRUE,IF(s&gt;0,$B$11:$V$11&amp;": "&amp;ROUND(s,2),""))&amp;"}")))</f>
        <v/>
      </c>
      <c r="AO10" s="159" t="str">
        <f t="array" ref="AO10">IF($AH10="","",LET(bal,SUMIFS(data_event_inst!$N:$N,data_event_inst!$A:$A,"Hatchling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Hideaway",data_event_accrual!$B:$B,$AI$3,data_event_accrual!$C:$C,"40-99",data_event_accrual!$E:$E,$AH10),AVERAGEIFS(data_event_accrual!$K:$K,data_event_accrual!$A:$A,"Hatchling Hideaway",data_event_accrual!$B:$B,$AI$3,data_event_accrual!$C:$C,"40-99",data_event_accrual!$E:$E,$AH10),AVERAGEIFS(data_event_accrual!$J:$J,data_event_accrual!$A:$A,"Hatchling Hideaway",data_event_accrual!$B:$B,$AI$3,data_event_accrual!$C:$C,"40-99",data_event_accrual!$E:$E,$AH10),AVERAGEIFS(data_event_accrual!$L:$L,data_event_accrual!$A:$A,"Hatchling Hideaway",data_event_accrual!$B:$B,$AI$3,data_event_accrual!$C:$C,"40-99",data_event_accrual!$E:$E,$AH10)),1)),COUNTIF($AV$5:$AV$9,"&lt;="&amp;bal*shr)))</f>
        <v/>
      </c>
      <c r="AP10" s="160" t="str">
        <f t="array" ref="AP10">IF($AH10="","",IF(AO10=0,"{}",LET(m,AO10,s,MMULT(SEQUENCE(1,m,1,0),$B$12:$V$16),"{"&amp;TEXTJOIN(", ",TRUE,IF(s&gt;0,$B$11:$V$11&amp;": "&amp;ROUND(s,2),""))&amp;"}")))</f>
        <v/>
      </c>
      <c r="AQ10" s="159" t="str">
        <f t="array" ref="AQ10">IF($AH10="","",LET(bal,SUMIFS(data_event_inst!$N:$N,data_event_inst!$A:$A,"Hatchling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Hideaway",data_event_accrual!$B:$B,$AI$3,data_event_accrual!$C:$C,"100+",data_event_accrual!$E:$E,$AH10),AVERAGEIFS(data_event_accrual!$K:$K,data_event_accrual!$A:$A,"Hatchling Hideaway",data_event_accrual!$B:$B,$AI$3,data_event_accrual!$C:$C,"100+",data_event_accrual!$E:$E,$AH10),AVERAGEIFS(data_event_accrual!$J:$J,data_event_accrual!$A:$A,"Hatchling Hideaway",data_event_accrual!$B:$B,$AI$3,data_event_accrual!$C:$C,"100+",data_event_accrual!$E:$E,$AH10),AVERAGEIFS(data_event_accrual!$L:$L,data_event_accrual!$A:$A,"Hatchling Hideaway",data_event_accrual!$B:$B,$AI$3,data_event_accrual!$C:$C,"100+",data_event_accrual!$E:$E,$AH10)),1)),COUNTIF($AV$5:$AV$9,"&lt;="&amp;bal*shr)))</f>
        <v/>
      </c>
      <c r="AR10" s="160" t="str">
        <f t="array" ref="AR10">IF($AH10="","",IF(AQ10=0,"{}",LET(m,AQ10,s,MMULT(SEQUENCE(1,m,1,0),$B$12:$V$16),"{"&amp;TEXTJOIN(", ",TRUE,IF(s&gt;0,$B$11:$V$11&amp;": "&amp;ROUND(s,2),""))&amp;"}")))</f>
        <v/>
      </c>
    </row>
    <row r="11" ht="90.0" customHeight="1">
      <c r="A11" s="162" t="s">
        <v>178</v>
      </c>
      <c r="B11" s="163" t="s">
        <v>82</v>
      </c>
      <c r="C11" s="164" t="s">
        <v>68</v>
      </c>
      <c r="D11" s="164" t="s">
        <v>103</v>
      </c>
      <c r="E11" s="164" t="s">
        <v>69</v>
      </c>
      <c r="F11" s="164" t="s">
        <v>70</v>
      </c>
      <c r="G11" s="164" t="s">
        <v>71</v>
      </c>
      <c r="H11" s="164" t="s">
        <v>72</v>
      </c>
      <c r="I11" s="164" t="s">
        <v>73</v>
      </c>
      <c r="J11" s="164" t="s">
        <v>74</v>
      </c>
      <c r="K11" s="164" t="s">
        <v>75</v>
      </c>
      <c r="L11" s="164" t="s">
        <v>76</v>
      </c>
      <c r="M11" s="164" t="s">
        <v>77</v>
      </c>
      <c r="N11" s="164" t="s">
        <v>78</v>
      </c>
      <c r="O11" s="164" t="s">
        <v>118</v>
      </c>
      <c r="P11" s="164" t="s">
        <v>104</v>
      </c>
      <c r="Q11" s="164" t="s">
        <v>105</v>
      </c>
      <c r="R11" s="164" t="s">
        <v>106</v>
      </c>
      <c r="S11" s="164" t="s">
        <v>107</v>
      </c>
      <c r="T11" s="164" t="s">
        <v>108</v>
      </c>
      <c r="U11" s="164" t="s">
        <v>109</v>
      </c>
      <c r="V11" s="164" t="s">
        <v>110</v>
      </c>
      <c r="AH11" s="158" t="str">
        <f>IF(6&lt;=$B$3,6,"")</f>
        <v/>
      </c>
      <c r="AI11" s="159" t="str">
        <f t="array" ref="AI11">IF($AH11="","",LET(bal,SUMIFS(data_event_inst!$N:$N,data_event_inst!$A:$A,"Hatchling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Hideaway",data_event_accrual!$B:$B,$AI$3,data_event_accrual!$C:$C,"0-9",data_event_accrual!$E:$E,$AH11),AVERAGEIFS(data_event_accrual!$K:$K,data_event_accrual!$A:$A,"Hatchling Hideaway",data_event_accrual!$B:$B,$AI$3,data_event_accrual!$C:$C,"0-9",data_event_accrual!$E:$E,$AH11),AVERAGEIFS(data_event_accrual!$J:$J,data_event_accrual!$A:$A,"Hatchling Hideaway",data_event_accrual!$B:$B,$AI$3,data_event_accrual!$C:$C,"0-9",data_event_accrual!$E:$E,$AH11),AVERAGEIFS(data_event_accrual!$L:$L,data_event_accrual!$A:$A,"Hatchling Hideaway",data_event_accrual!$B:$B,$AI$3,data_event_accrual!$C:$C,"0-9",data_event_accrual!$E:$E,$AH11)),1)),COUNTIF($AV$5:$AV$9,"&lt;="&amp;bal*shr)))</f>
        <v/>
      </c>
      <c r="AJ11" s="160" t="str">
        <f t="array" ref="AJ11">IF($AH11="","",IF(AI11=0,"{}",LET(m,AI11,s,MMULT(SEQUENCE(1,m,1,0),$B$12:$V$16),"{"&amp;TEXTJOIN(", ",TRUE,IF(s&gt;0,$B$11:$V$11&amp;": "&amp;ROUND(s,2),""))&amp;"}")))</f>
        <v/>
      </c>
      <c r="AK11" s="159" t="str">
        <f t="array" ref="AK11">IF($AH11="","",LET(bal,SUMIFS(data_event_inst!$N:$N,data_event_inst!$A:$A,"Hatchling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Hideaway",data_event_accrual!$B:$B,$AI$3,data_event_accrual!$C:$C,"10-19",data_event_accrual!$E:$E,$AH11),AVERAGEIFS(data_event_accrual!$K:$K,data_event_accrual!$A:$A,"Hatchling Hideaway",data_event_accrual!$B:$B,$AI$3,data_event_accrual!$C:$C,"10-19",data_event_accrual!$E:$E,$AH11),AVERAGEIFS(data_event_accrual!$J:$J,data_event_accrual!$A:$A,"Hatchling Hideaway",data_event_accrual!$B:$B,$AI$3,data_event_accrual!$C:$C,"10-19",data_event_accrual!$E:$E,$AH11),AVERAGEIFS(data_event_accrual!$L:$L,data_event_accrual!$A:$A,"Hatchling Hideaway",data_event_accrual!$B:$B,$AI$3,data_event_accrual!$C:$C,"10-19",data_event_accrual!$E:$E,$AH11)),1)),COUNTIF($AV$5:$AV$9,"&lt;="&amp;bal*shr)))</f>
        <v/>
      </c>
      <c r="AL11" s="160" t="str">
        <f t="array" ref="AL11">IF($AH11="","",IF(AK11=0,"{}",LET(m,AK11,s,MMULT(SEQUENCE(1,m,1,0),$B$12:$V$16),"{"&amp;TEXTJOIN(", ",TRUE,IF(s&gt;0,$B$11:$V$11&amp;": "&amp;ROUND(s,2),""))&amp;"}")))</f>
        <v/>
      </c>
      <c r="AM11" s="159" t="str">
        <f t="array" ref="AM11">IF($AH11="","",LET(bal,SUMIFS(data_event_inst!$N:$N,data_event_inst!$A:$A,"Hatchling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Hideaway",data_event_accrual!$B:$B,$AI$3,data_event_accrual!$C:$C,"20-39",data_event_accrual!$E:$E,$AH11),AVERAGEIFS(data_event_accrual!$K:$K,data_event_accrual!$A:$A,"Hatchling Hideaway",data_event_accrual!$B:$B,$AI$3,data_event_accrual!$C:$C,"20-39",data_event_accrual!$E:$E,$AH11),AVERAGEIFS(data_event_accrual!$J:$J,data_event_accrual!$A:$A,"Hatchling Hideaway",data_event_accrual!$B:$B,$AI$3,data_event_accrual!$C:$C,"20-39",data_event_accrual!$E:$E,$AH11),AVERAGEIFS(data_event_accrual!$L:$L,data_event_accrual!$A:$A,"Hatchling Hideaway",data_event_accrual!$B:$B,$AI$3,data_event_accrual!$C:$C,"20-39",data_event_accrual!$E:$E,$AH11)),1)),COUNTIF($AV$5:$AV$9,"&lt;="&amp;bal*shr)))</f>
        <v/>
      </c>
      <c r="AN11" s="160" t="str">
        <f t="array" ref="AN11">IF($AH11="","",IF(AM11=0,"{}",LET(m,AM11,s,MMULT(SEQUENCE(1,m,1,0),$B$12:$V$16),"{"&amp;TEXTJOIN(", ",TRUE,IF(s&gt;0,$B$11:$V$11&amp;": "&amp;ROUND(s,2),""))&amp;"}")))</f>
        <v/>
      </c>
      <c r="AO11" s="159" t="str">
        <f t="array" ref="AO11">IF($AH11="","",LET(bal,SUMIFS(data_event_inst!$N:$N,data_event_inst!$A:$A,"Hatchling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Hideaway",data_event_accrual!$B:$B,$AI$3,data_event_accrual!$C:$C,"40-99",data_event_accrual!$E:$E,$AH11),AVERAGEIFS(data_event_accrual!$K:$K,data_event_accrual!$A:$A,"Hatchling Hideaway",data_event_accrual!$B:$B,$AI$3,data_event_accrual!$C:$C,"40-99",data_event_accrual!$E:$E,$AH11),AVERAGEIFS(data_event_accrual!$J:$J,data_event_accrual!$A:$A,"Hatchling Hideaway",data_event_accrual!$B:$B,$AI$3,data_event_accrual!$C:$C,"40-99",data_event_accrual!$E:$E,$AH11),AVERAGEIFS(data_event_accrual!$L:$L,data_event_accrual!$A:$A,"Hatchling Hideaway",data_event_accrual!$B:$B,$AI$3,data_event_accrual!$C:$C,"40-99",data_event_accrual!$E:$E,$AH11)),1)),COUNTIF($AV$5:$AV$9,"&lt;="&amp;bal*shr)))</f>
        <v/>
      </c>
      <c r="AP11" s="160" t="str">
        <f t="array" ref="AP11">IF($AH11="","",IF(AO11=0,"{}",LET(m,AO11,s,MMULT(SEQUENCE(1,m,1,0),$B$12:$V$16),"{"&amp;TEXTJOIN(", ",TRUE,IF(s&gt;0,$B$11:$V$11&amp;": "&amp;ROUND(s,2),""))&amp;"}")))</f>
        <v/>
      </c>
      <c r="AQ11" s="159" t="str">
        <f t="array" ref="AQ11">IF($AH11="","",LET(bal,SUMIFS(data_event_inst!$N:$N,data_event_inst!$A:$A,"Hatchling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Hideaway",data_event_accrual!$B:$B,$AI$3,data_event_accrual!$C:$C,"100+",data_event_accrual!$E:$E,$AH11),AVERAGEIFS(data_event_accrual!$K:$K,data_event_accrual!$A:$A,"Hatchling Hideaway",data_event_accrual!$B:$B,$AI$3,data_event_accrual!$C:$C,"100+",data_event_accrual!$E:$E,$AH11),AVERAGEIFS(data_event_accrual!$J:$J,data_event_accrual!$A:$A,"Hatchling Hideaway",data_event_accrual!$B:$B,$AI$3,data_event_accrual!$C:$C,"100+",data_event_accrual!$E:$E,$AH11),AVERAGEIFS(data_event_accrual!$L:$L,data_event_accrual!$A:$A,"Hatchling Hideaway",data_event_accrual!$B:$B,$AI$3,data_event_accrual!$C:$C,"100+",data_event_accrual!$E:$E,$AH11)),1)),COUNTIF($AV$5:$AV$9,"&lt;="&amp;bal*shr)))</f>
        <v/>
      </c>
      <c r="AR11" s="160" t="str">
        <f t="array" ref="AR11">IF($AH11="","",IF(AQ11=0,"{}",LET(m,AQ11,s,MMULT(SEQUENCE(1,m,1,0),$B$12:$V$16),"{"&amp;TEXTJOIN(", ",TRUE,IF(s&gt;0,$B$11:$V$11&amp;": "&amp;ROUND(s,2),""))&amp;"}")))</f>
        <v/>
      </c>
      <c r="AT11" s="176"/>
    </row>
    <row r="12">
      <c r="A12" s="177" t="s">
        <v>179</v>
      </c>
      <c r="B12" s="167">
        <v>0.0</v>
      </c>
      <c r="C12" s="165">
        <v>0.0</v>
      </c>
      <c r="D12" s="165">
        <v>0.0</v>
      </c>
      <c r="E12" s="165">
        <v>1.0</v>
      </c>
      <c r="F12" s="165">
        <v>0.0</v>
      </c>
      <c r="G12" s="165">
        <v>0.0</v>
      </c>
      <c r="H12" s="165">
        <v>0.0</v>
      </c>
      <c r="I12" s="165">
        <v>0.0</v>
      </c>
      <c r="J12" s="165">
        <v>0.0</v>
      </c>
      <c r="K12" s="165">
        <v>60.0</v>
      </c>
      <c r="L12" s="165">
        <v>0.0</v>
      </c>
      <c r="M12" s="165">
        <v>0.0</v>
      </c>
      <c r="N12" s="165">
        <v>0.0</v>
      </c>
      <c r="O12" s="178">
        <v>5.0</v>
      </c>
      <c r="P12" s="165">
        <v>0.0</v>
      </c>
      <c r="Q12" s="165">
        <v>0.0</v>
      </c>
      <c r="R12" s="165">
        <v>0.0</v>
      </c>
      <c r="S12" s="165">
        <v>0.0</v>
      </c>
      <c r="T12" s="165">
        <v>0.0</v>
      </c>
      <c r="U12" s="165">
        <v>0.0</v>
      </c>
      <c r="V12" s="165">
        <v>0.0</v>
      </c>
      <c r="AH12" s="158" t="str">
        <f>IF(7&lt;=$B$3,7,"")</f>
        <v/>
      </c>
      <c r="AI12" s="159" t="str">
        <f t="array" ref="AI12">IF($AH12="","",LET(bal,SUMIFS(data_event_inst!$N:$N,data_event_inst!$A:$A,"Hatchling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Hideaway",data_event_accrual!$B:$B,$AI$3,data_event_accrual!$C:$C,"0-9",data_event_accrual!$E:$E,$AH12),AVERAGEIFS(data_event_accrual!$K:$K,data_event_accrual!$A:$A,"Hatchling Hideaway",data_event_accrual!$B:$B,$AI$3,data_event_accrual!$C:$C,"0-9",data_event_accrual!$E:$E,$AH12),AVERAGEIFS(data_event_accrual!$J:$J,data_event_accrual!$A:$A,"Hatchling Hideaway",data_event_accrual!$B:$B,$AI$3,data_event_accrual!$C:$C,"0-9",data_event_accrual!$E:$E,$AH12),AVERAGEIFS(data_event_accrual!$L:$L,data_event_accrual!$A:$A,"Hatchling Hideaway",data_event_accrual!$B:$B,$AI$3,data_event_accrual!$C:$C,"0-9",data_event_accrual!$E:$E,$AH12)),1)),COUNTIF($AV$5:$AV$9,"&lt;="&amp;bal*shr)))</f>
        <v/>
      </c>
      <c r="AJ12" s="160" t="str">
        <f t="array" ref="AJ12">IF($AH12="","",IF(AI12=0,"{}",LET(m,AI12,s,MMULT(SEQUENCE(1,m,1,0),$B$12:$V$16),"{"&amp;TEXTJOIN(", ",TRUE,IF(s&gt;0,$B$11:$V$11&amp;": "&amp;ROUND(s,2),""))&amp;"}")))</f>
        <v/>
      </c>
      <c r="AK12" s="159" t="str">
        <f t="array" ref="AK12">IF($AH12="","",LET(bal,SUMIFS(data_event_inst!$N:$N,data_event_inst!$A:$A,"Hatchling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Hideaway",data_event_accrual!$B:$B,$AI$3,data_event_accrual!$C:$C,"10-19",data_event_accrual!$E:$E,$AH12),AVERAGEIFS(data_event_accrual!$K:$K,data_event_accrual!$A:$A,"Hatchling Hideaway",data_event_accrual!$B:$B,$AI$3,data_event_accrual!$C:$C,"10-19",data_event_accrual!$E:$E,$AH12),AVERAGEIFS(data_event_accrual!$J:$J,data_event_accrual!$A:$A,"Hatchling Hideaway",data_event_accrual!$B:$B,$AI$3,data_event_accrual!$C:$C,"10-19",data_event_accrual!$E:$E,$AH12),AVERAGEIFS(data_event_accrual!$L:$L,data_event_accrual!$A:$A,"Hatchling Hideaway",data_event_accrual!$B:$B,$AI$3,data_event_accrual!$C:$C,"10-19",data_event_accrual!$E:$E,$AH12)),1)),COUNTIF($AV$5:$AV$9,"&lt;="&amp;bal*shr)))</f>
        <v/>
      </c>
      <c r="AL12" s="160" t="str">
        <f t="array" ref="AL12">IF($AH12="","",IF(AK12=0,"{}",LET(m,AK12,s,MMULT(SEQUENCE(1,m,1,0),$B$12:$V$16),"{"&amp;TEXTJOIN(", ",TRUE,IF(s&gt;0,$B$11:$V$11&amp;": "&amp;ROUND(s,2),""))&amp;"}")))</f>
        <v/>
      </c>
      <c r="AM12" s="159" t="str">
        <f t="array" ref="AM12">IF($AH12="","",LET(bal,SUMIFS(data_event_inst!$N:$N,data_event_inst!$A:$A,"Hatchling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Hideaway",data_event_accrual!$B:$B,$AI$3,data_event_accrual!$C:$C,"20-39",data_event_accrual!$E:$E,$AH12),AVERAGEIFS(data_event_accrual!$K:$K,data_event_accrual!$A:$A,"Hatchling Hideaway",data_event_accrual!$B:$B,$AI$3,data_event_accrual!$C:$C,"20-39",data_event_accrual!$E:$E,$AH12),AVERAGEIFS(data_event_accrual!$J:$J,data_event_accrual!$A:$A,"Hatchling Hideaway",data_event_accrual!$B:$B,$AI$3,data_event_accrual!$C:$C,"20-39",data_event_accrual!$E:$E,$AH12),AVERAGEIFS(data_event_accrual!$L:$L,data_event_accrual!$A:$A,"Hatchling Hideaway",data_event_accrual!$B:$B,$AI$3,data_event_accrual!$C:$C,"20-39",data_event_accrual!$E:$E,$AH12)),1)),COUNTIF($AV$5:$AV$9,"&lt;="&amp;bal*shr)))</f>
        <v/>
      </c>
      <c r="AN12" s="160" t="str">
        <f t="array" ref="AN12">IF($AH12="","",IF(AM12=0,"{}",LET(m,AM12,s,MMULT(SEQUENCE(1,m,1,0),$B$12:$V$16),"{"&amp;TEXTJOIN(", ",TRUE,IF(s&gt;0,$B$11:$V$11&amp;": "&amp;ROUND(s,2),""))&amp;"}")))</f>
        <v/>
      </c>
      <c r="AO12" s="159" t="str">
        <f t="array" ref="AO12">IF($AH12="","",LET(bal,SUMIFS(data_event_inst!$N:$N,data_event_inst!$A:$A,"Hatchling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Hideaway",data_event_accrual!$B:$B,$AI$3,data_event_accrual!$C:$C,"40-99",data_event_accrual!$E:$E,$AH12),AVERAGEIFS(data_event_accrual!$K:$K,data_event_accrual!$A:$A,"Hatchling Hideaway",data_event_accrual!$B:$B,$AI$3,data_event_accrual!$C:$C,"40-99",data_event_accrual!$E:$E,$AH12),AVERAGEIFS(data_event_accrual!$J:$J,data_event_accrual!$A:$A,"Hatchling Hideaway",data_event_accrual!$B:$B,$AI$3,data_event_accrual!$C:$C,"40-99",data_event_accrual!$E:$E,$AH12),AVERAGEIFS(data_event_accrual!$L:$L,data_event_accrual!$A:$A,"Hatchling Hideaway",data_event_accrual!$B:$B,$AI$3,data_event_accrual!$C:$C,"40-99",data_event_accrual!$E:$E,$AH12)),1)),COUNTIF($AV$5:$AV$9,"&lt;="&amp;bal*shr)))</f>
        <v/>
      </c>
      <c r="AP12" s="160" t="str">
        <f t="array" ref="AP12">IF($AH12="","",IF(AO12=0,"{}",LET(m,AO12,s,MMULT(SEQUENCE(1,m,1,0),$B$12:$V$16),"{"&amp;TEXTJOIN(", ",TRUE,IF(s&gt;0,$B$11:$V$11&amp;": "&amp;ROUND(s,2),""))&amp;"}")))</f>
        <v/>
      </c>
      <c r="AQ12" s="159" t="str">
        <f t="array" ref="AQ12">IF($AH12="","",LET(bal,SUMIFS(data_event_inst!$N:$N,data_event_inst!$A:$A,"Hatchling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Hideaway",data_event_accrual!$B:$B,$AI$3,data_event_accrual!$C:$C,"100+",data_event_accrual!$E:$E,$AH12),AVERAGEIFS(data_event_accrual!$K:$K,data_event_accrual!$A:$A,"Hatchling Hideaway",data_event_accrual!$B:$B,$AI$3,data_event_accrual!$C:$C,"100+",data_event_accrual!$E:$E,$AH12),AVERAGEIFS(data_event_accrual!$J:$J,data_event_accrual!$A:$A,"Hatchling Hideaway",data_event_accrual!$B:$B,$AI$3,data_event_accrual!$C:$C,"100+",data_event_accrual!$E:$E,$AH12),AVERAGEIFS(data_event_accrual!$L:$L,data_event_accrual!$A:$A,"Hatchling Hideaway",data_event_accrual!$B:$B,$AI$3,data_event_accrual!$C:$C,"100+",data_event_accrual!$E:$E,$AH12)),1)),COUNTIF($AV$5:$AV$9,"&lt;="&amp;bal*shr)))</f>
        <v/>
      </c>
      <c r="AR12" s="160" t="str">
        <f t="array" ref="AR12">IF($AH12="","",IF(AQ12=0,"{}",LET(m,AQ12,s,MMULT(SEQUENCE(1,m,1,0),$B$12:$V$16),"{"&amp;TEXTJOIN(", ",TRUE,IF(s&gt;0,$B$11:$V$11&amp;": "&amp;ROUND(s,2),""))&amp;"}")))</f>
        <v/>
      </c>
    </row>
    <row r="13">
      <c r="A13" s="177" t="s">
        <v>180</v>
      </c>
      <c r="B13" s="167">
        <v>10.0</v>
      </c>
      <c r="C13" s="165">
        <v>0.0</v>
      </c>
      <c r="D13" s="165">
        <v>0.0</v>
      </c>
      <c r="E13" s="165">
        <v>0.0</v>
      </c>
      <c r="F13" s="165">
        <v>1.0</v>
      </c>
      <c r="G13" s="165">
        <v>0.0</v>
      </c>
      <c r="H13" s="165">
        <v>0.0</v>
      </c>
      <c r="I13" s="165">
        <v>0.0</v>
      </c>
      <c r="J13" s="165">
        <v>0.0</v>
      </c>
      <c r="K13" s="165">
        <v>0.0</v>
      </c>
      <c r="L13" s="165">
        <v>0.0</v>
      </c>
      <c r="M13" s="165">
        <v>0.0</v>
      </c>
      <c r="N13" s="165">
        <v>0.0</v>
      </c>
      <c r="O13" s="178">
        <v>10.0</v>
      </c>
      <c r="P13" s="165">
        <v>0.0</v>
      </c>
      <c r="Q13" s="165">
        <v>0.0</v>
      </c>
      <c r="R13" s="165">
        <v>0.0</v>
      </c>
      <c r="S13" s="165">
        <v>0.0</v>
      </c>
      <c r="T13" s="165">
        <v>0.0</v>
      </c>
      <c r="U13" s="165">
        <v>0.0</v>
      </c>
      <c r="V13" s="165">
        <v>0.0</v>
      </c>
    </row>
    <row r="14">
      <c r="A14" s="177" t="s">
        <v>181</v>
      </c>
      <c r="B14" s="167">
        <v>0.0</v>
      </c>
      <c r="C14" s="165">
        <v>0.0</v>
      </c>
      <c r="D14" s="165">
        <v>0.0</v>
      </c>
      <c r="E14" s="165">
        <v>0.0</v>
      </c>
      <c r="F14" s="165">
        <v>0.0</v>
      </c>
      <c r="G14" s="165">
        <v>1.0</v>
      </c>
      <c r="H14" s="165">
        <v>0.0</v>
      </c>
      <c r="I14" s="165">
        <v>0.0</v>
      </c>
      <c r="J14" s="165">
        <v>1.0</v>
      </c>
      <c r="K14" s="165">
        <v>30.0</v>
      </c>
      <c r="L14" s="165">
        <v>0.0</v>
      </c>
      <c r="M14" s="165">
        <v>0.0</v>
      </c>
      <c r="N14" s="165">
        <v>0.0</v>
      </c>
      <c r="O14" s="178">
        <v>20.0</v>
      </c>
      <c r="P14" s="165">
        <v>0.0</v>
      </c>
      <c r="Q14" s="165">
        <v>0.0</v>
      </c>
      <c r="R14" s="165">
        <v>0.0</v>
      </c>
      <c r="S14" s="165">
        <v>0.0</v>
      </c>
      <c r="T14" s="165">
        <v>0.0</v>
      </c>
      <c r="U14" s="165">
        <v>0.0</v>
      </c>
      <c r="V14" s="165">
        <v>0.0</v>
      </c>
    </row>
    <row r="15">
      <c r="A15" s="177" t="s">
        <v>182</v>
      </c>
      <c r="B15" s="167">
        <v>15.0</v>
      </c>
      <c r="C15" s="165">
        <v>0.0</v>
      </c>
      <c r="D15" s="165">
        <v>0.0</v>
      </c>
      <c r="E15" s="165">
        <v>0.0</v>
      </c>
      <c r="F15" s="165">
        <v>0.0</v>
      </c>
      <c r="G15" s="165">
        <v>0.0</v>
      </c>
      <c r="H15" s="165">
        <v>0.0</v>
      </c>
      <c r="I15" s="165">
        <v>1.0</v>
      </c>
      <c r="J15" s="165">
        <v>0.0</v>
      </c>
      <c r="K15" s="165">
        <v>0.0</v>
      </c>
      <c r="L15" s="165">
        <v>10.0</v>
      </c>
      <c r="M15" s="165">
        <v>0.0</v>
      </c>
      <c r="N15" s="165">
        <v>0.0</v>
      </c>
      <c r="O15" s="178">
        <v>50.0</v>
      </c>
      <c r="P15" s="165">
        <v>0.0</v>
      </c>
      <c r="Q15" s="165">
        <v>0.0</v>
      </c>
      <c r="R15" s="165">
        <v>0.0</v>
      </c>
      <c r="S15" s="165">
        <v>0.0</v>
      </c>
      <c r="T15" s="165">
        <v>0.0</v>
      </c>
      <c r="U15" s="165">
        <v>0.0</v>
      </c>
      <c r="V15" s="165">
        <v>0.0</v>
      </c>
    </row>
    <row r="16">
      <c r="A16" s="177" t="s">
        <v>183</v>
      </c>
      <c r="B16" s="179">
        <v>40.0</v>
      </c>
      <c r="C16" s="165">
        <v>0.0</v>
      </c>
      <c r="D16" s="165">
        <v>0.0</v>
      </c>
      <c r="E16" s="165">
        <v>0.0</v>
      </c>
      <c r="F16" s="165">
        <v>0.0</v>
      </c>
      <c r="G16" s="165">
        <v>0.0</v>
      </c>
      <c r="H16" s="165">
        <v>1.0</v>
      </c>
      <c r="I16" s="165">
        <v>0.0</v>
      </c>
      <c r="J16" s="165">
        <v>0.0</v>
      </c>
      <c r="K16" s="165">
        <v>0.0</v>
      </c>
      <c r="L16" s="165">
        <v>0.0</v>
      </c>
      <c r="M16" s="165">
        <v>10.0</v>
      </c>
      <c r="N16" s="165">
        <v>0.0</v>
      </c>
      <c r="O16" s="178">
        <v>70.0</v>
      </c>
      <c r="P16" s="165">
        <v>0.0</v>
      </c>
      <c r="Q16" s="165">
        <v>0.0</v>
      </c>
      <c r="R16" s="165">
        <v>0.0</v>
      </c>
      <c r="S16" s="165">
        <v>0.0</v>
      </c>
      <c r="T16" s="165">
        <v>0.0</v>
      </c>
      <c r="U16" s="165">
        <v>0.0</v>
      </c>
      <c r="V16" s="165">
        <v>0.0</v>
      </c>
    </row>
    <row r="21" ht="15.75" customHeight="1">
      <c r="A21" s="79"/>
    </row>
  </sheetData>
  <conditionalFormatting sqref="B12:V16">
    <cfRule type="cellIs" dxfId="5" priority="1" operator="greaterThan">
      <formula>0</formula>
    </cfRule>
  </conditionalFormatting>
  <conditionalFormatting sqref="A12:V16">
    <cfRule type="expression" dxfId="6" priority="2">
      <formula>ISEVEN(ROW()-12+1)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3" width="4.5"/>
    <col customWidth="1" min="24" max="26" width="8.63"/>
  </cols>
  <sheetData>
    <row r="1" ht="21.75" customHeight="1">
      <c r="A1" s="79" t="s">
        <v>189</v>
      </c>
    </row>
    <row r="2" ht="19.5" customHeight="1">
      <c r="A2" s="112" t="s">
        <v>114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</row>
    <row r="3">
      <c r="A3" s="145" t="s">
        <v>190</v>
      </c>
      <c r="B3" s="180">
        <v>4.0</v>
      </c>
    </row>
    <row r="4">
      <c r="A4" s="145" t="s">
        <v>191</v>
      </c>
      <c r="B4" s="146">
        <v>5.0</v>
      </c>
    </row>
    <row r="5">
      <c r="A5" s="145" t="s">
        <v>192</v>
      </c>
      <c r="B5" s="146" t="b">
        <f>TRUE()</f>
        <v>1</v>
      </c>
    </row>
    <row r="7" ht="19.5" customHeight="1">
      <c r="A7" s="112" t="s">
        <v>116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</row>
    <row r="8" ht="90.0" customHeight="1">
      <c r="A8" s="116" t="s">
        <v>193</v>
      </c>
      <c r="B8" s="117" t="s">
        <v>194</v>
      </c>
      <c r="C8" s="118" t="s">
        <v>82</v>
      </c>
      <c r="D8" s="119" t="s">
        <v>68</v>
      </c>
      <c r="E8" s="119" t="s">
        <v>103</v>
      </c>
      <c r="F8" s="119" t="s">
        <v>69</v>
      </c>
      <c r="G8" s="119" t="s">
        <v>70</v>
      </c>
      <c r="H8" s="119" t="s">
        <v>71</v>
      </c>
      <c r="I8" s="119" t="s">
        <v>72</v>
      </c>
      <c r="J8" s="119" t="s">
        <v>73</v>
      </c>
      <c r="K8" s="119" t="s">
        <v>74</v>
      </c>
      <c r="L8" s="119" t="s">
        <v>75</v>
      </c>
      <c r="M8" s="119" t="s">
        <v>76</v>
      </c>
      <c r="N8" s="119" t="s">
        <v>77</v>
      </c>
      <c r="O8" s="119" t="s">
        <v>78</v>
      </c>
      <c r="P8" s="119" t="s">
        <v>118</v>
      </c>
      <c r="Q8" s="119" t="s">
        <v>104</v>
      </c>
      <c r="R8" s="119" t="s">
        <v>105</v>
      </c>
      <c r="S8" s="119" t="s">
        <v>106</v>
      </c>
      <c r="T8" s="119" t="s">
        <v>107</v>
      </c>
      <c r="U8" s="119" t="s">
        <v>108</v>
      </c>
      <c r="V8" s="119" t="s">
        <v>109</v>
      </c>
      <c r="W8" s="119" t="s">
        <v>110</v>
      </c>
    </row>
    <row r="9">
      <c r="A9" s="121">
        <v>1.0</v>
      </c>
      <c r="B9" s="122">
        <v>15.0</v>
      </c>
      <c r="C9" s="149">
        <v>0.0</v>
      </c>
      <c r="D9" s="121">
        <v>0.0</v>
      </c>
      <c r="E9" s="121">
        <v>0.0</v>
      </c>
      <c r="F9" s="121">
        <v>0.0</v>
      </c>
      <c r="G9" s="121">
        <v>1.0</v>
      </c>
      <c r="H9" s="121">
        <v>0.0</v>
      </c>
      <c r="I9" s="121">
        <v>0.0</v>
      </c>
      <c r="J9" s="121">
        <v>0.0</v>
      </c>
      <c r="K9" s="121">
        <v>0.0</v>
      </c>
      <c r="L9" s="121">
        <v>0.0</v>
      </c>
      <c r="M9" s="121">
        <v>0.0</v>
      </c>
      <c r="N9" s="121">
        <v>0.0</v>
      </c>
      <c r="O9" s="121">
        <v>0.0</v>
      </c>
      <c r="P9" s="121">
        <v>0.0</v>
      </c>
      <c r="Q9" s="121">
        <v>0.0</v>
      </c>
      <c r="R9" s="121">
        <v>0.0</v>
      </c>
      <c r="S9" s="121">
        <v>0.0</v>
      </c>
      <c r="T9" s="121">
        <v>0.0</v>
      </c>
      <c r="U9" s="121">
        <v>0.0</v>
      </c>
      <c r="V9" s="121">
        <v>0.0</v>
      </c>
      <c r="W9" s="121">
        <v>0.0</v>
      </c>
    </row>
    <row r="10">
      <c r="A10" s="121">
        <v>2.0</v>
      </c>
      <c r="B10" s="122">
        <v>40.0</v>
      </c>
      <c r="C10" s="149">
        <v>0.0</v>
      </c>
      <c r="D10" s="121">
        <v>0.0</v>
      </c>
      <c r="E10" s="121">
        <v>0.0</v>
      </c>
      <c r="F10" s="121">
        <v>0.0</v>
      </c>
      <c r="G10" s="121">
        <v>0.0</v>
      </c>
      <c r="H10" s="121">
        <v>0.0</v>
      </c>
      <c r="I10" s="121">
        <v>0.0</v>
      </c>
      <c r="J10" s="121">
        <v>0.0</v>
      </c>
      <c r="K10" s="121">
        <v>0.0</v>
      </c>
      <c r="L10" s="121">
        <v>0.0</v>
      </c>
      <c r="M10" s="121">
        <v>10.0</v>
      </c>
      <c r="N10" s="121">
        <v>0.0</v>
      </c>
      <c r="O10" s="121">
        <v>0.0</v>
      </c>
      <c r="P10" s="121">
        <v>0.0</v>
      </c>
      <c r="Q10" s="121">
        <v>0.0</v>
      </c>
      <c r="R10" s="121">
        <v>0.0</v>
      </c>
      <c r="S10" s="121">
        <v>0.0</v>
      </c>
      <c r="T10" s="121">
        <v>0.0</v>
      </c>
      <c r="U10" s="121">
        <v>0.0</v>
      </c>
      <c r="V10" s="121">
        <v>0.0</v>
      </c>
      <c r="W10" s="121">
        <v>0.0</v>
      </c>
    </row>
    <row r="11">
      <c r="A11" s="121">
        <v>3.0</v>
      </c>
      <c r="B11" s="122">
        <v>70.0</v>
      </c>
      <c r="C11" s="149">
        <v>0.0</v>
      </c>
      <c r="D11" s="121">
        <v>0.0</v>
      </c>
      <c r="E11" s="121">
        <v>0.0</v>
      </c>
      <c r="F11" s="121">
        <v>0.0</v>
      </c>
      <c r="G11" s="121">
        <v>0.0</v>
      </c>
      <c r="H11" s="121">
        <v>0.0</v>
      </c>
      <c r="I11" s="121">
        <v>0.0</v>
      </c>
      <c r="J11" s="121">
        <v>0.0</v>
      </c>
      <c r="K11" s="121">
        <v>0.0</v>
      </c>
      <c r="L11" s="121">
        <v>0.0</v>
      </c>
      <c r="M11" s="121">
        <v>0.0</v>
      </c>
      <c r="N11" s="121">
        <v>10.0</v>
      </c>
      <c r="O11" s="121">
        <v>0.0</v>
      </c>
      <c r="P11" s="121">
        <v>0.0</v>
      </c>
      <c r="Q11" s="121">
        <v>0.0</v>
      </c>
      <c r="R11" s="121">
        <v>0.0</v>
      </c>
      <c r="S11" s="121">
        <v>0.0</v>
      </c>
      <c r="T11" s="121">
        <v>0.0</v>
      </c>
      <c r="U11" s="121">
        <v>0.0</v>
      </c>
      <c r="V11" s="121">
        <v>0.0</v>
      </c>
      <c r="W11" s="121">
        <v>0.0</v>
      </c>
    </row>
    <row r="12">
      <c r="A12" s="121">
        <v>4.0</v>
      </c>
      <c r="B12" s="122">
        <v>110.0</v>
      </c>
      <c r="C12" s="149">
        <v>0.0</v>
      </c>
      <c r="D12" s="121">
        <v>0.0</v>
      </c>
      <c r="E12" s="121">
        <v>0.0</v>
      </c>
      <c r="F12" s="121">
        <v>0.0</v>
      </c>
      <c r="G12" s="121">
        <v>0.0</v>
      </c>
      <c r="H12" s="121">
        <v>0.0</v>
      </c>
      <c r="I12" s="121">
        <v>0.0</v>
      </c>
      <c r="J12" s="121">
        <v>0.0</v>
      </c>
      <c r="K12" s="121">
        <v>0.0</v>
      </c>
      <c r="L12" s="121">
        <v>30.0</v>
      </c>
      <c r="M12" s="121">
        <v>0.0</v>
      </c>
      <c r="N12" s="121">
        <v>0.0</v>
      </c>
      <c r="O12" s="121">
        <v>0.0</v>
      </c>
      <c r="P12" s="121">
        <v>0.0</v>
      </c>
      <c r="Q12" s="121">
        <v>0.0</v>
      </c>
      <c r="R12" s="121">
        <v>0.0</v>
      </c>
      <c r="S12" s="121">
        <v>0.0</v>
      </c>
      <c r="T12" s="121">
        <v>0.0</v>
      </c>
      <c r="U12" s="121">
        <v>0.0</v>
      </c>
      <c r="V12" s="121">
        <v>0.0</v>
      </c>
      <c r="W12" s="121">
        <v>0.0</v>
      </c>
    </row>
    <row r="13">
      <c r="A13" s="121">
        <v>5.0</v>
      </c>
      <c r="B13" s="122">
        <v>160.0</v>
      </c>
      <c r="C13" s="149">
        <v>25.0</v>
      </c>
      <c r="D13" s="121">
        <v>0.0</v>
      </c>
      <c r="E13" s="121">
        <v>0.0</v>
      </c>
      <c r="F13" s="121">
        <v>0.0</v>
      </c>
      <c r="G13" s="121">
        <v>0.0</v>
      </c>
      <c r="H13" s="121">
        <v>0.0</v>
      </c>
      <c r="I13" s="121">
        <v>0.0</v>
      </c>
      <c r="J13" s="121">
        <v>0.0</v>
      </c>
      <c r="K13" s="121">
        <v>0.0</v>
      </c>
      <c r="L13" s="121">
        <v>0.0</v>
      </c>
      <c r="M13" s="121">
        <v>0.0</v>
      </c>
      <c r="N13" s="121">
        <v>0.0</v>
      </c>
      <c r="O13" s="121">
        <v>0.0</v>
      </c>
      <c r="P13" s="121">
        <v>0.0</v>
      </c>
      <c r="Q13" s="121">
        <v>0.0</v>
      </c>
      <c r="R13" s="121">
        <v>0.0</v>
      </c>
      <c r="S13" s="121">
        <v>0.0</v>
      </c>
      <c r="T13" s="121">
        <v>0.0</v>
      </c>
      <c r="U13" s="121">
        <v>0.0</v>
      </c>
      <c r="V13" s="121">
        <v>0.0</v>
      </c>
      <c r="W13" s="121">
        <v>0.0</v>
      </c>
    </row>
    <row r="14">
      <c r="A14" s="121">
        <v>6.0</v>
      </c>
      <c r="B14" s="122">
        <v>220.0</v>
      </c>
      <c r="C14" s="149">
        <v>0.0</v>
      </c>
      <c r="D14" s="121">
        <v>0.0</v>
      </c>
      <c r="E14" s="121">
        <v>0.0</v>
      </c>
      <c r="F14" s="121">
        <v>0.0</v>
      </c>
      <c r="G14" s="121">
        <v>0.0</v>
      </c>
      <c r="H14" s="121">
        <v>0.0</v>
      </c>
      <c r="I14" s="121">
        <v>0.0</v>
      </c>
      <c r="J14" s="121">
        <v>0.0</v>
      </c>
      <c r="K14" s="121">
        <v>0.0</v>
      </c>
      <c r="L14" s="121">
        <v>0.0</v>
      </c>
      <c r="M14" s="121">
        <v>0.0</v>
      </c>
      <c r="N14" s="121">
        <v>0.0</v>
      </c>
      <c r="O14" s="121">
        <v>10.0</v>
      </c>
      <c r="P14" s="121">
        <v>0.0</v>
      </c>
      <c r="Q14" s="121">
        <v>0.0</v>
      </c>
      <c r="R14" s="121">
        <v>0.0</v>
      </c>
      <c r="S14" s="121">
        <v>0.0</v>
      </c>
      <c r="T14" s="121">
        <v>0.0</v>
      </c>
      <c r="U14" s="121">
        <v>0.0</v>
      </c>
      <c r="V14" s="121">
        <v>0.0</v>
      </c>
      <c r="W14" s="121">
        <v>0.0</v>
      </c>
    </row>
    <row r="15">
      <c r="A15" s="121">
        <v>7.0</v>
      </c>
      <c r="B15" s="122">
        <v>290.0</v>
      </c>
      <c r="C15" s="149">
        <v>0.0</v>
      </c>
      <c r="D15" s="121">
        <v>0.0</v>
      </c>
      <c r="E15" s="121">
        <v>0.0</v>
      </c>
      <c r="F15" s="121">
        <v>1.0</v>
      </c>
      <c r="G15" s="121">
        <v>0.0</v>
      </c>
      <c r="H15" s="121">
        <v>0.0</v>
      </c>
      <c r="I15" s="121">
        <v>0.0</v>
      </c>
      <c r="J15" s="121">
        <v>0.0</v>
      </c>
      <c r="K15" s="121">
        <v>0.0</v>
      </c>
      <c r="L15" s="121">
        <v>0.0</v>
      </c>
      <c r="M15" s="121">
        <v>0.0</v>
      </c>
      <c r="N15" s="121">
        <v>0.0</v>
      </c>
      <c r="O15" s="121">
        <v>0.0</v>
      </c>
      <c r="P15" s="121">
        <v>0.0</v>
      </c>
      <c r="Q15" s="121">
        <v>0.0</v>
      </c>
      <c r="R15" s="121">
        <v>0.0</v>
      </c>
      <c r="S15" s="121">
        <v>0.0</v>
      </c>
      <c r="T15" s="121">
        <v>0.0</v>
      </c>
      <c r="U15" s="121">
        <v>0.0</v>
      </c>
      <c r="V15" s="121">
        <v>0.0</v>
      </c>
      <c r="W15" s="121">
        <v>0.0</v>
      </c>
    </row>
    <row r="16">
      <c r="A16" s="121">
        <v>8.0</v>
      </c>
      <c r="B16" s="122">
        <v>370.0</v>
      </c>
      <c r="C16" s="149">
        <v>0.0</v>
      </c>
      <c r="D16" s="121">
        <v>0.0</v>
      </c>
      <c r="E16" s="121">
        <v>0.0</v>
      </c>
      <c r="F16" s="121">
        <v>0.0</v>
      </c>
      <c r="G16" s="121">
        <v>0.0</v>
      </c>
      <c r="H16" s="121">
        <v>0.0</v>
      </c>
      <c r="I16" s="121">
        <v>0.0</v>
      </c>
      <c r="J16" s="121">
        <v>0.0</v>
      </c>
      <c r="K16" s="121">
        <v>0.0</v>
      </c>
      <c r="L16" s="121">
        <v>60.0</v>
      </c>
      <c r="M16" s="121">
        <v>0.0</v>
      </c>
      <c r="N16" s="121">
        <v>0.0</v>
      </c>
      <c r="O16" s="121">
        <v>0.0</v>
      </c>
      <c r="P16" s="121">
        <v>0.0</v>
      </c>
      <c r="Q16" s="121">
        <v>0.0</v>
      </c>
      <c r="R16" s="121">
        <v>0.0</v>
      </c>
      <c r="S16" s="121">
        <v>0.0</v>
      </c>
      <c r="T16" s="121">
        <v>0.0</v>
      </c>
      <c r="U16" s="121">
        <v>0.0</v>
      </c>
      <c r="V16" s="121">
        <v>0.0</v>
      </c>
      <c r="W16" s="121">
        <v>0.0</v>
      </c>
    </row>
    <row r="17">
      <c r="A17" s="121">
        <v>9.0</v>
      </c>
      <c r="B17" s="122">
        <v>460.0</v>
      </c>
      <c r="C17" s="149">
        <v>0.0</v>
      </c>
      <c r="D17" s="121">
        <v>0.0</v>
      </c>
      <c r="E17" s="121">
        <v>0.0</v>
      </c>
      <c r="F17" s="121">
        <v>0.0</v>
      </c>
      <c r="G17" s="121">
        <v>0.0</v>
      </c>
      <c r="H17" s="121">
        <v>0.0</v>
      </c>
      <c r="I17" s="121">
        <v>0.0</v>
      </c>
      <c r="J17" s="121">
        <v>0.0</v>
      </c>
      <c r="K17" s="121">
        <v>0.0</v>
      </c>
      <c r="L17" s="121">
        <v>0.0</v>
      </c>
      <c r="M17" s="121">
        <v>15.0</v>
      </c>
      <c r="N17" s="121">
        <v>0.0</v>
      </c>
      <c r="O17" s="121">
        <v>0.0</v>
      </c>
      <c r="P17" s="121">
        <v>0.0</v>
      </c>
      <c r="Q17" s="121">
        <v>0.0</v>
      </c>
      <c r="R17" s="121">
        <v>0.0</v>
      </c>
      <c r="S17" s="121">
        <v>0.0</v>
      </c>
      <c r="T17" s="121">
        <v>0.0</v>
      </c>
      <c r="U17" s="121">
        <v>0.0</v>
      </c>
      <c r="V17" s="121">
        <v>0.0</v>
      </c>
      <c r="W17" s="121">
        <v>0.0</v>
      </c>
    </row>
    <row r="18">
      <c r="A18" s="121">
        <v>10.0</v>
      </c>
      <c r="B18" s="122">
        <v>560.0</v>
      </c>
      <c r="C18" s="149">
        <v>25.0</v>
      </c>
      <c r="D18" s="121">
        <v>0.0</v>
      </c>
      <c r="E18" s="121">
        <v>0.0</v>
      </c>
      <c r="F18" s="121">
        <v>0.0</v>
      </c>
      <c r="G18" s="121">
        <v>0.0</v>
      </c>
      <c r="H18" s="121">
        <v>0.0</v>
      </c>
      <c r="I18" s="121">
        <v>0.0</v>
      </c>
      <c r="J18" s="121">
        <v>0.0</v>
      </c>
      <c r="K18" s="121">
        <v>0.0</v>
      </c>
      <c r="L18" s="121">
        <v>0.0</v>
      </c>
      <c r="M18" s="121">
        <v>0.0</v>
      </c>
      <c r="N18" s="121">
        <v>0.0</v>
      </c>
      <c r="O18" s="121">
        <v>0.0</v>
      </c>
      <c r="P18" s="121">
        <v>0.0</v>
      </c>
      <c r="Q18" s="121">
        <v>0.0</v>
      </c>
      <c r="R18" s="121">
        <v>0.0</v>
      </c>
      <c r="S18" s="121">
        <v>0.0</v>
      </c>
      <c r="T18" s="121">
        <v>0.0</v>
      </c>
      <c r="U18" s="121">
        <v>0.0</v>
      </c>
      <c r="V18" s="121">
        <v>0.0</v>
      </c>
      <c r="W18" s="121">
        <v>0.0</v>
      </c>
    </row>
    <row r="19">
      <c r="A19" s="121">
        <v>11.0</v>
      </c>
      <c r="B19" s="122">
        <v>670.0</v>
      </c>
      <c r="C19" s="149">
        <v>0.0</v>
      </c>
      <c r="D19" s="121">
        <v>0.0</v>
      </c>
      <c r="E19" s="121">
        <v>0.0</v>
      </c>
      <c r="F19" s="121">
        <v>0.0</v>
      </c>
      <c r="G19" s="121">
        <v>0.0</v>
      </c>
      <c r="H19" s="121">
        <v>0.0</v>
      </c>
      <c r="I19" s="121">
        <v>0.0</v>
      </c>
      <c r="J19" s="121">
        <v>0.0</v>
      </c>
      <c r="K19" s="121">
        <v>0.0</v>
      </c>
      <c r="L19" s="121">
        <v>0.0</v>
      </c>
      <c r="M19" s="121">
        <v>0.0</v>
      </c>
      <c r="N19" s="121">
        <v>15.0</v>
      </c>
      <c r="O19" s="121">
        <v>0.0</v>
      </c>
      <c r="P19" s="121">
        <v>0.0</v>
      </c>
      <c r="Q19" s="121">
        <v>0.0</v>
      </c>
      <c r="R19" s="121">
        <v>0.0</v>
      </c>
      <c r="S19" s="121">
        <v>0.0</v>
      </c>
      <c r="T19" s="121">
        <v>0.0</v>
      </c>
      <c r="U19" s="121">
        <v>0.0</v>
      </c>
      <c r="V19" s="121">
        <v>0.0</v>
      </c>
      <c r="W19" s="121">
        <v>0.0</v>
      </c>
    </row>
    <row r="20">
      <c r="A20" s="121">
        <v>12.0</v>
      </c>
      <c r="B20" s="122">
        <v>790.0</v>
      </c>
      <c r="C20" s="149">
        <v>0.0</v>
      </c>
      <c r="D20" s="121">
        <v>0.0</v>
      </c>
      <c r="E20" s="121">
        <v>0.0</v>
      </c>
      <c r="F20" s="121">
        <v>0.0</v>
      </c>
      <c r="G20" s="121">
        <v>0.0</v>
      </c>
      <c r="H20" s="121">
        <v>0.0</v>
      </c>
      <c r="I20" s="121">
        <v>0.0</v>
      </c>
      <c r="J20" s="121">
        <v>0.0</v>
      </c>
      <c r="K20" s="121">
        <v>0.0</v>
      </c>
      <c r="L20" s="121">
        <v>0.0</v>
      </c>
      <c r="M20" s="121">
        <v>0.0</v>
      </c>
      <c r="N20" s="121">
        <v>0.0</v>
      </c>
      <c r="O20" s="121">
        <v>15.0</v>
      </c>
      <c r="P20" s="121">
        <v>0.0</v>
      </c>
      <c r="Q20" s="121">
        <v>0.0</v>
      </c>
      <c r="R20" s="121">
        <v>0.0</v>
      </c>
      <c r="S20" s="121">
        <v>0.0</v>
      </c>
      <c r="T20" s="121">
        <v>0.0</v>
      </c>
      <c r="U20" s="121">
        <v>0.0</v>
      </c>
      <c r="V20" s="121">
        <v>0.0</v>
      </c>
      <c r="W20" s="121">
        <v>0.0</v>
      </c>
    </row>
    <row r="21" ht="15.75" customHeight="1">
      <c r="A21" s="121">
        <v>13.0</v>
      </c>
      <c r="B21" s="122">
        <v>920.0</v>
      </c>
      <c r="C21" s="149">
        <v>0.0</v>
      </c>
      <c r="D21" s="121">
        <v>0.0</v>
      </c>
      <c r="E21" s="121">
        <v>0.0</v>
      </c>
      <c r="F21" s="121">
        <v>0.0</v>
      </c>
      <c r="G21" s="121">
        <v>0.0</v>
      </c>
      <c r="H21" s="121">
        <v>0.0</v>
      </c>
      <c r="I21" s="121">
        <v>1.0</v>
      </c>
      <c r="J21" s="121">
        <v>0.0</v>
      </c>
      <c r="K21" s="121">
        <v>0.0</v>
      </c>
      <c r="L21" s="121">
        <v>0.0</v>
      </c>
      <c r="M21" s="121">
        <v>0.0</v>
      </c>
      <c r="N21" s="121">
        <v>0.0</v>
      </c>
      <c r="O21" s="121">
        <v>0.0</v>
      </c>
      <c r="P21" s="121">
        <v>0.0</v>
      </c>
      <c r="Q21" s="121">
        <v>0.0</v>
      </c>
      <c r="R21" s="121">
        <v>0.0</v>
      </c>
      <c r="S21" s="121">
        <v>0.0</v>
      </c>
      <c r="T21" s="121">
        <v>0.0</v>
      </c>
      <c r="U21" s="121">
        <v>0.0</v>
      </c>
      <c r="V21" s="121">
        <v>0.0</v>
      </c>
      <c r="W21" s="121">
        <v>0.0</v>
      </c>
    </row>
    <row r="22" ht="15.75" customHeight="1">
      <c r="A22" s="121">
        <v>14.0</v>
      </c>
      <c r="B22" s="122">
        <v>1060.0</v>
      </c>
      <c r="C22" s="149">
        <v>0.0</v>
      </c>
      <c r="D22" s="121">
        <v>0.0</v>
      </c>
      <c r="E22" s="121">
        <v>0.0</v>
      </c>
      <c r="F22" s="121">
        <v>0.0</v>
      </c>
      <c r="G22" s="121">
        <v>0.0</v>
      </c>
      <c r="H22" s="121">
        <v>0.0</v>
      </c>
      <c r="I22" s="121">
        <v>0.0</v>
      </c>
      <c r="J22" s="121">
        <v>0.0</v>
      </c>
      <c r="K22" s="121">
        <v>0.0</v>
      </c>
      <c r="L22" s="121">
        <v>60.0</v>
      </c>
      <c r="M22" s="121">
        <v>0.0</v>
      </c>
      <c r="N22" s="121">
        <v>0.0</v>
      </c>
      <c r="O22" s="121">
        <v>0.0</v>
      </c>
      <c r="P22" s="121">
        <v>0.0</v>
      </c>
      <c r="Q22" s="121">
        <v>0.0</v>
      </c>
      <c r="R22" s="121">
        <v>0.0</v>
      </c>
      <c r="S22" s="121">
        <v>0.0</v>
      </c>
      <c r="T22" s="121">
        <v>0.0</v>
      </c>
      <c r="U22" s="121">
        <v>0.0</v>
      </c>
      <c r="V22" s="121">
        <v>0.0</v>
      </c>
      <c r="W22" s="121">
        <v>0.0</v>
      </c>
    </row>
    <row r="23" ht="15.75" customHeight="1">
      <c r="A23" s="121">
        <v>15.0</v>
      </c>
      <c r="B23" s="122">
        <v>1210.0</v>
      </c>
      <c r="C23" s="149">
        <v>0.0</v>
      </c>
      <c r="D23" s="121">
        <v>0.0</v>
      </c>
      <c r="E23" s="121">
        <v>0.0</v>
      </c>
      <c r="F23" s="121">
        <v>0.0</v>
      </c>
      <c r="G23" s="121">
        <v>0.0</v>
      </c>
      <c r="H23" s="121">
        <v>0.0</v>
      </c>
      <c r="I23" s="121">
        <v>0.0</v>
      </c>
      <c r="J23" s="121">
        <v>1.0</v>
      </c>
      <c r="K23" s="121">
        <v>0.0</v>
      </c>
      <c r="L23" s="121">
        <v>0.0</v>
      </c>
      <c r="M23" s="121">
        <v>0.0</v>
      </c>
      <c r="N23" s="121">
        <v>0.0</v>
      </c>
      <c r="O23" s="121">
        <v>0.0</v>
      </c>
      <c r="P23" s="121">
        <v>0.0</v>
      </c>
      <c r="Q23" s="121">
        <v>0.0</v>
      </c>
      <c r="R23" s="121">
        <v>0.0</v>
      </c>
      <c r="S23" s="121">
        <v>0.0</v>
      </c>
      <c r="T23" s="121">
        <v>0.0</v>
      </c>
      <c r="U23" s="121">
        <v>0.0</v>
      </c>
      <c r="V23" s="121">
        <v>0.0</v>
      </c>
      <c r="W23" s="121">
        <v>0.0</v>
      </c>
    </row>
    <row r="24" ht="15.75" customHeight="1">
      <c r="A24" s="181" t="s">
        <v>195</v>
      </c>
      <c r="B24" s="122"/>
      <c r="C24" s="149">
        <v>50.0</v>
      </c>
      <c r="D24" s="121">
        <v>0.0</v>
      </c>
      <c r="E24" s="121">
        <v>0.0</v>
      </c>
      <c r="F24" s="121">
        <v>0.0</v>
      </c>
      <c r="G24" s="121">
        <v>0.0</v>
      </c>
      <c r="H24" s="121">
        <v>1.0</v>
      </c>
      <c r="I24" s="121">
        <v>0.0</v>
      </c>
      <c r="J24" s="121">
        <v>0.0</v>
      </c>
      <c r="K24" s="121">
        <v>1.0</v>
      </c>
      <c r="L24" s="121">
        <v>0.0</v>
      </c>
      <c r="M24" s="121">
        <v>0.0</v>
      </c>
      <c r="N24" s="121">
        <v>0.0</v>
      </c>
      <c r="O24" s="121">
        <v>0.0</v>
      </c>
      <c r="P24" s="121">
        <v>0.0</v>
      </c>
      <c r="Q24" s="121">
        <v>0.0</v>
      </c>
      <c r="R24" s="121">
        <v>0.0</v>
      </c>
      <c r="S24" s="121">
        <v>0.0</v>
      </c>
      <c r="T24" s="121">
        <v>0.0</v>
      </c>
      <c r="U24" s="121">
        <v>0.0</v>
      </c>
      <c r="V24" s="121">
        <v>0.0</v>
      </c>
      <c r="W24" s="121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5" priority="1" operator="greaterThan">
      <formula>0</formula>
    </cfRule>
  </conditionalFormatting>
  <conditionalFormatting sqref="A9:W24">
    <cfRule type="expression" dxfId="6" priority="2">
      <formula>ISEVEN(ROW()-9+1)</formula>
    </cfRule>
  </conditionalFormatting>
  <conditionalFormatting sqref="A1:B2 A4:B1000">
    <cfRule type="expression" dxfId="7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3" width="3.75"/>
    <col customWidth="1" min="24" max="24" width="7.5"/>
    <col customWidth="1" min="25" max="32" width="7.63"/>
    <col customWidth="1" min="33" max="33" width="2.5"/>
    <col customWidth="1" min="34" max="34" width="11.0"/>
    <col customWidth="1" min="35" max="35" width="5.5"/>
    <col customWidth="1" min="36" max="36" width="14.13"/>
    <col customWidth="1" min="37" max="37" width="5.5"/>
    <col customWidth="1" min="38" max="38" width="14.13"/>
    <col customWidth="1" min="39" max="39" width="5.5"/>
    <col customWidth="1" min="40" max="40" width="14.13"/>
    <col customWidth="1" min="41" max="41" width="5.5"/>
    <col customWidth="1" min="42" max="42" width="14.13"/>
    <col customWidth="1" min="43" max="43" width="5.5"/>
    <col customWidth="1" min="44" max="44" width="14.13"/>
  </cols>
  <sheetData>
    <row r="1" ht="21.75" customHeight="1">
      <c r="A1" s="150" t="s">
        <v>189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AH1" s="151" t="s">
        <v>159</v>
      </c>
    </row>
    <row r="2" ht="19.5" customHeight="1">
      <c r="A2" s="112" t="s">
        <v>114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AH2" s="152" t="s">
        <v>160</v>
      </c>
      <c r="AI2" s="153" t="s">
        <v>161</v>
      </c>
    </row>
    <row r="3">
      <c r="A3" s="154" t="s">
        <v>190</v>
      </c>
      <c r="B3" s="155">
        <v>3.0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AH3" s="152" t="s">
        <v>162</v>
      </c>
      <c r="AI3" s="170" t="s">
        <v>163</v>
      </c>
    </row>
    <row r="4">
      <c r="A4" s="154" t="s">
        <v>191</v>
      </c>
      <c r="B4" s="156">
        <v>5.0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</row>
    <row r="5">
      <c r="A5" s="154" t="s">
        <v>192</v>
      </c>
      <c r="B5" s="156" t="b">
        <f>TRUE()</f>
        <v>1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AH5" s="157" t="s">
        <v>164</v>
      </c>
      <c r="AI5" s="157" t="s">
        <v>165</v>
      </c>
      <c r="AJ5" s="157" t="s">
        <v>166</v>
      </c>
      <c r="AK5" s="157" t="s">
        <v>167</v>
      </c>
      <c r="AL5" s="157" t="s">
        <v>168</v>
      </c>
      <c r="AM5" s="157" t="s">
        <v>169</v>
      </c>
      <c r="AN5" s="157" t="s">
        <v>170</v>
      </c>
      <c r="AO5" s="157" t="s">
        <v>171</v>
      </c>
      <c r="AP5" s="157" t="s">
        <v>172</v>
      </c>
      <c r="AQ5" s="157" t="s">
        <v>173</v>
      </c>
      <c r="AR5" s="157" t="s">
        <v>174</v>
      </c>
    </row>
    <row r="6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AH6" s="158">
        <f>IF(1&lt;=$B$3,1,"")</f>
        <v>1</v>
      </c>
      <c r="AI6" s="159">
        <f t="array" ref="AI6">IF($AH6="","",LET(bal,SUMIFS(data_event_inst!$N:$N,data_event_inst!$A:$A,"Bombs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Ballet",data_event_accrual!$B:$B,$AI$3,data_event_accrual!$C:$C,"0-9",data_event_accrual!$E:$E,$AH6),AVERAGEIFS(data_event_accrual!$K:$K,data_event_accrual!$A:$A,"Bombs Ballet",data_event_accrual!$B:$B,$AI$3,data_event_accrual!$C:$C,"0-9",data_event_accrual!$E:$E,$AH6),AVERAGEIFS(data_event_accrual!$J:$J,data_event_accrual!$A:$A,"Bombs Ballet",data_event_accrual!$B:$B,$AI$3,data_event_accrual!$C:$C,"0-9",data_event_accrual!$E:$E,$AH6),AVERAGEIFS(data_event_accrual!$L:$L,data_event_accrual!$A:$A,"Bombs Ballet",data_event_accrual!$B:$B,$AI$3,data_event_accrual!$C:$C,"0-9",data_event_accrual!$E:$E,$AH6)),1)),COUNTIF($B$9:$B$23,"&lt;="&amp;bal*shr)))</f>
        <v>0</v>
      </c>
      <c r="AJ6" s="160" t="str">
        <f t="array" ref="AJ6">IF($AH6="","",IF(AI6=0,"{}",LET(m,IF(AI6=15,16,AI6),s,MMULT(SEQUENCE(1,m,1,0),$C$9:$W$24),"{"&amp;TEXTJOIN(", ",TRUE,IF(s&gt;0,$C$8:$W$8&amp;": "&amp;ROUND(s,2),""))&amp;"}")))</f>
        <v>{}</v>
      </c>
      <c r="AK6" s="159">
        <f t="array" ref="AK6">IF($AH6="","",LET(bal,SUMIFS(data_event_inst!$N:$N,data_event_inst!$A:$A,"Bombs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Ballet",data_event_accrual!$B:$B,$AI$3,data_event_accrual!$C:$C,"10-19",data_event_accrual!$E:$E,$AH6),AVERAGEIFS(data_event_accrual!$K:$K,data_event_accrual!$A:$A,"Bombs Ballet",data_event_accrual!$B:$B,$AI$3,data_event_accrual!$C:$C,"10-19",data_event_accrual!$E:$E,$AH6),AVERAGEIFS(data_event_accrual!$J:$J,data_event_accrual!$A:$A,"Bombs Ballet",data_event_accrual!$B:$B,$AI$3,data_event_accrual!$C:$C,"10-19",data_event_accrual!$E:$E,$AH6),AVERAGEIFS(data_event_accrual!$L:$L,data_event_accrual!$A:$A,"Bombs Ballet",data_event_accrual!$B:$B,$AI$3,data_event_accrual!$C:$C,"10-19",data_event_accrual!$E:$E,$AH6)),1)),COUNTIF($B$9:$B$23,"&lt;="&amp;bal*shr)))</f>
        <v>1</v>
      </c>
      <c r="AL6" s="160" t="str">
        <f t="array" ref="AL6">IF($AH6="","",IF(AK6=0,"{}",LET(m,IF(AK6=15,16,AK6),s,MMULT(SEQUENCE(1,m,1,0),$C$9:$W$24),"{"&amp;TEXTJOIN(", ",TRUE,IF(s&gt;0,$C$8:$W$8&amp;": "&amp;ROUND(s,2),""))&amp;"}")))</f>
        <v>{Chuck: 1}</v>
      </c>
      <c r="AM6" s="159">
        <f t="array" ref="AM6">IF($AH6="","",LET(bal,SUMIFS(data_event_inst!$N:$N,data_event_inst!$A:$A,"Bombs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Ballet",data_event_accrual!$B:$B,$AI$3,data_event_accrual!$C:$C,"20-39",data_event_accrual!$E:$E,$AH6),AVERAGEIFS(data_event_accrual!$K:$K,data_event_accrual!$A:$A,"Bombs Ballet",data_event_accrual!$B:$B,$AI$3,data_event_accrual!$C:$C,"20-39",data_event_accrual!$E:$E,$AH6),AVERAGEIFS(data_event_accrual!$J:$J,data_event_accrual!$A:$A,"Bombs Ballet",data_event_accrual!$B:$B,$AI$3,data_event_accrual!$C:$C,"20-39",data_event_accrual!$E:$E,$AH6),AVERAGEIFS(data_event_accrual!$L:$L,data_event_accrual!$A:$A,"Bombs Ballet",data_event_accrual!$B:$B,$AI$3,data_event_accrual!$C:$C,"20-39",data_event_accrual!$E:$E,$AH6)),1)),COUNTIF($B$9:$B$23,"&lt;="&amp;bal*shr)))</f>
        <v>2</v>
      </c>
      <c r="AN6" s="160" t="str">
        <f t="array" ref="AN6">IF($AH6="","",IF(AM6=0,"{}",LET(m,IF(AM6=15,16,AM6),s,MMULT(SEQUENCE(1,m,1,0),$C$9:$W$24),"{"&amp;TEXTJOIN(", ",TRUE,IF(s&gt;0,$C$8:$W$8&amp;": "&amp;ROUND(s,2),""))&amp;"}")))</f>
        <v>{Chuck: 1, Unlimited Red: 10}</v>
      </c>
      <c r="AO6" s="159">
        <f t="array" ref="AO6">IF($AH6="","",LET(bal,SUMIFS(data_event_inst!$N:$N,data_event_inst!$A:$A,"Bombs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Ballet",data_event_accrual!$B:$B,$AI$3,data_event_accrual!$C:$C,"40-99",data_event_accrual!$E:$E,$AH6),AVERAGEIFS(data_event_accrual!$K:$K,data_event_accrual!$A:$A,"Bombs Ballet",data_event_accrual!$B:$B,$AI$3,data_event_accrual!$C:$C,"40-99",data_event_accrual!$E:$E,$AH6),AVERAGEIFS(data_event_accrual!$J:$J,data_event_accrual!$A:$A,"Bombs Ballet",data_event_accrual!$B:$B,$AI$3,data_event_accrual!$C:$C,"40-99",data_event_accrual!$E:$E,$AH6),AVERAGEIFS(data_event_accrual!$L:$L,data_event_accrual!$A:$A,"Bombs Ballet",data_event_accrual!$B:$B,$AI$3,data_event_accrual!$C:$C,"40-99",data_event_accrual!$E:$E,$AH6)),1)),COUNTIF($B$9:$B$23,"&lt;="&amp;bal*shr)))</f>
        <v>5</v>
      </c>
      <c r="AP6" s="160" t="str">
        <f t="array" ref="AP6">IF($AH6="","",IF(AO6=0,"{}",LET(m,IF(AO6=15,16,AO6),s,MMULT(SEQUENCE(1,m,1,0),$C$9:$W$24),"{"&amp;TEXTJOIN(", ",TRUE,IF(s&gt;0,$C$8:$W$8&amp;": "&amp;ROUND(s,2),""))&amp;"}")))</f>
        <v>{Coins: 25, Chuck: 1, Unlimited Lives: 30, Unlimited Red: 10, Unlimited Chuck: 10}</v>
      </c>
      <c r="AQ6" s="159">
        <f t="array" ref="AQ6">IF($AH6="","",LET(bal,SUMIFS(data_event_inst!$N:$N,data_event_inst!$A:$A,"Bombs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Ballet",data_event_accrual!$B:$B,$AI$3,data_event_accrual!$C:$C,"100+",data_event_accrual!$E:$E,$AH6),AVERAGEIFS(data_event_accrual!$K:$K,data_event_accrual!$A:$A,"Bombs Ballet",data_event_accrual!$B:$B,$AI$3,data_event_accrual!$C:$C,"100+",data_event_accrual!$E:$E,$AH6),AVERAGEIFS(data_event_accrual!$J:$J,data_event_accrual!$A:$A,"Bombs Ballet",data_event_accrual!$B:$B,$AI$3,data_event_accrual!$C:$C,"100+",data_event_accrual!$E:$E,$AH6),AVERAGEIFS(data_event_accrual!$L:$L,data_event_accrual!$A:$A,"Bombs Ballet",data_event_accrual!$B:$B,$AI$3,data_event_accrual!$C:$C,"100+",data_event_accrual!$E:$E,$AH6)),1)),COUNTIF($B$9:$B$23,"&lt;="&amp;bal*shr)))</f>
        <v>6</v>
      </c>
      <c r="AR6" s="160" t="str">
        <f t="array" ref="AR6">IF($AH6="","",IF(AQ6=0,"{}",LET(m,IF(AQ6=15,16,AQ6),s,MMULT(SEQUENCE(1,m,1,0),$C$9:$W$24),"{"&amp;TEXTJOIN(", ",TRUE,IF(s&gt;0,$C$8:$W$8&amp;": "&amp;ROUND(s,2),""))&amp;"}")))</f>
        <v>{Coins: 25, Chuck: 1, Unlimited Lives: 30, Unlimited Red: 10, Unlimited Chuck: 10, Unlimited Bomb: 10}</v>
      </c>
    </row>
    <row r="7" ht="19.5" customHeight="1">
      <c r="A7" s="112" t="s">
        <v>116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AH7" s="158">
        <f>IF(2&lt;=$B$3,2,"")</f>
        <v>2</v>
      </c>
      <c r="AI7" s="159">
        <f t="array" ref="AI7">IF($AH7="","",LET(bal,SUMIFS(data_event_inst!$N:$N,data_event_inst!$A:$A,"Bombs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Ballet",data_event_accrual!$B:$B,$AI$3,data_event_accrual!$C:$C,"0-9",data_event_accrual!$E:$E,$AH7),AVERAGEIFS(data_event_accrual!$K:$K,data_event_accrual!$A:$A,"Bombs Ballet",data_event_accrual!$B:$B,$AI$3,data_event_accrual!$C:$C,"0-9",data_event_accrual!$E:$E,$AH7),AVERAGEIFS(data_event_accrual!$J:$J,data_event_accrual!$A:$A,"Bombs Ballet",data_event_accrual!$B:$B,$AI$3,data_event_accrual!$C:$C,"0-9",data_event_accrual!$E:$E,$AH7),AVERAGEIFS(data_event_accrual!$L:$L,data_event_accrual!$A:$A,"Bombs Ballet",data_event_accrual!$B:$B,$AI$3,data_event_accrual!$C:$C,"0-9",data_event_accrual!$E:$E,$AH7)),1)),COUNTIF($B$9:$B$23,"&lt;="&amp;bal*shr)))</f>
        <v>1</v>
      </c>
      <c r="AJ7" s="160" t="str">
        <f t="array" ref="AJ7">IF($AH7="","",IF(AI7=0,"{}",LET(m,IF(AI7=15,16,AI7),s,MMULT(SEQUENCE(1,m,1,0),$C$9:$W$24),"{"&amp;TEXTJOIN(", ",TRUE,IF(s&gt;0,$C$8:$W$8&amp;": "&amp;ROUND(s,2),""))&amp;"}")))</f>
        <v>{Chuck: 1}</v>
      </c>
      <c r="AK7" s="159">
        <f t="array" ref="AK7">IF($AH7="","",LET(bal,SUMIFS(data_event_inst!$N:$N,data_event_inst!$A:$A,"Bombs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Ballet",data_event_accrual!$B:$B,$AI$3,data_event_accrual!$C:$C,"10-19",data_event_accrual!$E:$E,$AH7),AVERAGEIFS(data_event_accrual!$K:$K,data_event_accrual!$A:$A,"Bombs Ballet",data_event_accrual!$B:$B,$AI$3,data_event_accrual!$C:$C,"10-19",data_event_accrual!$E:$E,$AH7),AVERAGEIFS(data_event_accrual!$J:$J,data_event_accrual!$A:$A,"Bombs Ballet",data_event_accrual!$B:$B,$AI$3,data_event_accrual!$C:$C,"10-19",data_event_accrual!$E:$E,$AH7),AVERAGEIFS(data_event_accrual!$L:$L,data_event_accrual!$A:$A,"Bombs Ballet",data_event_accrual!$B:$B,$AI$3,data_event_accrual!$C:$C,"10-19",data_event_accrual!$E:$E,$AH7)),1)),COUNTIF($B$9:$B$23,"&lt;="&amp;bal*shr)))</f>
        <v>3</v>
      </c>
      <c r="AL7" s="160" t="str">
        <f t="array" ref="AL7">IF($AH7="","",IF(AK7=0,"{}",LET(m,IF(AK7=15,16,AK7),s,MMULT(SEQUENCE(1,m,1,0),$C$9:$W$24),"{"&amp;TEXTJOIN(", ",TRUE,IF(s&gt;0,$C$8:$W$8&amp;": "&amp;ROUND(s,2),""))&amp;"}")))</f>
        <v>{Chuck: 1, Unlimited Red: 10, Unlimited Chuck: 10}</v>
      </c>
      <c r="AM7" s="159">
        <f t="array" ref="AM7">IF($AH7="","",LET(bal,SUMIFS(data_event_inst!$N:$N,data_event_inst!$A:$A,"Bombs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Ballet",data_event_accrual!$B:$B,$AI$3,data_event_accrual!$C:$C,"20-39",data_event_accrual!$E:$E,$AH7),AVERAGEIFS(data_event_accrual!$K:$K,data_event_accrual!$A:$A,"Bombs Ballet",data_event_accrual!$B:$B,$AI$3,data_event_accrual!$C:$C,"20-39",data_event_accrual!$E:$E,$AH7),AVERAGEIFS(data_event_accrual!$J:$J,data_event_accrual!$A:$A,"Bombs Ballet",data_event_accrual!$B:$B,$AI$3,data_event_accrual!$C:$C,"20-39",data_event_accrual!$E:$E,$AH7),AVERAGEIFS(data_event_accrual!$L:$L,data_event_accrual!$A:$A,"Bombs Ballet",data_event_accrual!$B:$B,$AI$3,data_event_accrual!$C:$C,"20-39",data_event_accrual!$E:$E,$AH7)),1)),COUNTIF($B$9:$B$23,"&lt;="&amp;bal*shr)))</f>
        <v>5</v>
      </c>
      <c r="AN7" s="160" t="str">
        <f t="array" ref="AN7">IF($AH7="","",IF(AM7=0,"{}",LET(m,IF(AM7=15,16,AM7),s,MMULT(SEQUENCE(1,m,1,0),$C$9:$W$24),"{"&amp;TEXTJOIN(", ",TRUE,IF(s&gt;0,$C$8:$W$8&amp;": "&amp;ROUND(s,2),""))&amp;"}")))</f>
        <v>{Coins: 25, Chuck: 1, Unlimited Lives: 30, Unlimited Red: 10, Unlimited Chuck: 10}</v>
      </c>
      <c r="AO7" s="159">
        <f t="array" ref="AO7">IF($AH7="","",LET(bal,SUMIFS(data_event_inst!$N:$N,data_event_inst!$A:$A,"Bombs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Ballet",data_event_accrual!$B:$B,$AI$3,data_event_accrual!$C:$C,"40-99",data_event_accrual!$E:$E,$AH7),AVERAGEIFS(data_event_accrual!$K:$K,data_event_accrual!$A:$A,"Bombs Ballet",data_event_accrual!$B:$B,$AI$3,data_event_accrual!$C:$C,"40-99",data_event_accrual!$E:$E,$AH7),AVERAGEIFS(data_event_accrual!$J:$J,data_event_accrual!$A:$A,"Bombs Ballet",data_event_accrual!$B:$B,$AI$3,data_event_accrual!$C:$C,"40-99",data_event_accrual!$E:$E,$AH7),AVERAGEIFS(data_event_accrual!$L:$L,data_event_accrual!$A:$A,"Bombs Ballet",data_event_accrual!$B:$B,$AI$3,data_event_accrual!$C:$C,"40-99",data_event_accrual!$E:$E,$AH7)),1)),COUNTIF($B$9:$B$23,"&lt;="&amp;bal*shr)))</f>
        <v>7</v>
      </c>
      <c r="AP7" s="160" t="str">
        <f t="array" ref="AP7">IF($AH7="","",IF(AO7=0,"{}",LET(m,IF(AO7=15,16,AO7),s,MMULT(SEQUENCE(1,m,1,0),$C$9:$W$24),"{"&amp;TEXTJOIN(", ",TRUE,IF(s&gt;0,$C$8:$W$8&amp;": "&amp;ROUND(s,2),""))&amp;"}")))</f>
        <v>{Coins: 25, Red: 1, Chuck: 1, Unlimited Lives: 30, Unlimited Red: 10, Unlimited Chuck: 10, Unlimited Bomb: 10}</v>
      </c>
      <c r="AQ7" s="159">
        <f t="array" ref="AQ7">IF($AH7="","",LET(bal,SUMIFS(data_event_inst!$N:$N,data_event_inst!$A:$A,"Bombs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Ballet",data_event_accrual!$B:$B,$AI$3,data_event_accrual!$C:$C,"100+",data_event_accrual!$E:$E,$AH7),AVERAGEIFS(data_event_accrual!$K:$K,data_event_accrual!$A:$A,"Bombs Ballet",data_event_accrual!$B:$B,$AI$3,data_event_accrual!$C:$C,"100+",data_event_accrual!$E:$E,$AH7),AVERAGEIFS(data_event_accrual!$J:$J,data_event_accrual!$A:$A,"Bombs Ballet",data_event_accrual!$B:$B,$AI$3,data_event_accrual!$C:$C,"100+",data_event_accrual!$E:$E,$AH7),AVERAGEIFS(data_event_accrual!$L:$L,data_event_accrual!$A:$A,"Bombs Ballet",data_event_accrual!$B:$B,$AI$3,data_event_accrual!$C:$C,"100+",data_event_accrual!$E:$E,$AH7)),1)),COUNTIF($B$9:$B$23,"&lt;="&amp;bal*shr)))</f>
        <v>10</v>
      </c>
      <c r="AR7" s="160" t="str">
        <f t="array" ref="AR7">IF($AH7="","",IF(AQ7=0,"{}",LET(m,IF(AQ7=15,16,AQ7),s,MMULT(SEQUENCE(1,m,1,0),$C$9:$W$24),"{"&amp;TEXTJOIN(", ",TRUE,IF(s&gt;0,$C$8:$W$8&amp;": "&amp;ROUND(s,2),""))&amp;"}")))</f>
        <v>{Coins: 50, Red: 1, Chuck: 1, Unlimited Lives: 90, Unlimited Red: 25, Unlimited Chuck: 10, Unlimited Bomb: 10}</v>
      </c>
    </row>
    <row r="8" ht="90.0" customHeight="1">
      <c r="A8" s="161" t="s">
        <v>193</v>
      </c>
      <c r="B8" s="162" t="s">
        <v>194</v>
      </c>
      <c r="C8" s="163" t="s">
        <v>82</v>
      </c>
      <c r="D8" s="164" t="s">
        <v>68</v>
      </c>
      <c r="E8" s="164" t="s">
        <v>103</v>
      </c>
      <c r="F8" s="164" t="s">
        <v>69</v>
      </c>
      <c r="G8" s="164" t="s">
        <v>70</v>
      </c>
      <c r="H8" s="164" t="s">
        <v>71</v>
      </c>
      <c r="I8" s="164" t="s">
        <v>72</v>
      </c>
      <c r="J8" s="164" t="s">
        <v>73</v>
      </c>
      <c r="K8" s="164" t="s">
        <v>74</v>
      </c>
      <c r="L8" s="164" t="s">
        <v>75</v>
      </c>
      <c r="M8" s="164" t="s">
        <v>76</v>
      </c>
      <c r="N8" s="164" t="s">
        <v>77</v>
      </c>
      <c r="O8" s="164" t="s">
        <v>78</v>
      </c>
      <c r="P8" s="164" t="s">
        <v>118</v>
      </c>
      <c r="Q8" s="164" t="s">
        <v>104</v>
      </c>
      <c r="R8" s="164" t="s">
        <v>105</v>
      </c>
      <c r="S8" s="164" t="s">
        <v>106</v>
      </c>
      <c r="T8" s="164" t="s">
        <v>107</v>
      </c>
      <c r="U8" s="164" t="s">
        <v>108</v>
      </c>
      <c r="V8" s="164" t="s">
        <v>109</v>
      </c>
      <c r="W8" s="164" t="s">
        <v>110</v>
      </c>
      <c r="AH8" s="158">
        <f>IF(3&lt;=$B$3,3,"")</f>
        <v>3</v>
      </c>
      <c r="AI8" s="159">
        <f t="array" ref="AI8">IF($AH8="","",LET(bal,SUMIFS(data_event_inst!$N:$N,data_event_inst!$A:$A,"Bombs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Ballet",data_event_accrual!$B:$B,$AI$3,data_event_accrual!$C:$C,"0-9",data_event_accrual!$E:$E,$AH8),AVERAGEIFS(data_event_accrual!$K:$K,data_event_accrual!$A:$A,"Bombs Ballet",data_event_accrual!$B:$B,$AI$3,data_event_accrual!$C:$C,"0-9",data_event_accrual!$E:$E,$AH8),AVERAGEIFS(data_event_accrual!$J:$J,data_event_accrual!$A:$A,"Bombs Ballet",data_event_accrual!$B:$B,$AI$3,data_event_accrual!$C:$C,"0-9",data_event_accrual!$E:$E,$AH8),AVERAGEIFS(data_event_accrual!$L:$L,data_event_accrual!$A:$A,"Bombs Ballet",data_event_accrual!$B:$B,$AI$3,data_event_accrual!$C:$C,"0-9",data_event_accrual!$E:$E,$AH8)),1)),COUNTIF($B$9:$B$23,"&lt;="&amp;bal*shr)))</f>
        <v>2</v>
      </c>
      <c r="AJ8" s="160" t="str">
        <f t="array" ref="AJ8">IF($AH8="","",IF(AI8=0,"{}",LET(m,IF(AI8=15,16,AI8),s,MMULT(SEQUENCE(1,m,1,0),$C$9:$W$24),"{"&amp;TEXTJOIN(", ",TRUE,IF(s&gt;0,$C$8:$W$8&amp;": "&amp;ROUND(s,2),""))&amp;"}")))</f>
        <v>{Chuck: 1, Unlimited Red: 10}</v>
      </c>
      <c r="AK8" s="159">
        <f t="array" ref="AK8">IF($AH8="","",LET(bal,SUMIFS(data_event_inst!$N:$N,data_event_inst!$A:$A,"Bombs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Ballet",data_event_accrual!$B:$B,$AI$3,data_event_accrual!$C:$C,"10-19",data_event_accrual!$E:$E,$AH8),AVERAGEIFS(data_event_accrual!$K:$K,data_event_accrual!$A:$A,"Bombs Ballet",data_event_accrual!$B:$B,$AI$3,data_event_accrual!$C:$C,"10-19",data_event_accrual!$E:$E,$AH8),AVERAGEIFS(data_event_accrual!$J:$J,data_event_accrual!$A:$A,"Bombs Ballet",data_event_accrual!$B:$B,$AI$3,data_event_accrual!$C:$C,"10-19",data_event_accrual!$E:$E,$AH8),AVERAGEIFS(data_event_accrual!$L:$L,data_event_accrual!$A:$A,"Bombs Ballet",data_event_accrual!$B:$B,$AI$3,data_event_accrual!$C:$C,"10-19",data_event_accrual!$E:$E,$AH8)),1)),COUNTIF($B$9:$B$23,"&lt;="&amp;bal*shr)))</f>
        <v>4</v>
      </c>
      <c r="AL8" s="160" t="str">
        <f t="array" ref="AL8">IF($AH8="","",IF(AK8=0,"{}",LET(m,IF(AK8=15,16,AK8),s,MMULT(SEQUENCE(1,m,1,0),$C$9:$W$24),"{"&amp;TEXTJOIN(", ",TRUE,IF(s&gt;0,$C$8:$W$8&amp;": "&amp;ROUND(s,2),""))&amp;"}")))</f>
        <v>{Chuck: 1, Unlimited Lives: 30, Unlimited Red: 10, Unlimited Chuck: 10}</v>
      </c>
      <c r="AM8" s="159">
        <f t="array" ref="AM8">IF($AH8="","",LET(bal,SUMIFS(data_event_inst!$N:$N,data_event_inst!$A:$A,"Bombs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Ballet",data_event_accrual!$B:$B,$AI$3,data_event_accrual!$C:$C,"20-39",data_event_accrual!$E:$E,$AH8),AVERAGEIFS(data_event_accrual!$K:$K,data_event_accrual!$A:$A,"Bombs Ballet",data_event_accrual!$B:$B,$AI$3,data_event_accrual!$C:$C,"20-39",data_event_accrual!$E:$E,$AH8),AVERAGEIFS(data_event_accrual!$J:$J,data_event_accrual!$A:$A,"Bombs Ballet",data_event_accrual!$B:$B,$AI$3,data_event_accrual!$C:$C,"20-39",data_event_accrual!$E:$E,$AH8),AVERAGEIFS(data_event_accrual!$L:$L,data_event_accrual!$A:$A,"Bombs Ballet",data_event_accrual!$B:$B,$AI$3,data_event_accrual!$C:$C,"20-39",data_event_accrual!$E:$E,$AH8)),1)),COUNTIF($B$9:$B$23,"&lt;="&amp;bal*shr)))</f>
        <v>6</v>
      </c>
      <c r="AN8" s="160" t="str">
        <f t="array" ref="AN8">IF($AH8="","",IF(AM8=0,"{}",LET(m,IF(AM8=15,16,AM8),s,MMULT(SEQUENCE(1,m,1,0),$C$9:$W$24),"{"&amp;TEXTJOIN(", ",TRUE,IF(s&gt;0,$C$8:$W$8&amp;": "&amp;ROUND(s,2),""))&amp;"}")))</f>
        <v>{Coins: 25, Chuck: 1, Unlimited Lives: 30, Unlimited Red: 10, Unlimited Chuck: 10, Unlimited Bomb: 10}</v>
      </c>
      <c r="AO8" s="159">
        <f t="array" ref="AO8">IF($AH8="","",LET(bal,SUMIFS(data_event_inst!$N:$N,data_event_inst!$A:$A,"Bombs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Ballet",data_event_accrual!$B:$B,$AI$3,data_event_accrual!$C:$C,"40-99",data_event_accrual!$E:$E,$AH8),AVERAGEIFS(data_event_accrual!$K:$K,data_event_accrual!$A:$A,"Bombs Ballet",data_event_accrual!$B:$B,$AI$3,data_event_accrual!$C:$C,"40-99",data_event_accrual!$E:$E,$AH8),AVERAGEIFS(data_event_accrual!$J:$J,data_event_accrual!$A:$A,"Bombs Ballet",data_event_accrual!$B:$B,$AI$3,data_event_accrual!$C:$C,"40-99",data_event_accrual!$E:$E,$AH8),AVERAGEIFS(data_event_accrual!$L:$L,data_event_accrual!$A:$A,"Bombs Ballet",data_event_accrual!$B:$B,$AI$3,data_event_accrual!$C:$C,"40-99",data_event_accrual!$E:$E,$AH8)),1)),COUNTIF($B$9:$B$23,"&lt;="&amp;bal*shr)))</f>
        <v>9</v>
      </c>
      <c r="AP8" s="160" t="str">
        <f t="array" ref="AP8">IF($AH8="","",IF(AO8=0,"{}",LET(m,IF(AO8=15,16,AO8),s,MMULT(SEQUENCE(1,m,1,0),$C$9:$W$24),"{"&amp;TEXTJOIN(", ",TRUE,IF(s&gt;0,$C$8:$W$8&amp;": "&amp;ROUND(s,2),""))&amp;"}")))</f>
        <v>{Coins: 25, Red: 1, Chuck: 1, Unlimited Lives: 90, Unlimited Red: 25, Unlimited Chuck: 10, Unlimited Bomb: 10}</v>
      </c>
      <c r="AQ8" s="159">
        <f t="array" ref="AQ8">IF($AH8="","",LET(bal,SUMIFS(data_event_inst!$N:$N,data_event_inst!$A:$A,"Bombs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Ballet",data_event_accrual!$B:$B,$AI$3,data_event_accrual!$C:$C,"100+",data_event_accrual!$E:$E,$AH8),AVERAGEIFS(data_event_accrual!$K:$K,data_event_accrual!$A:$A,"Bombs Ballet",data_event_accrual!$B:$B,$AI$3,data_event_accrual!$C:$C,"100+",data_event_accrual!$E:$E,$AH8),AVERAGEIFS(data_event_accrual!$J:$J,data_event_accrual!$A:$A,"Bombs Ballet",data_event_accrual!$B:$B,$AI$3,data_event_accrual!$C:$C,"100+",data_event_accrual!$E:$E,$AH8),AVERAGEIFS(data_event_accrual!$L:$L,data_event_accrual!$A:$A,"Bombs Ballet",data_event_accrual!$B:$B,$AI$3,data_event_accrual!$C:$C,"100+",data_event_accrual!$E:$E,$AH8)),1)),COUNTIF($B$9:$B$23,"&lt;="&amp;bal*shr)))</f>
        <v>12</v>
      </c>
      <c r="AR8" s="160" t="str">
        <f t="array" ref="AR8">IF($AH8="","",IF(AQ8=0,"{}",LET(m,IF(AQ8=15,16,AQ8),s,MMULT(SEQUENCE(1,m,1,0),$C$9:$W$24),"{"&amp;TEXTJOIN(", ",TRUE,IF(s&gt;0,$C$8:$W$8&amp;": "&amp;ROUND(s,2),""))&amp;"}")))</f>
        <v>{Coins: 50, Red: 1, Chuck: 1, Unlimited Lives: 90, Unlimited Red: 25, Unlimited Chuck: 25, Unlimited Bomb: 25}</v>
      </c>
    </row>
    <row r="9">
      <c r="A9" s="165">
        <v>1.0</v>
      </c>
      <c r="B9" s="166">
        <v>15.0</v>
      </c>
      <c r="C9" s="167">
        <v>0.0</v>
      </c>
      <c r="D9" s="165">
        <v>0.0</v>
      </c>
      <c r="E9" s="165">
        <v>0.0</v>
      </c>
      <c r="F9" s="165">
        <v>0.0</v>
      </c>
      <c r="G9" s="165">
        <v>1.0</v>
      </c>
      <c r="H9" s="165">
        <v>0.0</v>
      </c>
      <c r="I9" s="165">
        <v>0.0</v>
      </c>
      <c r="J9" s="165">
        <v>0.0</v>
      </c>
      <c r="K9" s="165">
        <v>0.0</v>
      </c>
      <c r="L9" s="165">
        <v>0.0</v>
      </c>
      <c r="M9" s="165">
        <v>0.0</v>
      </c>
      <c r="N9" s="165">
        <v>0.0</v>
      </c>
      <c r="O9" s="165">
        <v>0.0</v>
      </c>
      <c r="P9" s="165">
        <v>0.0</v>
      </c>
      <c r="Q9" s="165">
        <v>0.0</v>
      </c>
      <c r="R9" s="165">
        <v>0.0</v>
      </c>
      <c r="S9" s="165">
        <v>0.0</v>
      </c>
      <c r="T9" s="165">
        <v>0.0</v>
      </c>
      <c r="U9" s="165">
        <v>0.0</v>
      </c>
      <c r="V9" s="165">
        <v>0.0</v>
      </c>
      <c r="W9" s="165">
        <v>0.0</v>
      </c>
      <c r="AH9" s="158" t="str">
        <f>IF(4&lt;=$B$3,4,"")</f>
        <v/>
      </c>
      <c r="AI9" s="159" t="str">
        <f t="array" ref="AI9">IF($AH9="","",LET(bal,SUMIFS(data_event_inst!$N:$N,data_event_inst!$A:$A,"Bombs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Ballet",data_event_accrual!$B:$B,$AI$3,data_event_accrual!$C:$C,"0-9",data_event_accrual!$E:$E,$AH9),AVERAGEIFS(data_event_accrual!$K:$K,data_event_accrual!$A:$A,"Bombs Ballet",data_event_accrual!$B:$B,$AI$3,data_event_accrual!$C:$C,"0-9",data_event_accrual!$E:$E,$AH9),AVERAGEIFS(data_event_accrual!$J:$J,data_event_accrual!$A:$A,"Bombs Ballet",data_event_accrual!$B:$B,$AI$3,data_event_accrual!$C:$C,"0-9",data_event_accrual!$E:$E,$AH9),AVERAGEIFS(data_event_accrual!$L:$L,data_event_accrual!$A:$A,"Bombs Ballet",data_event_accrual!$B:$B,$AI$3,data_event_accrual!$C:$C,"0-9",data_event_accrual!$E:$E,$AH9)),1)),COUNTIF($B$9:$B$23,"&lt;="&amp;bal*shr)))</f>
        <v/>
      </c>
      <c r="AJ9" s="160" t="str">
        <f t="array" ref="AJ9">IF($AH9="","",IF(AI9=0,"{}",LET(m,IF(AI9=15,16,AI9),s,MMULT(SEQUENCE(1,m,1,0),$C$9:$W$24),"{"&amp;TEXTJOIN(", ",TRUE,IF(s&gt;0,$C$8:$W$8&amp;": "&amp;ROUND(s,2),""))&amp;"}")))</f>
        <v/>
      </c>
      <c r="AK9" s="159" t="str">
        <f t="array" ref="AK9">IF($AH9="","",LET(bal,SUMIFS(data_event_inst!$N:$N,data_event_inst!$A:$A,"Bombs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Ballet",data_event_accrual!$B:$B,$AI$3,data_event_accrual!$C:$C,"10-19",data_event_accrual!$E:$E,$AH9),AVERAGEIFS(data_event_accrual!$K:$K,data_event_accrual!$A:$A,"Bombs Ballet",data_event_accrual!$B:$B,$AI$3,data_event_accrual!$C:$C,"10-19",data_event_accrual!$E:$E,$AH9),AVERAGEIFS(data_event_accrual!$J:$J,data_event_accrual!$A:$A,"Bombs Ballet",data_event_accrual!$B:$B,$AI$3,data_event_accrual!$C:$C,"10-19",data_event_accrual!$E:$E,$AH9),AVERAGEIFS(data_event_accrual!$L:$L,data_event_accrual!$A:$A,"Bombs Ballet",data_event_accrual!$B:$B,$AI$3,data_event_accrual!$C:$C,"10-19",data_event_accrual!$E:$E,$AH9)),1)),COUNTIF($B$9:$B$23,"&lt;="&amp;bal*shr)))</f>
        <v/>
      </c>
      <c r="AL9" s="160" t="str">
        <f t="array" ref="AL9">IF($AH9="","",IF(AK9=0,"{}",LET(m,IF(AK9=15,16,AK9),s,MMULT(SEQUENCE(1,m,1,0),$C$9:$W$24),"{"&amp;TEXTJOIN(", ",TRUE,IF(s&gt;0,$C$8:$W$8&amp;": "&amp;ROUND(s,2),""))&amp;"}")))</f>
        <v/>
      </c>
      <c r="AM9" s="159" t="str">
        <f t="array" ref="AM9">IF($AH9="","",LET(bal,SUMIFS(data_event_inst!$N:$N,data_event_inst!$A:$A,"Bombs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Ballet",data_event_accrual!$B:$B,$AI$3,data_event_accrual!$C:$C,"20-39",data_event_accrual!$E:$E,$AH9),AVERAGEIFS(data_event_accrual!$K:$K,data_event_accrual!$A:$A,"Bombs Ballet",data_event_accrual!$B:$B,$AI$3,data_event_accrual!$C:$C,"20-39",data_event_accrual!$E:$E,$AH9),AVERAGEIFS(data_event_accrual!$J:$J,data_event_accrual!$A:$A,"Bombs Ballet",data_event_accrual!$B:$B,$AI$3,data_event_accrual!$C:$C,"20-39",data_event_accrual!$E:$E,$AH9),AVERAGEIFS(data_event_accrual!$L:$L,data_event_accrual!$A:$A,"Bombs Ballet",data_event_accrual!$B:$B,$AI$3,data_event_accrual!$C:$C,"20-39",data_event_accrual!$E:$E,$AH9)),1)),COUNTIF($B$9:$B$23,"&lt;="&amp;bal*shr)))</f>
        <v/>
      </c>
      <c r="AN9" s="160" t="str">
        <f t="array" ref="AN9">IF($AH9="","",IF(AM9=0,"{}",LET(m,IF(AM9=15,16,AM9),s,MMULT(SEQUENCE(1,m,1,0),$C$9:$W$24),"{"&amp;TEXTJOIN(", ",TRUE,IF(s&gt;0,$C$8:$W$8&amp;": "&amp;ROUND(s,2),""))&amp;"}")))</f>
        <v/>
      </c>
      <c r="AO9" s="159" t="str">
        <f t="array" ref="AO9">IF($AH9="","",LET(bal,SUMIFS(data_event_inst!$N:$N,data_event_inst!$A:$A,"Bombs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Ballet",data_event_accrual!$B:$B,$AI$3,data_event_accrual!$C:$C,"40-99",data_event_accrual!$E:$E,$AH9),AVERAGEIFS(data_event_accrual!$K:$K,data_event_accrual!$A:$A,"Bombs Ballet",data_event_accrual!$B:$B,$AI$3,data_event_accrual!$C:$C,"40-99",data_event_accrual!$E:$E,$AH9),AVERAGEIFS(data_event_accrual!$J:$J,data_event_accrual!$A:$A,"Bombs Ballet",data_event_accrual!$B:$B,$AI$3,data_event_accrual!$C:$C,"40-99",data_event_accrual!$E:$E,$AH9),AVERAGEIFS(data_event_accrual!$L:$L,data_event_accrual!$A:$A,"Bombs Ballet",data_event_accrual!$B:$B,$AI$3,data_event_accrual!$C:$C,"40-99",data_event_accrual!$E:$E,$AH9)),1)),COUNTIF($B$9:$B$23,"&lt;="&amp;bal*shr)))</f>
        <v/>
      </c>
      <c r="AP9" s="160" t="str">
        <f t="array" ref="AP9">IF($AH9="","",IF(AO9=0,"{}",LET(m,IF(AO9=15,16,AO9),s,MMULT(SEQUENCE(1,m,1,0),$C$9:$W$24),"{"&amp;TEXTJOIN(", ",TRUE,IF(s&gt;0,$C$8:$W$8&amp;": "&amp;ROUND(s,2),""))&amp;"}")))</f>
        <v/>
      </c>
      <c r="AQ9" s="159" t="str">
        <f t="array" ref="AQ9">IF($AH9="","",LET(bal,SUMIFS(data_event_inst!$N:$N,data_event_inst!$A:$A,"Bombs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Ballet",data_event_accrual!$B:$B,$AI$3,data_event_accrual!$C:$C,"100+",data_event_accrual!$E:$E,$AH9),AVERAGEIFS(data_event_accrual!$K:$K,data_event_accrual!$A:$A,"Bombs Ballet",data_event_accrual!$B:$B,$AI$3,data_event_accrual!$C:$C,"100+",data_event_accrual!$E:$E,$AH9),AVERAGEIFS(data_event_accrual!$J:$J,data_event_accrual!$A:$A,"Bombs Ballet",data_event_accrual!$B:$B,$AI$3,data_event_accrual!$C:$C,"100+",data_event_accrual!$E:$E,$AH9),AVERAGEIFS(data_event_accrual!$L:$L,data_event_accrual!$A:$A,"Bombs Ballet",data_event_accrual!$B:$B,$AI$3,data_event_accrual!$C:$C,"100+",data_event_accrual!$E:$E,$AH9)),1)),COUNTIF($B$9:$B$23,"&lt;="&amp;bal*shr)))</f>
        <v/>
      </c>
      <c r="AR9" s="160" t="str">
        <f t="array" ref="AR9">IF($AH9="","",IF(AQ9=0,"{}",LET(m,IF(AQ9=15,16,AQ9),s,MMULT(SEQUENCE(1,m,1,0),$C$9:$W$24),"{"&amp;TEXTJOIN(", ",TRUE,IF(s&gt;0,$C$8:$W$8&amp;": "&amp;ROUND(s,2),""))&amp;"}")))</f>
        <v/>
      </c>
    </row>
    <row r="10">
      <c r="A10" s="165">
        <v>2.0</v>
      </c>
      <c r="B10" s="166">
        <v>40.0</v>
      </c>
      <c r="C10" s="167">
        <v>0.0</v>
      </c>
      <c r="D10" s="165">
        <v>0.0</v>
      </c>
      <c r="E10" s="165">
        <v>0.0</v>
      </c>
      <c r="F10" s="165">
        <v>0.0</v>
      </c>
      <c r="G10" s="165">
        <v>0.0</v>
      </c>
      <c r="H10" s="165">
        <v>0.0</v>
      </c>
      <c r="I10" s="165">
        <v>0.0</v>
      </c>
      <c r="J10" s="165">
        <v>0.0</v>
      </c>
      <c r="K10" s="165">
        <v>0.0</v>
      </c>
      <c r="L10" s="165">
        <v>0.0</v>
      </c>
      <c r="M10" s="165">
        <v>10.0</v>
      </c>
      <c r="N10" s="165">
        <v>0.0</v>
      </c>
      <c r="O10" s="165">
        <v>0.0</v>
      </c>
      <c r="P10" s="165">
        <v>0.0</v>
      </c>
      <c r="Q10" s="165">
        <v>0.0</v>
      </c>
      <c r="R10" s="165">
        <v>0.0</v>
      </c>
      <c r="S10" s="165">
        <v>0.0</v>
      </c>
      <c r="T10" s="165">
        <v>0.0</v>
      </c>
      <c r="U10" s="165">
        <v>0.0</v>
      </c>
      <c r="V10" s="165">
        <v>0.0</v>
      </c>
      <c r="W10" s="165">
        <v>0.0</v>
      </c>
      <c r="AH10" s="158" t="str">
        <f>IF(5&lt;=$B$3,5,"")</f>
        <v/>
      </c>
      <c r="AI10" s="159" t="str">
        <f t="array" ref="AI10">IF($AH10="","",LET(bal,SUMIFS(data_event_inst!$N:$N,data_event_inst!$A:$A,"Bombs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Ballet",data_event_accrual!$B:$B,$AI$3,data_event_accrual!$C:$C,"0-9",data_event_accrual!$E:$E,$AH10),AVERAGEIFS(data_event_accrual!$K:$K,data_event_accrual!$A:$A,"Bombs Ballet",data_event_accrual!$B:$B,$AI$3,data_event_accrual!$C:$C,"0-9",data_event_accrual!$E:$E,$AH10),AVERAGEIFS(data_event_accrual!$J:$J,data_event_accrual!$A:$A,"Bombs Ballet",data_event_accrual!$B:$B,$AI$3,data_event_accrual!$C:$C,"0-9",data_event_accrual!$E:$E,$AH10),AVERAGEIFS(data_event_accrual!$L:$L,data_event_accrual!$A:$A,"Bombs Ballet",data_event_accrual!$B:$B,$AI$3,data_event_accrual!$C:$C,"0-9",data_event_accrual!$E:$E,$AH10)),1)),COUNTIF($B$9:$B$23,"&lt;="&amp;bal*shr)))</f>
        <v/>
      </c>
      <c r="AJ10" s="160" t="str">
        <f t="array" ref="AJ10">IF($AH10="","",IF(AI10=0,"{}",LET(m,IF(AI10=15,16,AI10),s,MMULT(SEQUENCE(1,m,1,0),$C$9:$W$24),"{"&amp;TEXTJOIN(", ",TRUE,IF(s&gt;0,$C$8:$W$8&amp;": "&amp;ROUND(s,2),""))&amp;"}")))</f>
        <v/>
      </c>
      <c r="AK10" s="159" t="str">
        <f t="array" ref="AK10">IF($AH10="","",LET(bal,SUMIFS(data_event_inst!$N:$N,data_event_inst!$A:$A,"Bombs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Ballet",data_event_accrual!$B:$B,$AI$3,data_event_accrual!$C:$C,"10-19",data_event_accrual!$E:$E,$AH10),AVERAGEIFS(data_event_accrual!$K:$K,data_event_accrual!$A:$A,"Bombs Ballet",data_event_accrual!$B:$B,$AI$3,data_event_accrual!$C:$C,"10-19",data_event_accrual!$E:$E,$AH10),AVERAGEIFS(data_event_accrual!$J:$J,data_event_accrual!$A:$A,"Bombs Ballet",data_event_accrual!$B:$B,$AI$3,data_event_accrual!$C:$C,"10-19",data_event_accrual!$E:$E,$AH10),AVERAGEIFS(data_event_accrual!$L:$L,data_event_accrual!$A:$A,"Bombs Ballet",data_event_accrual!$B:$B,$AI$3,data_event_accrual!$C:$C,"10-19",data_event_accrual!$E:$E,$AH10)),1)),COUNTIF($B$9:$B$23,"&lt;="&amp;bal*shr)))</f>
        <v/>
      </c>
      <c r="AL10" s="160" t="str">
        <f t="array" ref="AL10">IF($AH10="","",IF(AK10=0,"{}",LET(m,IF(AK10=15,16,AK10),s,MMULT(SEQUENCE(1,m,1,0),$C$9:$W$24),"{"&amp;TEXTJOIN(", ",TRUE,IF(s&gt;0,$C$8:$W$8&amp;": "&amp;ROUND(s,2),""))&amp;"}")))</f>
        <v/>
      </c>
      <c r="AM10" s="159" t="str">
        <f t="array" ref="AM10">IF($AH10="","",LET(bal,SUMIFS(data_event_inst!$N:$N,data_event_inst!$A:$A,"Bombs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Ballet",data_event_accrual!$B:$B,$AI$3,data_event_accrual!$C:$C,"20-39",data_event_accrual!$E:$E,$AH10),AVERAGEIFS(data_event_accrual!$K:$K,data_event_accrual!$A:$A,"Bombs Ballet",data_event_accrual!$B:$B,$AI$3,data_event_accrual!$C:$C,"20-39",data_event_accrual!$E:$E,$AH10),AVERAGEIFS(data_event_accrual!$J:$J,data_event_accrual!$A:$A,"Bombs Ballet",data_event_accrual!$B:$B,$AI$3,data_event_accrual!$C:$C,"20-39",data_event_accrual!$E:$E,$AH10),AVERAGEIFS(data_event_accrual!$L:$L,data_event_accrual!$A:$A,"Bombs Ballet",data_event_accrual!$B:$B,$AI$3,data_event_accrual!$C:$C,"20-39",data_event_accrual!$E:$E,$AH10)),1)),COUNTIF($B$9:$B$23,"&lt;="&amp;bal*shr)))</f>
        <v/>
      </c>
      <c r="AN10" s="160" t="str">
        <f t="array" ref="AN10">IF($AH10="","",IF(AM10=0,"{}",LET(m,IF(AM10=15,16,AM10),s,MMULT(SEQUENCE(1,m,1,0),$C$9:$W$24),"{"&amp;TEXTJOIN(", ",TRUE,IF(s&gt;0,$C$8:$W$8&amp;": "&amp;ROUND(s,2),""))&amp;"}")))</f>
        <v/>
      </c>
      <c r="AO10" s="159" t="str">
        <f t="array" ref="AO10">IF($AH10="","",LET(bal,SUMIFS(data_event_inst!$N:$N,data_event_inst!$A:$A,"Bombs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Ballet",data_event_accrual!$B:$B,$AI$3,data_event_accrual!$C:$C,"40-99",data_event_accrual!$E:$E,$AH10),AVERAGEIFS(data_event_accrual!$K:$K,data_event_accrual!$A:$A,"Bombs Ballet",data_event_accrual!$B:$B,$AI$3,data_event_accrual!$C:$C,"40-99",data_event_accrual!$E:$E,$AH10),AVERAGEIFS(data_event_accrual!$J:$J,data_event_accrual!$A:$A,"Bombs Ballet",data_event_accrual!$B:$B,$AI$3,data_event_accrual!$C:$C,"40-99",data_event_accrual!$E:$E,$AH10),AVERAGEIFS(data_event_accrual!$L:$L,data_event_accrual!$A:$A,"Bombs Ballet",data_event_accrual!$B:$B,$AI$3,data_event_accrual!$C:$C,"40-99",data_event_accrual!$E:$E,$AH10)),1)),COUNTIF($B$9:$B$23,"&lt;="&amp;bal*shr)))</f>
        <v/>
      </c>
      <c r="AP10" s="160" t="str">
        <f t="array" ref="AP10">IF($AH10="","",IF(AO10=0,"{}",LET(m,IF(AO10=15,16,AO10),s,MMULT(SEQUENCE(1,m,1,0),$C$9:$W$24),"{"&amp;TEXTJOIN(", ",TRUE,IF(s&gt;0,$C$8:$W$8&amp;": "&amp;ROUND(s,2),""))&amp;"}")))</f>
        <v/>
      </c>
      <c r="AQ10" s="159" t="str">
        <f t="array" ref="AQ10">IF($AH10="","",LET(bal,SUMIFS(data_event_inst!$N:$N,data_event_inst!$A:$A,"Bombs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Ballet",data_event_accrual!$B:$B,$AI$3,data_event_accrual!$C:$C,"100+",data_event_accrual!$E:$E,$AH10),AVERAGEIFS(data_event_accrual!$K:$K,data_event_accrual!$A:$A,"Bombs Ballet",data_event_accrual!$B:$B,$AI$3,data_event_accrual!$C:$C,"100+",data_event_accrual!$E:$E,$AH10),AVERAGEIFS(data_event_accrual!$J:$J,data_event_accrual!$A:$A,"Bombs Ballet",data_event_accrual!$B:$B,$AI$3,data_event_accrual!$C:$C,"100+",data_event_accrual!$E:$E,$AH10),AVERAGEIFS(data_event_accrual!$L:$L,data_event_accrual!$A:$A,"Bombs Ballet",data_event_accrual!$B:$B,$AI$3,data_event_accrual!$C:$C,"100+",data_event_accrual!$E:$E,$AH10)),1)),COUNTIF($B$9:$B$23,"&lt;="&amp;bal*shr)))</f>
        <v/>
      </c>
      <c r="AR10" s="160" t="str">
        <f t="array" ref="AR10">IF($AH10="","",IF(AQ10=0,"{}",LET(m,IF(AQ10=15,16,AQ10),s,MMULT(SEQUENCE(1,m,1,0),$C$9:$W$24),"{"&amp;TEXTJOIN(", ",TRUE,IF(s&gt;0,$C$8:$W$8&amp;": "&amp;ROUND(s,2),""))&amp;"}")))</f>
        <v/>
      </c>
    </row>
    <row r="11">
      <c r="A11" s="165">
        <v>3.0</v>
      </c>
      <c r="B11" s="166">
        <v>70.0</v>
      </c>
      <c r="C11" s="167">
        <v>0.0</v>
      </c>
      <c r="D11" s="165">
        <v>0.0</v>
      </c>
      <c r="E11" s="165">
        <v>0.0</v>
      </c>
      <c r="F11" s="165">
        <v>0.0</v>
      </c>
      <c r="G11" s="165">
        <v>0.0</v>
      </c>
      <c r="H11" s="165">
        <v>0.0</v>
      </c>
      <c r="I11" s="165">
        <v>0.0</v>
      </c>
      <c r="J11" s="165">
        <v>0.0</v>
      </c>
      <c r="K11" s="165">
        <v>0.0</v>
      </c>
      <c r="L11" s="165">
        <v>0.0</v>
      </c>
      <c r="M11" s="165">
        <v>0.0</v>
      </c>
      <c r="N11" s="165">
        <v>10.0</v>
      </c>
      <c r="O11" s="165">
        <v>0.0</v>
      </c>
      <c r="P11" s="165">
        <v>0.0</v>
      </c>
      <c r="Q11" s="165">
        <v>0.0</v>
      </c>
      <c r="R11" s="165">
        <v>0.0</v>
      </c>
      <c r="S11" s="165">
        <v>0.0</v>
      </c>
      <c r="T11" s="165">
        <v>0.0</v>
      </c>
      <c r="U11" s="165">
        <v>0.0</v>
      </c>
      <c r="V11" s="165">
        <v>0.0</v>
      </c>
      <c r="W11" s="165">
        <v>0.0</v>
      </c>
      <c r="AH11" s="158" t="str">
        <f>IF(6&lt;=$B$3,6,"")</f>
        <v/>
      </c>
      <c r="AI11" s="159" t="str">
        <f t="array" ref="AI11">IF($AH11="","",LET(bal,SUMIFS(data_event_inst!$N:$N,data_event_inst!$A:$A,"Bombs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Ballet",data_event_accrual!$B:$B,$AI$3,data_event_accrual!$C:$C,"0-9",data_event_accrual!$E:$E,$AH11),AVERAGEIFS(data_event_accrual!$K:$K,data_event_accrual!$A:$A,"Bombs Ballet",data_event_accrual!$B:$B,$AI$3,data_event_accrual!$C:$C,"0-9",data_event_accrual!$E:$E,$AH11),AVERAGEIFS(data_event_accrual!$J:$J,data_event_accrual!$A:$A,"Bombs Ballet",data_event_accrual!$B:$B,$AI$3,data_event_accrual!$C:$C,"0-9",data_event_accrual!$E:$E,$AH11),AVERAGEIFS(data_event_accrual!$L:$L,data_event_accrual!$A:$A,"Bombs Ballet",data_event_accrual!$B:$B,$AI$3,data_event_accrual!$C:$C,"0-9",data_event_accrual!$E:$E,$AH11)),1)),COUNTIF($B$9:$B$23,"&lt;="&amp;bal*shr)))</f>
        <v/>
      </c>
      <c r="AJ11" s="160" t="str">
        <f t="array" ref="AJ11">IF($AH11="","",IF(AI11=0,"{}",LET(m,IF(AI11=15,16,AI11),s,MMULT(SEQUENCE(1,m,1,0),$C$9:$W$24),"{"&amp;TEXTJOIN(", ",TRUE,IF(s&gt;0,$C$8:$W$8&amp;": "&amp;ROUND(s,2),""))&amp;"}")))</f>
        <v/>
      </c>
      <c r="AK11" s="159" t="str">
        <f t="array" ref="AK11">IF($AH11="","",LET(bal,SUMIFS(data_event_inst!$N:$N,data_event_inst!$A:$A,"Bombs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Ballet",data_event_accrual!$B:$B,$AI$3,data_event_accrual!$C:$C,"10-19",data_event_accrual!$E:$E,$AH11),AVERAGEIFS(data_event_accrual!$K:$K,data_event_accrual!$A:$A,"Bombs Ballet",data_event_accrual!$B:$B,$AI$3,data_event_accrual!$C:$C,"10-19",data_event_accrual!$E:$E,$AH11),AVERAGEIFS(data_event_accrual!$J:$J,data_event_accrual!$A:$A,"Bombs Ballet",data_event_accrual!$B:$B,$AI$3,data_event_accrual!$C:$C,"10-19",data_event_accrual!$E:$E,$AH11),AVERAGEIFS(data_event_accrual!$L:$L,data_event_accrual!$A:$A,"Bombs Ballet",data_event_accrual!$B:$B,$AI$3,data_event_accrual!$C:$C,"10-19",data_event_accrual!$E:$E,$AH11)),1)),COUNTIF($B$9:$B$23,"&lt;="&amp;bal*shr)))</f>
        <v/>
      </c>
      <c r="AL11" s="160" t="str">
        <f t="array" ref="AL11">IF($AH11="","",IF(AK11=0,"{}",LET(m,IF(AK11=15,16,AK11),s,MMULT(SEQUENCE(1,m,1,0),$C$9:$W$24),"{"&amp;TEXTJOIN(", ",TRUE,IF(s&gt;0,$C$8:$W$8&amp;": "&amp;ROUND(s,2),""))&amp;"}")))</f>
        <v/>
      </c>
      <c r="AM11" s="159" t="str">
        <f t="array" ref="AM11">IF($AH11="","",LET(bal,SUMIFS(data_event_inst!$N:$N,data_event_inst!$A:$A,"Bombs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Ballet",data_event_accrual!$B:$B,$AI$3,data_event_accrual!$C:$C,"20-39",data_event_accrual!$E:$E,$AH11),AVERAGEIFS(data_event_accrual!$K:$K,data_event_accrual!$A:$A,"Bombs Ballet",data_event_accrual!$B:$B,$AI$3,data_event_accrual!$C:$C,"20-39",data_event_accrual!$E:$E,$AH11),AVERAGEIFS(data_event_accrual!$J:$J,data_event_accrual!$A:$A,"Bombs Ballet",data_event_accrual!$B:$B,$AI$3,data_event_accrual!$C:$C,"20-39",data_event_accrual!$E:$E,$AH11),AVERAGEIFS(data_event_accrual!$L:$L,data_event_accrual!$A:$A,"Bombs Ballet",data_event_accrual!$B:$B,$AI$3,data_event_accrual!$C:$C,"20-39",data_event_accrual!$E:$E,$AH11)),1)),COUNTIF($B$9:$B$23,"&lt;="&amp;bal*shr)))</f>
        <v/>
      </c>
      <c r="AN11" s="160" t="str">
        <f t="array" ref="AN11">IF($AH11="","",IF(AM11=0,"{}",LET(m,IF(AM11=15,16,AM11),s,MMULT(SEQUENCE(1,m,1,0),$C$9:$W$24),"{"&amp;TEXTJOIN(", ",TRUE,IF(s&gt;0,$C$8:$W$8&amp;": "&amp;ROUND(s,2),""))&amp;"}")))</f>
        <v/>
      </c>
      <c r="AO11" s="159" t="str">
        <f t="array" ref="AO11">IF($AH11="","",LET(bal,SUMIFS(data_event_inst!$N:$N,data_event_inst!$A:$A,"Bombs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Ballet",data_event_accrual!$B:$B,$AI$3,data_event_accrual!$C:$C,"40-99",data_event_accrual!$E:$E,$AH11),AVERAGEIFS(data_event_accrual!$K:$K,data_event_accrual!$A:$A,"Bombs Ballet",data_event_accrual!$B:$B,$AI$3,data_event_accrual!$C:$C,"40-99",data_event_accrual!$E:$E,$AH11),AVERAGEIFS(data_event_accrual!$J:$J,data_event_accrual!$A:$A,"Bombs Ballet",data_event_accrual!$B:$B,$AI$3,data_event_accrual!$C:$C,"40-99",data_event_accrual!$E:$E,$AH11),AVERAGEIFS(data_event_accrual!$L:$L,data_event_accrual!$A:$A,"Bombs Ballet",data_event_accrual!$B:$B,$AI$3,data_event_accrual!$C:$C,"40-99",data_event_accrual!$E:$E,$AH11)),1)),COUNTIF($B$9:$B$23,"&lt;="&amp;bal*shr)))</f>
        <v/>
      </c>
      <c r="AP11" s="160" t="str">
        <f t="array" ref="AP11">IF($AH11="","",IF(AO11=0,"{}",LET(m,IF(AO11=15,16,AO11),s,MMULT(SEQUENCE(1,m,1,0),$C$9:$W$24),"{"&amp;TEXTJOIN(", ",TRUE,IF(s&gt;0,$C$8:$W$8&amp;": "&amp;ROUND(s,2),""))&amp;"}")))</f>
        <v/>
      </c>
      <c r="AQ11" s="159" t="str">
        <f t="array" ref="AQ11">IF($AH11="","",LET(bal,SUMIFS(data_event_inst!$N:$N,data_event_inst!$A:$A,"Bombs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Ballet",data_event_accrual!$B:$B,$AI$3,data_event_accrual!$C:$C,"100+",data_event_accrual!$E:$E,$AH11),AVERAGEIFS(data_event_accrual!$K:$K,data_event_accrual!$A:$A,"Bombs Ballet",data_event_accrual!$B:$B,$AI$3,data_event_accrual!$C:$C,"100+",data_event_accrual!$E:$E,$AH11),AVERAGEIFS(data_event_accrual!$J:$J,data_event_accrual!$A:$A,"Bombs Ballet",data_event_accrual!$B:$B,$AI$3,data_event_accrual!$C:$C,"100+",data_event_accrual!$E:$E,$AH11),AVERAGEIFS(data_event_accrual!$L:$L,data_event_accrual!$A:$A,"Bombs Ballet",data_event_accrual!$B:$B,$AI$3,data_event_accrual!$C:$C,"100+",data_event_accrual!$E:$E,$AH11)),1)),COUNTIF($B$9:$B$23,"&lt;="&amp;bal*shr)))</f>
        <v/>
      </c>
      <c r="AR11" s="160" t="str">
        <f t="array" ref="AR11">IF($AH11="","",IF(AQ11=0,"{}",LET(m,IF(AQ11=15,16,AQ11),s,MMULT(SEQUENCE(1,m,1,0),$C$9:$W$24),"{"&amp;TEXTJOIN(", ",TRUE,IF(s&gt;0,$C$8:$W$8&amp;": "&amp;ROUND(s,2),""))&amp;"}")))</f>
        <v/>
      </c>
    </row>
    <row r="12">
      <c r="A12" s="165">
        <v>4.0</v>
      </c>
      <c r="B12" s="166">
        <v>110.0</v>
      </c>
      <c r="C12" s="167">
        <v>0.0</v>
      </c>
      <c r="D12" s="165">
        <v>0.0</v>
      </c>
      <c r="E12" s="165">
        <v>0.0</v>
      </c>
      <c r="F12" s="165">
        <v>0.0</v>
      </c>
      <c r="G12" s="165">
        <v>0.0</v>
      </c>
      <c r="H12" s="165">
        <v>0.0</v>
      </c>
      <c r="I12" s="165">
        <v>0.0</v>
      </c>
      <c r="J12" s="165">
        <v>0.0</v>
      </c>
      <c r="K12" s="165">
        <v>0.0</v>
      </c>
      <c r="L12" s="165">
        <v>30.0</v>
      </c>
      <c r="M12" s="165">
        <v>0.0</v>
      </c>
      <c r="N12" s="165">
        <v>0.0</v>
      </c>
      <c r="O12" s="165">
        <v>0.0</v>
      </c>
      <c r="P12" s="165">
        <v>0.0</v>
      </c>
      <c r="Q12" s="165">
        <v>0.0</v>
      </c>
      <c r="R12" s="165">
        <v>0.0</v>
      </c>
      <c r="S12" s="165">
        <v>0.0</v>
      </c>
      <c r="T12" s="165">
        <v>0.0</v>
      </c>
      <c r="U12" s="165">
        <v>0.0</v>
      </c>
      <c r="V12" s="165">
        <v>0.0</v>
      </c>
      <c r="W12" s="165">
        <v>0.0</v>
      </c>
      <c r="AH12" s="158" t="str">
        <f>IF(7&lt;=$B$3,7,"")</f>
        <v/>
      </c>
      <c r="AI12" s="159" t="str">
        <f t="array" ref="AI12">IF($AH12="","",LET(bal,SUMIFS(data_event_inst!$N:$N,data_event_inst!$A:$A,"Bombs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Ballet",data_event_accrual!$B:$B,$AI$3,data_event_accrual!$C:$C,"0-9",data_event_accrual!$E:$E,$AH12),AVERAGEIFS(data_event_accrual!$K:$K,data_event_accrual!$A:$A,"Bombs Ballet",data_event_accrual!$B:$B,$AI$3,data_event_accrual!$C:$C,"0-9",data_event_accrual!$E:$E,$AH12),AVERAGEIFS(data_event_accrual!$J:$J,data_event_accrual!$A:$A,"Bombs Ballet",data_event_accrual!$B:$B,$AI$3,data_event_accrual!$C:$C,"0-9",data_event_accrual!$E:$E,$AH12),AVERAGEIFS(data_event_accrual!$L:$L,data_event_accrual!$A:$A,"Bombs Ballet",data_event_accrual!$B:$B,$AI$3,data_event_accrual!$C:$C,"0-9",data_event_accrual!$E:$E,$AH12)),1)),COUNTIF($B$9:$B$23,"&lt;="&amp;bal*shr)))</f>
        <v/>
      </c>
      <c r="AJ12" s="160" t="str">
        <f t="array" ref="AJ12">IF($AH12="","",IF(AI12=0,"{}",LET(m,IF(AI12=15,16,AI12),s,MMULT(SEQUENCE(1,m,1,0),$C$9:$W$24),"{"&amp;TEXTJOIN(", ",TRUE,IF(s&gt;0,$C$8:$W$8&amp;": "&amp;ROUND(s,2),""))&amp;"}")))</f>
        <v/>
      </c>
      <c r="AK12" s="159" t="str">
        <f t="array" ref="AK12">IF($AH12="","",LET(bal,SUMIFS(data_event_inst!$N:$N,data_event_inst!$A:$A,"Bombs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Ballet",data_event_accrual!$B:$B,$AI$3,data_event_accrual!$C:$C,"10-19",data_event_accrual!$E:$E,$AH12),AVERAGEIFS(data_event_accrual!$K:$K,data_event_accrual!$A:$A,"Bombs Ballet",data_event_accrual!$B:$B,$AI$3,data_event_accrual!$C:$C,"10-19",data_event_accrual!$E:$E,$AH12),AVERAGEIFS(data_event_accrual!$J:$J,data_event_accrual!$A:$A,"Bombs Ballet",data_event_accrual!$B:$B,$AI$3,data_event_accrual!$C:$C,"10-19",data_event_accrual!$E:$E,$AH12),AVERAGEIFS(data_event_accrual!$L:$L,data_event_accrual!$A:$A,"Bombs Ballet",data_event_accrual!$B:$B,$AI$3,data_event_accrual!$C:$C,"10-19",data_event_accrual!$E:$E,$AH12)),1)),COUNTIF($B$9:$B$23,"&lt;="&amp;bal*shr)))</f>
        <v/>
      </c>
      <c r="AL12" s="160" t="str">
        <f t="array" ref="AL12">IF($AH12="","",IF(AK12=0,"{}",LET(m,IF(AK12=15,16,AK12),s,MMULT(SEQUENCE(1,m,1,0),$C$9:$W$24),"{"&amp;TEXTJOIN(", ",TRUE,IF(s&gt;0,$C$8:$W$8&amp;": "&amp;ROUND(s,2),""))&amp;"}")))</f>
        <v/>
      </c>
      <c r="AM12" s="159" t="str">
        <f t="array" ref="AM12">IF($AH12="","",LET(bal,SUMIFS(data_event_inst!$N:$N,data_event_inst!$A:$A,"Bombs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Ballet",data_event_accrual!$B:$B,$AI$3,data_event_accrual!$C:$C,"20-39",data_event_accrual!$E:$E,$AH12),AVERAGEIFS(data_event_accrual!$K:$K,data_event_accrual!$A:$A,"Bombs Ballet",data_event_accrual!$B:$B,$AI$3,data_event_accrual!$C:$C,"20-39",data_event_accrual!$E:$E,$AH12),AVERAGEIFS(data_event_accrual!$J:$J,data_event_accrual!$A:$A,"Bombs Ballet",data_event_accrual!$B:$B,$AI$3,data_event_accrual!$C:$C,"20-39",data_event_accrual!$E:$E,$AH12),AVERAGEIFS(data_event_accrual!$L:$L,data_event_accrual!$A:$A,"Bombs Ballet",data_event_accrual!$B:$B,$AI$3,data_event_accrual!$C:$C,"20-39",data_event_accrual!$E:$E,$AH12)),1)),COUNTIF($B$9:$B$23,"&lt;="&amp;bal*shr)))</f>
        <v/>
      </c>
      <c r="AN12" s="160" t="str">
        <f t="array" ref="AN12">IF($AH12="","",IF(AM12=0,"{}",LET(m,IF(AM12=15,16,AM12),s,MMULT(SEQUENCE(1,m,1,0),$C$9:$W$24),"{"&amp;TEXTJOIN(", ",TRUE,IF(s&gt;0,$C$8:$W$8&amp;": "&amp;ROUND(s,2),""))&amp;"}")))</f>
        <v/>
      </c>
      <c r="AO12" s="159" t="str">
        <f t="array" ref="AO12">IF($AH12="","",LET(bal,SUMIFS(data_event_inst!$N:$N,data_event_inst!$A:$A,"Bombs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Ballet",data_event_accrual!$B:$B,$AI$3,data_event_accrual!$C:$C,"40-99",data_event_accrual!$E:$E,$AH12),AVERAGEIFS(data_event_accrual!$K:$K,data_event_accrual!$A:$A,"Bombs Ballet",data_event_accrual!$B:$B,$AI$3,data_event_accrual!$C:$C,"40-99",data_event_accrual!$E:$E,$AH12),AVERAGEIFS(data_event_accrual!$J:$J,data_event_accrual!$A:$A,"Bombs Ballet",data_event_accrual!$B:$B,$AI$3,data_event_accrual!$C:$C,"40-99",data_event_accrual!$E:$E,$AH12),AVERAGEIFS(data_event_accrual!$L:$L,data_event_accrual!$A:$A,"Bombs Ballet",data_event_accrual!$B:$B,$AI$3,data_event_accrual!$C:$C,"40-99",data_event_accrual!$E:$E,$AH12)),1)),COUNTIF($B$9:$B$23,"&lt;="&amp;bal*shr)))</f>
        <v/>
      </c>
      <c r="AP12" s="160" t="str">
        <f t="array" ref="AP12">IF($AH12="","",IF(AO12=0,"{}",LET(m,IF(AO12=15,16,AO12),s,MMULT(SEQUENCE(1,m,1,0),$C$9:$W$24),"{"&amp;TEXTJOIN(", ",TRUE,IF(s&gt;0,$C$8:$W$8&amp;": "&amp;ROUND(s,2),""))&amp;"}")))</f>
        <v/>
      </c>
      <c r="AQ12" s="159" t="str">
        <f t="array" ref="AQ12">IF($AH12="","",LET(bal,SUMIFS(data_event_inst!$N:$N,data_event_inst!$A:$A,"Bombs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Ballet",data_event_accrual!$B:$B,$AI$3,data_event_accrual!$C:$C,"100+",data_event_accrual!$E:$E,$AH12),AVERAGEIFS(data_event_accrual!$K:$K,data_event_accrual!$A:$A,"Bombs Ballet",data_event_accrual!$B:$B,$AI$3,data_event_accrual!$C:$C,"100+",data_event_accrual!$E:$E,$AH12),AVERAGEIFS(data_event_accrual!$J:$J,data_event_accrual!$A:$A,"Bombs Ballet",data_event_accrual!$B:$B,$AI$3,data_event_accrual!$C:$C,"100+",data_event_accrual!$E:$E,$AH12),AVERAGEIFS(data_event_accrual!$L:$L,data_event_accrual!$A:$A,"Bombs Ballet",data_event_accrual!$B:$B,$AI$3,data_event_accrual!$C:$C,"100+",data_event_accrual!$E:$E,$AH12)),1)),COUNTIF($B$9:$B$23,"&lt;="&amp;bal*shr)))</f>
        <v/>
      </c>
      <c r="AR12" s="160" t="str">
        <f t="array" ref="AR12">IF($AH12="","",IF(AQ12=0,"{}",LET(m,IF(AQ12=15,16,AQ12),s,MMULT(SEQUENCE(1,m,1,0),$C$9:$W$24),"{"&amp;TEXTJOIN(", ",TRUE,IF(s&gt;0,$C$8:$W$8&amp;": "&amp;ROUND(s,2),""))&amp;"}")))</f>
        <v/>
      </c>
    </row>
    <row r="13">
      <c r="A13" s="165">
        <v>5.0</v>
      </c>
      <c r="B13" s="166">
        <v>160.0</v>
      </c>
      <c r="C13" s="167">
        <v>25.0</v>
      </c>
      <c r="D13" s="165">
        <v>0.0</v>
      </c>
      <c r="E13" s="165">
        <v>0.0</v>
      </c>
      <c r="F13" s="165">
        <v>0.0</v>
      </c>
      <c r="G13" s="165">
        <v>0.0</v>
      </c>
      <c r="H13" s="165">
        <v>0.0</v>
      </c>
      <c r="I13" s="165">
        <v>0.0</v>
      </c>
      <c r="J13" s="165">
        <v>0.0</v>
      </c>
      <c r="K13" s="165">
        <v>0.0</v>
      </c>
      <c r="L13" s="165">
        <v>0.0</v>
      </c>
      <c r="M13" s="165">
        <v>0.0</v>
      </c>
      <c r="N13" s="165">
        <v>0.0</v>
      </c>
      <c r="O13" s="165">
        <v>0.0</v>
      </c>
      <c r="P13" s="165">
        <v>0.0</v>
      </c>
      <c r="Q13" s="165">
        <v>0.0</v>
      </c>
      <c r="R13" s="165">
        <v>0.0</v>
      </c>
      <c r="S13" s="165">
        <v>0.0</v>
      </c>
      <c r="T13" s="165">
        <v>0.0</v>
      </c>
      <c r="U13" s="165">
        <v>0.0</v>
      </c>
      <c r="V13" s="165">
        <v>0.0</v>
      </c>
      <c r="W13" s="165">
        <v>0.0</v>
      </c>
    </row>
    <row r="14">
      <c r="A14" s="165">
        <v>6.0</v>
      </c>
      <c r="B14" s="166">
        <v>220.0</v>
      </c>
      <c r="C14" s="167">
        <v>0.0</v>
      </c>
      <c r="D14" s="165">
        <v>0.0</v>
      </c>
      <c r="E14" s="165">
        <v>0.0</v>
      </c>
      <c r="F14" s="165">
        <v>0.0</v>
      </c>
      <c r="G14" s="165">
        <v>0.0</v>
      </c>
      <c r="H14" s="165">
        <v>0.0</v>
      </c>
      <c r="I14" s="165">
        <v>0.0</v>
      </c>
      <c r="J14" s="165">
        <v>0.0</v>
      </c>
      <c r="K14" s="165">
        <v>0.0</v>
      </c>
      <c r="L14" s="165">
        <v>0.0</v>
      </c>
      <c r="M14" s="165">
        <v>0.0</v>
      </c>
      <c r="N14" s="165">
        <v>0.0</v>
      </c>
      <c r="O14" s="165">
        <v>10.0</v>
      </c>
      <c r="P14" s="165">
        <v>0.0</v>
      </c>
      <c r="Q14" s="165">
        <v>0.0</v>
      </c>
      <c r="R14" s="165">
        <v>0.0</v>
      </c>
      <c r="S14" s="165">
        <v>0.0</v>
      </c>
      <c r="T14" s="165">
        <v>0.0</v>
      </c>
      <c r="U14" s="165">
        <v>0.0</v>
      </c>
      <c r="V14" s="165">
        <v>0.0</v>
      </c>
      <c r="W14" s="165">
        <v>0.0</v>
      </c>
    </row>
    <row r="15">
      <c r="A15" s="165">
        <v>7.0</v>
      </c>
      <c r="B15" s="166">
        <v>290.0</v>
      </c>
      <c r="C15" s="167">
        <v>0.0</v>
      </c>
      <c r="D15" s="165">
        <v>0.0</v>
      </c>
      <c r="E15" s="165">
        <v>0.0</v>
      </c>
      <c r="F15" s="165">
        <v>1.0</v>
      </c>
      <c r="G15" s="165">
        <v>0.0</v>
      </c>
      <c r="H15" s="165">
        <v>0.0</v>
      </c>
      <c r="I15" s="165">
        <v>0.0</v>
      </c>
      <c r="J15" s="165">
        <v>0.0</v>
      </c>
      <c r="K15" s="165">
        <v>0.0</v>
      </c>
      <c r="L15" s="165">
        <v>0.0</v>
      </c>
      <c r="M15" s="165">
        <v>0.0</v>
      </c>
      <c r="N15" s="165">
        <v>0.0</v>
      </c>
      <c r="O15" s="165">
        <v>0.0</v>
      </c>
      <c r="P15" s="165">
        <v>0.0</v>
      </c>
      <c r="Q15" s="165">
        <v>0.0</v>
      </c>
      <c r="R15" s="165">
        <v>0.0</v>
      </c>
      <c r="S15" s="165">
        <v>0.0</v>
      </c>
      <c r="T15" s="165">
        <v>0.0</v>
      </c>
      <c r="U15" s="165">
        <v>0.0</v>
      </c>
      <c r="V15" s="165">
        <v>0.0</v>
      </c>
      <c r="W15" s="165">
        <v>0.0</v>
      </c>
    </row>
    <row r="16">
      <c r="A16" s="165">
        <v>8.0</v>
      </c>
      <c r="B16" s="166">
        <v>370.0</v>
      </c>
      <c r="C16" s="167">
        <v>0.0</v>
      </c>
      <c r="D16" s="165">
        <v>0.0</v>
      </c>
      <c r="E16" s="165">
        <v>0.0</v>
      </c>
      <c r="F16" s="165">
        <v>0.0</v>
      </c>
      <c r="G16" s="165">
        <v>0.0</v>
      </c>
      <c r="H16" s="165">
        <v>0.0</v>
      </c>
      <c r="I16" s="165">
        <v>0.0</v>
      </c>
      <c r="J16" s="165">
        <v>0.0</v>
      </c>
      <c r="K16" s="165">
        <v>0.0</v>
      </c>
      <c r="L16" s="165">
        <v>60.0</v>
      </c>
      <c r="M16" s="165">
        <v>0.0</v>
      </c>
      <c r="N16" s="165">
        <v>0.0</v>
      </c>
      <c r="O16" s="165">
        <v>0.0</v>
      </c>
      <c r="P16" s="165">
        <v>0.0</v>
      </c>
      <c r="Q16" s="165">
        <v>0.0</v>
      </c>
      <c r="R16" s="165">
        <v>0.0</v>
      </c>
      <c r="S16" s="165">
        <v>0.0</v>
      </c>
      <c r="T16" s="165">
        <v>0.0</v>
      </c>
      <c r="U16" s="165">
        <v>0.0</v>
      </c>
      <c r="V16" s="165">
        <v>0.0</v>
      </c>
      <c r="W16" s="165">
        <v>0.0</v>
      </c>
    </row>
    <row r="17">
      <c r="A17" s="165">
        <v>9.0</v>
      </c>
      <c r="B17" s="166">
        <v>460.0</v>
      </c>
      <c r="C17" s="167">
        <v>0.0</v>
      </c>
      <c r="D17" s="165">
        <v>0.0</v>
      </c>
      <c r="E17" s="165">
        <v>0.0</v>
      </c>
      <c r="F17" s="165">
        <v>0.0</v>
      </c>
      <c r="G17" s="165">
        <v>0.0</v>
      </c>
      <c r="H17" s="165">
        <v>0.0</v>
      </c>
      <c r="I17" s="165">
        <v>0.0</v>
      </c>
      <c r="J17" s="165">
        <v>0.0</v>
      </c>
      <c r="K17" s="165">
        <v>0.0</v>
      </c>
      <c r="L17" s="165">
        <v>0.0</v>
      </c>
      <c r="M17" s="165">
        <v>15.0</v>
      </c>
      <c r="N17" s="165">
        <v>0.0</v>
      </c>
      <c r="O17" s="165">
        <v>0.0</v>
      </c>
      <c r="P17" s="165">
        <v>0.0</v>
      </c>
      <c r="Q17" s="165">
        <v>0.0</v>
      </c>
      <c r="R17" s="165">
        <v>0.0</v>
      </c>
      <c r="S17" s="165">
        <v>0.0</v>
      </c>
      <c r="T17" s="165">
        <v>0.0</v>
      </c>
      <c r="U17" s="165">
        <v>0.0</v>
      </c>
      <c r="V17" s="165">
        <v>0.0</v>
      </c>
      <c r="W17" s="165">
        <v>0.0</v>
      </c>
    </row>
    <row r="18">
      <c r="A18" s="165">
        <v>10.0</v>
      </c>
      <c r="B18" s="166">
        <v>560.0</v>
      </c>
      <c r="C18" s="167">
        <v>25.0</v>
      </c>
      <c r="D18" s="165">
        <v>0.0</v>
      </c>
      <c r="E18" s="165">
        <v>0.0</v>
      </c>
      <c r="F18" s="165">
        <v>0.0</v>
      </c>
      <c r="G18" s="165">
        <v>0.0</v>
      </c>
      <c r="H18" s="165">
        <v>0.0</v>
      </c>
      <c r="I18" s="165">
        <v>0.0</v>
      </c>
      <c r="J18" s="165">
        <v>0.0</v>
      </c>
      <c r="K18" s="165">
        <v>0.0</v>
      </c>
      <c r="L18" s="165">
        <v>0.0</v>
      </c>
      <c r="M18" s="165">
        <v>0.0</v>
      </c>
      <c r="N18" s="165">
        <v>0.0</v>
      </c>
      <c r="O18" s="165">
        <v>0.0</v>
      </c>
      <c r="P18" s="165">
        <v>0.0</v>
      </c>
      <c r="Q18" s="165">
        <v>0.0</v>
      </c>
      <c r="R18" s="165">
        <v>0.0</v>
      </c>
      <c r="S18" s="165">
        <v>0.0</v>
      </c>
      <c r="T18" s="165">
        <v>0.0</v>
      </c>
      <c r="U18" s="165">
        <v>0.0</v>
      </c>
      <c r="V18" s="165">
        <v>0.0</v>
      </c>
      <c r="W18" s="165">
        <v>0.0</v>
      </c>
    </row>
    <row r="19">
      <c r="A19" s="165">
        <v>11.0</v>
      </c>
      <c r="B19" s="166">
        <v>670.0</v>
      </c>
      <c r="C19" s="167">
        <v>0.0</v>
      </c>
      <c r="D19" s="165">
        <v>0.0</v>
      </c>
      <c r="E19" s="165">
        <v>0.0</v>
      </c>
      <c r="F19" s="165">
        <v>0.0</v>
      </c>
      <c r="G19" s="165">
        <v>0.0</v>
      </c>
      <c r="H19" s="165">
        <v>0.0</v>
      </c>
      <c r="I19" s="165">
        <v>0.0</v>
      </c>
      <c r="J19" s="165">
        <v>0.0</v>
      </c>
      <c r="K19" s="165">
        <v>0.0</v>
      </c>
      <c r="L19" s="165">
        <v>0.0</v>
      </c>
      <c r="M19" s="165">
        <v>0.0</v>
      </c>
      <c r="N19" s="165">
        <v>15.0</v>
      </c>
      <c r="O19" s="165">
        <v>0.0</v>
      </c>
      <c r="P19" s="165">
        <v>0.0</v>
      </c>
      <c r="Q19" s="165">
        <v>0.0</v>
      </c>
      <c r="R19" s="165">
        <v>0.0</v>
      </c>
      <c r="S19" s="165">
        <v>0.0</v>
      </c>
      <c r="T19" s="165">
        <v>0.0</v>
      </c>
      <c r="U19" s="165">
        <v>0.0</v>
      </c>
      <c r="V19" s="165">
        <v>0.0</v>
      </c>
      <c r="W19" s="165">
        <v>0.0</v>
      </c>
    </row>
    <row r="20">
      <c r="A20" s="165">
        <v>12.0</v>
      </c>
      <c r="B20" s="166">
        <v>790.0</v>
      </c>
      <c r="C20" s="167">
        <v>0.0</v>
      </c>
      <c r="D20" s="165">
        <v>0.0</v>
      </c>
      <c r="E20" s="165">
        <v>0.0</v>
      </c>
      <c r="F20" s="165">
        <v>0.0</v>
      </c>
      <c r="G20" s="165">
        <v>0.0</v>
      </c>
      <c r="H20" s="165">
        <v>0.0</v>
      </c>
      <c r="I20" s="165">
        <v>0.0</v>
      </c>
      <c r="J20" s="165">
        <v>0.0</v>
      </c>
      <c r="K20" s="165">
        <v>0.0</v>
      </c>
      <c r="L20" s="165">
        <v>0.0</v>
      </c>
      <c r="M20" s="165">
        <v>0.0</v>
      </c>
      <c r="N20" s="165">
        <v>0.0</v>
      </c>
      <c r="O20" s="165">
        <v>15.0</v>
      </c>
      <c r="P20" s="165">
        <v>0.0</v>
      </c>
      <c r="Q20" s="165">
        <v>0.0</v>
      </c>
      <c r="R20" s="165">
        <v>0.0</v>
      </c>
      <c r="S20" s="165">
        <v>0.0</v>
      </c>
      <c r="T20" s="165">
        <v>0.0</v>
      </c>
      <c r="U20" s="165">
        <v>0.0</v>
      </c>
      <c r="V20" s="165">
        <v>0.0</v>
      </c>
      <c r="W20" s="165">
        <v>0.0</v>
      </c>
    </row>
    <row r="21" ht="15.75" customHeight="1">
      <c r="A21" s="165">
        <v>13.0</v>
      </c>
      <c r="B21" s="166">
        <v>920.0</v>
      </c>
      <c r="C21" s="167">
        <v>0.0</v>
      </c>
      <c r="D21" s="165">
        <v>0.0</v>
      </c>
      <c r="E21" s="165">
        <v>0.0</v>
      </c>
      <c r="F21" s="165">
        <v>0.0</v>
      </c>
      <c r="G21" s="165">
        <v>0.0</v>
      </c>
      <c r="H21" s="165">
        <v>0.0</v>
      </c>
      <c r="I21" s="165">
        <v>1.0</v>
      </c>
      <c r="J21" s="165">
        <v>0.0</v>
      </c>
      <c r="K21" s="165">
        <v>0.0</v>
      </c>
      <c r="L21" s="165">
        <v>0.0</v>
      </c>
      <c r="M21" s="165">
        <v>0.0</v>
      </c>
      <c r="N21" s="165">
        <v>0.0</v>
      </c>
      <c r="O21" s="165">
        <v>0.0</v>
      </c>
      <c r="P21" s="165">
        <v>0.0</v>
      </c>
      <c r="Q21" s="165">
        <v>0.0</v>
      </c>
      <c r="R21" s="165">
        <v>0.0</v>
      </c>
      <c r="S21" s="165">
        <v>0.0</v>
      </c>
      <c r="T21" s="165">
        <v>0.0</v>
      </c>
      <c r="U21" s="165">
        <v>0.0</v>
      </c>
      <c r="V21" s="165">
        <v>0.0</v>
      </c>
      <c r="W21" s="165">
        <v>0.0</v>
      </c>
    </row>
    <row r="22" ht="15.75" customHeight="1">
      <c r="A22" s="165">
        <v>14.0</v>
      </c>
      <c r="B22" s="166">
        <v>1060.0</v>
      </c>
      <c r="C22" s="167">
        <v>0.0</v>
      </c>
      <c r="D22" s="165">
        <v>0.0</v>
      </c>
      <c r="E22" s="165">
        <v>0.0</v>
      </c>
      <c r="F22" s="165">
        <v>0.0</v>
      </c>
      <c r="G22" s="165">
        <v>0.0</v>
      </c>
      <c r="H22" s="165">
        <v>0.0</v>
      </c>
      <c r="I22" s="165">
        <v>0.0</v>
      </c>
      <c r="J22" s="165">
        <v>0.0</v>
      </c>
      <c r="K22" s="165">
        <v>0.0</v>
      </c>
      <c r="L22" s="165">
        <v>60.0</v>
      </c>
      <c r="M22" s="165">
        <v>0.0</v>
      </c>
      <c r="N22" s="165">
        <v>0.0</v>
      </c>
      <c r="O22" s="165">
        <v>0.0</v>
      </c>
      <c r="P22" s="165">
        <v>0.0</v>
      </c>
      <c r="Q22" s="165">
        <v>0.0</v>
      </c>
      <c r="R22" s="165">
        <v>0.0</v>
      </c>
      <c r="S22" s="165">
        <v>0.0</v>
      </c>
      <c r="T22" s="165">
        <v>0.0</v>
      </c>
      <c r="U22" s="165">
        <v>0.0</v>
      </c>
      <c r="V22" s="165">
        <v>0.0</v>
      </c>
      <c r="W22" s="165">
        <v>0.0</v>
      </c>
    </row>
    <row r="23" ht="15.75" customHeight="1">
      <c r="A23" s="165">
        <v>15.0</v>
      </c>
      <c r="B23" s="166">
        <v>1210.0</v>
      </c>
      <c r="C23" s="167">
        <v>0.0</v>
      </c>
      <c r="D23" s="165">
        <v>0.0</v>
      </c>
      <c r="E23" s="165">
        <v>0.0</v>
      </c>
      <c r="F23" s="165">
        <v>0.0</v>
      </c>
      <c r="G23" s="165">
        <v>0.0</v>
      </c>
      <c r="H23" s="165">
        <v>0.0</v>
      </c>
      <c r="I23" s="165">
        <v>0.0</v>
      </c>
      <c r="J23" s="165">
        <v>1.0</v>
      </c>
      <c r="K23" s="165">
        <v>0.0</v>
      </c>
      <c r="L23" s="165">
        <v>0.0</v>
      </c>
      <c r="M23" s="165">
        <v>0.0</v>
      </c>
      <c r="N23" s="165">
        <v>0.0</v>
      </c>
      <c r="O23" s="165">
        <v>0.0</v>
      </c>
      <c r="P23" s="165">
        <v>0.0</v>
      </c>
      <c r="Q23" s="165">
        <v>0.0</v>
      </c>
      <c r="R23" s="165">
        <v>0.0</v>
      </c>
      <c r="S23" s="165">
        <v>0.0</v>
      </c>
      <c r="T23" s="165">
        <v>0.0</v>
      </c>
      <c r="U23" s="165">
        <v>0.0</v>
      </c>
      <c r="V23" s="165">
        <v>0.0</v>
      </c>
      <c r="W23" s="165">
        <v>0.0</v>
      </c>
    </row>
    <row r="24" ht="15.75" customHeight="1">
      <c r="A24" s="182" t="s">
        <v>195</v>
      </c>
      <c r="B24" s="166"/>
      <c r="C24" s="167">
        <v>50.0</v>
      </c>
      <c r="D24" s="165">
        <v>0.0</v>
      </c>
      <c r="E24" s="165">
        <v>0.0</v>
      </c>
      <c r="F24" s="165">
        <v>0.0</v>
      </c>
      <c r="G24" s="165">
        <v>0.0</v>
      </c>
      <c r="H24" s="165">
        <v>1.0</v>
      </c>
      <c r="I24" s="165">
        <v>0.0</v>
      </c>
      <c r="J24" s="165">
        <v>0.0</v>
      </c>
      <c r="K24" s="165">
        <v>1.0</v>
      </c>
      <c r="L24" s="165">
        <v>0.0</v>
      </c>
      <c r="M24" s="165">
        <v>0.0</v>
      </c>
      <c r="N24" s="165">
        <v>0.0</v>
      </c>
      <c r="O24" s="165">
        <v>0.0</v>
      </c>
      <c r="P24" s="165">
        <v>0.0</v>
      </c>
      <c r="Q24" s="165">
        <v>0.0</v>
      </c>
      <c r="R24" s="165">
        <v>0.0</v>
      </c>
      <c r="S24" s="165">
        <v>0.0</v>
      </c>
      <c r="T24" s="165">
        <v>0.0</v>
      </c>
      <c r="U24" s="165">
        <v>0.0</v>
      </c>
      <c r="V24" s="165">
        <v>0.0</v>
      </c>
      <c r="W24" s="165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5" priority="1" operator="greaterThan">
      <formula>0</formula>
    </cfRule>
  </conditionalFormatting>
  <conditionalFormatting sqref="A9:W24">
    <cfRule type="expression" dxfId="6" priority="2">
      <formula>ISEVEN(ROW()-9+1)</formula>
    </cfRule>
  </conditionalFormatting>
  <conditionalFormatting sqref="A1:B2 A4:B24">
    <cfRule type="expression" dxfId="7" priority="3">
      <formula>ISFORMULA(A1)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3" width="5.25"/>
    <col customWidth="1" min="24" max="26" width="7.63"/>
  </cols>
  <sheetData>
    <row r="1" ht="21.75" customHeight="1">
      <c r="A1" s="183" t="s">
        <v>43</v>
      </c>
    </row>
    <row r="2" ht="19.5" customHeight="1">
      <c r="A2" s="184" t="s">
        <v>114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</row>
    <row r="3">
      <c r="A3" s="185" t="s">
        <v>153</v>
      </c>
      <c r="B3" s="186">
        <v>1.0</v>
      </c>
    </row>
    <row r="4">
      <c r="A4" s="185" t="s">
        <v>154</v>
      </c>
      <c r="B4" s="186">
        <v>42.0</v>
      </c>
    </row>
    <row r="5">
      <c r="A5" s="185" t="s">
        <v>196</v>
      </c>
      <c r="B5" s="186">
        <v>60.0</v>
      </c>
    </row>
    <row r="6">
      <c r="A6" s="185" t="s">
        <v>197</v>
      </c>
      <c r="B6" s="186">
        <v>7.0</v>
      </c>
    </row>
    <row r="7">
      <c r="A7" s="185" t="s">
        <v>198</v>
      </c>
      <c r="B7" s="186">
        <v>1.0</v>
      </c>
    </row>
    <row r="8">
      <c r="A8" s="185" t="s">
        <v>199</v>
      </c>
      <c r="B8" s="186">
        <v>1000.0</v>
      </c>
    </row>
    <row r="9">
      <c r="A9" s="185" t="s">
        <v>200</v>
      </c>
      <c r="B9" s="186" t="s">
        <v>201</v>
      </c>
    </row>
    <row r="10">
      <c r="A10" s="185" t="s">
        <v>202</v>
      </c>
      <c r="B10" s="186" t="s">
        <v>203</v>
      </c>
    </row>
    <row r="12" ht="19.5" customHeight="1">
      <c r="A12" s="184" t="s">
        <v>204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</row>
    <row r="13">
      <c r="A13" s="116" t="s">
        <v>205</v>
      </c>
      <c r="B13" s="116" t="s">
        <v>206</v>
      </c>
    </row>
    <row r="14">
      <c r="A14" s="187" t="s">
        <v>207</v>
      </c>
      <c r="B14" s="188">
        <v>1.0</v>
      </c>
    </row>
    <row r="15">
      <c r="A15" s="187" t="s">
        <v>208</v>
      </c>
      <c r="B15" s="188">
        <v>10.0</v>
      </c>
    </row>
    <row r="16">
      <c r="A16" s="187" t="s">
        <v>209</v>
      </c>
      <c r="B16" s="188">
        <v>100.0</v>
      </c>
    </row>
    <row r="17">
      <c r="A17" s="187" t="s">
        <v>210</v>
      </c>
      <c r="B17" s="188">
        <v>200.0</v>
      </c>
    </row>
    <row r="18">
      <c r="A18" s="187" t="s">
        <v>211</v>
      </c>
      <c r="B18" s="188">
        <v>500.0</v>
      </c>
    </row>
    <row r="19">
      <c r="A19" s="187" t="s">
        <v>212</v>
      </c>
      <c r="B19" s="188">
        <v>1000.0</v>
      </c>
    </row>
    <row r="21" ht="19.5" customHeight="1">
      <c r="A21" s="184" t="s">
        <v>213</v>
      </c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</row>
    <row r="22" ht="90.0" customHeight="1">
      <c r="A22" s="116" t="s">
        <v>157</v>
      </c>
      <c r="B22" s="116" t="s">
        <v>214</v>
      </c>
      <c r="C22" s="189" t="s">
        <v>82</v>
      </c>
      <c r="D22" s="189" t="s">
        <v>68</v>
      </c>
      <c r="E22" s="189" t="s">
        <v>103</v>
      </c>
      <c r="F22" s="189" t="s">
        <v>69</v>
      </c>
      <c r="G22" s="189" t="s">
        <v>70</v>
      </c>
      <c r="H22" s="189" t="s">
        <v>71</v>
      </c>
      <c r="I22" s="189" t="s">
        <v>72</v>
      </c>
      <c r="J22" s="189" t="s">
        <v>73</v>
      </c>
      <c r="K22" s="189" t="s">
        <v>74</v>
      </c>
      <c r="L22" s="189" t="s">
        <v>75</v>
      </c>
      <c r="M22" s="189" t="s">
        <v>76</v>
      </c>
      <c r="N22" s="189" t="s">
        <v>77</v>
      </c>
      <c r="O22" s="189" t="s">
        <v>78</v>
      </c>
      <c r="P22" s="189" t="s">
        <v>118</v>
      </c>
      <c r="Q22" s="189" t="s">
        <v>104</v>
      </c>
      <c r="R22" s="189" t="s">
        <v>105</v>
      </c>
      <c r="S22" s="189" t="s">
        <v>106</v>
      </c>
      <c r="T22" s="189" t="s">
        <v>107</v>
      </c>
      <c r="U22" s="189" t="s">
        <v>108</v>
      </c>
      <c r="V22" s="189" t="s">
        <v>109</v>
      </c>
      <c r="W22" s="189" t="s">
        <v>110</v>
      </c>
    </row>
    <row r="23" ht="15.75" customHeight="1">
      <c r="A23" s="187">
        <v>1.0</v>
      </c>
      <c r="B23" s="187">
        <v>100.0</v>
      </c>
      <c r="C23" s="187">
        <v>0.0</v>
      </c>
      <c r="D23" s="187">
        <v>0.0</v>
      </c>
      <c r="E23" s="187">
        <v>0.0</v>
      </c>
      <c r="F23" s="187">
        <v>0.0</v>
      </c>
      <c r="G23" s="187">
        <v>0.0</v>
      </c>
      <c r="H23" s="187">
        <v>0.0</v>
      </c>
      <c r="I23" s="187">
        <v>0.0</v>
      </c>
      <c r="J23" s="187">
        <v>0.0</v>
      </c>
      <c r="K23" s="187">
        <v>0.0</v>
      </c>
      <c r="L23" s="187">
        <v>30.0</v>
      </c>
      <c r="M23" s="187">
        <v>0.0</v>
      </c>
      <c r="N23" s="187">
        <v>0.0</v>
      </c>
      <c r="O23" s="187">
        <v>0.0</v>
      </c>
      <c r="P23" s="187">
        <v>0.0</v>
      </c>
      <c r="Q23" s="187">
        <v>0.0</v>
      </c>
      <c r="R23" s="187">
        <v>0.0</v>
      </c>
      <c r="S23" s="187">
        <v>0.0</v>
      </c>
      <c r="T23" s="187">
        <v>0.0</v>
      </c>
      <c r="U23" s="187">
        <v>0.0</v>
      </c>
      <c r="V23" s="187">
        <v>0.0</v>
      </c>
      <c r="W23" s="187">
        <v>0.0</v>
      </c>
    </row>
    <row r="24" ht="15.75" customHeight="1"/>
    <row r="25" ht="19.5" customHeight="1">
      <c r="A25" s="184" t="s">
        <v>215</v>
      </c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</row>
    <row r="26" ht="90.0" customHeight="1">
      <c r="A26" s="116" t="s">
        <v>216</v>
      </c>
      <c r="C26" s="189" t="s">
        <v>82</v>
      </c>
      <c r="D26" s="189" t="s">
        <v>68</v>
      </c>
      <c r="E26" s="189" t="s">
        <v>103</v>
      </c>
      <c r="F26" s="189" t="s">
        <v>69</v>
      </c>
      <c r="G26" s="189" t="s">
        <v>70</v>
      </c>
      <c r="H26" s="189" t="s">
        <v>71</v>
      </c>
      <c r="I26" s="189" t="s">
        <v>72</v>
      </c>
      <c r="J26" s="189" t="s">
        <v>73</v>
      </c>
      <c r="K26" s="189" t="s">
        <v>74</v>
      </c>
      <c r="L26" s="189" t="s">
        <v>75</v>
      </c>
      <c r="M26" s="189" t="s">
        <v>76</v>
      </c>
      <c r="N26" s="189" t="s">
        <v>77</v>
      </c>
      <c r="O26" s="189" t="s">
        <v>78</v>
      </c>
      <c r="P26" s="189" t="s">
        <v>118</v>
      </c>
      <c r="Q26" s="189" t="s">
        <v>104</v>
      </c>
      <c r="R26" s="189" t="s">
        <v>105</v>
      </c>
      <c r="S26" s="189" t="s">
        <v>106</v>
      </c>
      <c r="T26" s="189" t="s">
        <v>107</v>
      </c>
      <c r="U26" s="189" t="s">
        <v>108</v>
      </c>
      <c r="V26" s="189" t="s">
        <v>109</v>
      </c>
      <c r="W26" s="189" t="s">
        <v>110</v>
      </c>
    </row>
    <row r="27" ht="15.75" customHeight="1">
      <c r="A27" s="187">
        <v>1.0</v>
      </c>
      <c r="C27" s="187">
        <v>300.0</v>
      </c>
      <c r="D27" s="187">
        <v>400.0</v>
      </c>
      <c r="E27" s="187">
        <v>0.0</v>
      </c>
      <c r="F27" s="187">
        <v>0.0</v>
      </c>
      <c r="G27" s="187">
        <v>0.0</v>
      </c>
      <c r="H27" s="187">
        <v>0.0</v>
      </c>
      <c r="I27" s="187">
        <v>0.0</v>
      </c>
      <c r="J27" s="187">
        <v>0.0</v>
      </c>
      <c r="K27" s="187">
        <v>1.0</v>
      </c>
      <c r="L27" s="187">
        <v>0.0</v>
      </c>
      <c r="M27" s="187">
        <v>0.0</v>
      </c>
      <c r="N27" s="187">
        <v>0.0</v>
      </c>
      <c r="O27" s="187">
        <v>0.0</v>
      </c>
      <c r="P27" s="187">
        <v>0.0</v>
      </c>
      <c r="Q27" s="187">
        <v>0.0</v>
      </c>
      <c r="R27" s="187">
        <v>0.0</v>
      </c>
      <c r="S27" s="187">
        <v>0.0</v>
      </c>
      <c r="T27" s="187">
        <v>0.0</v>
      </c>
      <c r="U27" s="187">
        <v>0.0</v>
      </c>
      <c r="V27" s="187">
        <v>0.0</v>
      </c>
      <c r="W27" s="187">
        <v>0.0</v>
      </c>
    </row>
    <row r="28" ht="15.75" customHeight="1">
      <c r="A28" s="187">
        <f t="shared" ref="A28:A86" si="1">A27+1</f>
        <v>2</v>
      </c>
      <c r="B28" s="190"/>
      <c r="C28" s="187">
        <v>200.0</v>
      </c>
      <c r="D28" s="187">
        <v>300.0</v>
      </c>
      <c r="E28" s="187">
        <v>0.0</v>
      </c>
      <c r="F28" s="187">
        <v>0.0</v>
      </c>
      <c r="G28" s="187">
        <v>0.0</v>
      </c>
      <c r="H28" s="187">
        <v>0.0</v>
      </c>
      <c r="I28" s="187">
        <v>0.0</v>
      </c>
      <c r="J28" s="187">
        <v>1.0</v>
      </c>
      <c r="K28" s="187">
        <v>0.0</v>
      </c>
      <c r="L28" s="187">
        <v>0.0</v>
      </c>
      <c r="M28" s="187">
        <v>0.0</v>
      </c>
      <c r="N28" s="187">
        <v>0.0</v>
      </c>
      <c r="O28" s="187">
        <v>0.0</v>
      </c>
      <c r="P28" s="187">
        <v>0.0</v>
      </c>
      <c r="Q28" s="187">
        <v>0.0</v>
      </c>
      <c r="R28" s="187">
        <v>0.0</v>
      </c>
      <c r="S28" s="187">
        <v>0.0</v>
      </c>
      <c r="T28" s="187">
        <v>0.0</v>
      </c>
      <c r="U28" s="187">
        <v>0.0</v>
      </c>
      <c r="V28" s="187">
        <v>0.0</v>
      </c>
      <c r="W28" s="187">
        <v>0.0</v>
      </c>
    </row>
    <row r="29" ht="15.75" customHeight="1">
      <c r="A29" s="187">
        <f t="shared" si="1"/>
        <v>3</v>
      </c>
      <c r="C29" s="187">
        <v>150.0</v>
      </c>
      <c r="D29" s="187">
        <v>240.0</v>
      </c>
      <c r="E29" s="187">
        <v>0.0</v>
      </c>
      <c r="F29" s="187">
        <v>0.0</v>
      </c>
      <c r="G29" s="187">
        <v>0.0</v>
      </c>
      <c r="H29" s="187">
        <v>0.0</v>
      </c>
      <c r="I29" s="187">
        <v>0.0</v>
      </c>
      <c r="J29" s="187">
        <v>1.0</v>
      </c>
      <c r="K29" s="187">
        <v>0.0</v>
      </c>
      <c r="L29" s="187">
        <v>0.0</v>
      </c>
      <c r="M29" s="187">
        <v>0.0</v>
      </c>
      <c r="N29" s="187">
        <v>0.0</v>
      </c>
      <c r="O29" s="187">
        <v>0.0</v>
      </c>
      <c r="P29" s="187">
        <v>0.0</v>
      </c>
      <c r="Q29" s="187">
        <v>0.0</v>
      </c>
      <c r="R29" s="187">
        <v>0.0</v>
      </c>
      <c r="S29" s="187">
        <v>0.0</v>
      </c>
      <c r="T29" s="187">
        <v>0.0</v>
      </c>
      <c r="U29" s="187">
        <v>0.0</v>
      </c>
      <c r="V29" s="187">
        <v>0.0</v>
      </c>
      <c r="W29" s="187">
        <v>0.0</v>
      </c>
    </row>
    <row r="30" ht="15.75" customHeight="1">
      <c r="A30" s="187">
        <f t="shared" si="1"/>
        <v>4</v>
      </c>
      <c r="B30" s="190"/>
      <c r="C30" s="187">
        <v>125.0</v>
      </c>
      <c r="D30" s="187">
        <v>200.0</v>
      </c>
      <c r="E30" s="187">
        <v>0.0</v>
      </c>
      <c r="F30" s="187">
        <v>0.0</v>
      </c>
      <c r="G30" s="187">
        <v>0.0</v>
      </c>
      <c r="H30" s="187">
        <v>0.0</v>
      </c>
      <c r="I30" s="187">
        <v>0.0</v>
      </c>
      <c r="J30" s="187">
        <v>1.0</v>
      </c>
      <c r="K30" s="187">
        <v>0.0</v>
      </c>
      <c r="L30" s="187">
        <v>0.0</v>
      </c>
      <c r="M30" s="187">
        <v>0.0</v>
      </c>
      <c r="N30" s="187">
        <v>0.0</v>
      </c>
      <c r="O30" s="187">
        <v>0.0</v>
      </c>
      <c r="P30" s="187">
        <v>0.0</v>
      </c>
      <c r="Q30" s="187">
        <v>0.0</v>
      </c>
      <c r="R30" s="187">
        <v>0.0</v>
      </c>
      <c r="S30" s="187">
        <v>0.0</v>
      </c>
      <c r="T30" s="187">
        <v>0.0</v>
      </c>
      <c r="U30" s="187">
        <v>0.0</v>
      </c>
      <c r="V30" s="187">
        <v>0.0</v>
      </c>
      <c r="W30" s="187">
        <v>0.0</v>
      </c>
    </row>
    <row r="31" ht="15.75" customHeight="1">
      <c r="A31" s="187">
        <f t="shared" si="1"/>
        <v>5</v>
      </c>
      <c r="C31" s="187">
        <v>100.0</v>
      </c>
      <c r="D31" s="187">
        <v>160.0</v>
      </c>
      <c r="E31" s="187">
        <v>0.0</v>
      </c>
      <c r="F31" s="187">
        <v>0.0</v>
      </c>
      <c r="G31" s="187">
        <v>0.0</v>
      </c>
      <c r="H31" s="187">
        <v>0.0</v>
      </c>
      <c r="I31" s="187">
        <v>0.0</v>
      </c>
      <c r="J31" s="187">
        <v>1.0</v>
      </c>
      <c r="K31" s="187">
        <v>0.0</v>
      </c>
      <c r="L31" s="187">
        <v>0.0</v>
      </c>
      <c r="M31" s="187">
        <v>0.0</v>
      </c>
      <c r="N31" s="187">
        <v>0.0</v>
      </c>
      <c r="O31" s="187">
        <v>0.0</v>
      </c>
      <c r="P31" s="187">
        <v>0.0</v>
      </c>
      <c r="Q31" s="187">
        <v>0.0</v>
      </c>
      <c r="R31" s="187">
        <v>0.0</v>
      </c>
      <c r="S31" s="187">
        <v>0.0</v>
      </c>
      <c r="T31" s="187">
        <v>0.0</v>
      </c>
      <c r="U31" s="187">
        <v>0.0</v>
      </c>
      <c r="V31" s="187">
        <v>0.0</v>
      </c>
      <c r="W31" s="187">
        <v>0.0</v>
      </c>
    </row>
    <row r="32" ht="15.75" customHeight="1">
      <c r="A32" s="187">
        <f t="shared" si="1"/>
        <v>6</v>
      </c>
      <c r="B32" s="190"/>
      <c r="C32" s="187">
        <v>0.0</v>
      </c>
      <c r="D32" s="187">
        <v>140.0</v>
      </c>
      <c r="E32" s="187">
        <v>0.0</v>
      </c>
      <c r="F32" s="187">
        <v>0.0</v>
      </c>
      <c r="G32" s="187">
        <v>0.0</v>
      </c>
      <c r="H32" s="187">
        <v>0.0</v>
      </c>
      <c r="I32" s="187">
        <v>1.0</v>
      </c>
      <c r="J32" s="187">
        <v>0.0</v>
      </c>
      <c r="K32" s="187">
        <v>0.0</v>
      </c>
      <c r="L32" s="187">
        <v>0.0</v>
      </c>
      <c r="M32" s="187">
        <v>0.0</v>
      </c>
      <c r="N32" s="187">
        <v>0.0</v>
      </c>
      <c r="O32" s="187">
        <v>0.0</v>
      </c>
      <c r="P32" s="187">
        <v>0.0</v>
      </c>
      <c r="Q32" s="187">
        <v>0.0</v>
      </c>
      <c r="R32" s="187">
        <v>0.0</v>
      </c>
      <c r="S32" s="187">
        <v>0.0</v>
      </c>
      <c r="T32" s="187">
        <v>0.0</v>
      </c>
      <c r="U32" s="187">
        <v>0.0</v>
      </c>
      <c r="V32" s="187">
        <v>0.0</v>
      </c>
      <c r="W32" s="187">
        <v>0.0</v>
      </c>
    </row>
    <row r="33" ht="15.75" customHeight="1">
      <c r="A33" s="187">
        <f t="shared" si="1"/>
        <v>7</v>
      </c>
      <c r="C33" s="187">
        <v>0.0</v>
      </c>
      <c r="D33" s="187">
        <v>125.0</v>
      </c>
      <c r="E33" s="187">
        <v>0.0</v>
      </c>
      <c r="F33" s="187">
        <v>0.0</v>
      </c>
      <c r="G33" s="187">
        <v>0.0</v>
      </c>
      <c r="H33" s="187">
        <v>0.0</v>
      </c>
      <c r="I33" s="187">
        <v>1.0</v>
      </c>
      <c r="J33" s="187">
        <v>0.0</v>
      </c>
      <c r="K33" s="187">
        <v>0.0</v>
      </c>
      <c r="L33" s="187">
        <v>0.0</v>
      </c>
      <c r="M33" s="187">
        <v>0.0</v>
      </c>
      <c r="N33" s="187">
        <v>0.0</v>
      </c>
      <c r="O33" s="187">
        <v>0.0</v>
      </c>
      <c r="P33" s="187">
        <v>0.0</v>
      </c>
      <c r="Q33" s="187">
        <v>0.0</v>
      </c>
      <c r="R33" s="187">
        <v>0.0</v>
      </c>
      <c r="S33" s="187">
        <v>0.0</v>
      </c>
      <c r="T33" s="187">
        <v>0.0</v>
      </c>
      <c r="U33" s="187">
        <v>0.0</v>
      </c>
      <c r="V33" s="187">
        <v>0.0</v>
      </c>
      <c r="W33" s="187">
        <v>0.0</v>
      </c>
    </row>
    <row r="34" ht="15.75" customHeight="1">
      <c r="A34" s="187">
        <f t="shared" si="1"/>
        <v>8</v>
      </c>
      <c r="B34" s="190"/>
      <c r="C34" s="187">
        <v>0.0</v>
      </c>
      <c r="D34" s="187">
        <v>120.0</v>
      </c>
      <c r="E34" s="187">
        <v>0.0</v>
      </c>
      <c r="F34" s="187">
        <v>0.0</v>
      </c>
      <c r="G34" s="187">
        <v>0.0</v>
      </c>
      <c r="H34" s="187">
        <v>0.0</v>
      </c>
      <c r="I34" s="187">
        <v>1.0</v>
      </c>
      <c r="J34" s="187">
        <v>0.0</v>
      </c>
      <c r="K34" s="187">
        <v>0.0</v>
      </c>
      <c r="L34" s="187">
        <v>0.0</v>
      </c>
      <c r="M34" s="187">
        <v>0.0</v>
      </c>
      <c r="N34" s="187">
        <v>0.0</v>
      </c>
      <c r="O34" s="187">
        <v>0.0</v>
      </c>
      <c r="P34" s="187">
        <v>0.0</v>
      </c>
      <c r="Q34" s="187">
        <v>0.0</v>
      </c>
      <c r="R34" s="187">
        <v>0.0</v>
      </c>
      <c r="S34" s="187">
        <v>0.0</v>
      </c>
      <c r="T34" s="187">
        <v>0.0</v>
      </c>
      <c r="U34" s="187">
        <v>0.0</v>
      </c>
      <c r="V34" s="187">
        <v>0.0</v>
      </c>
      <c r="W34" s="187">
        <v>0.0</v>
      </c>
    </row>
    <row r="35" ht="15.75" customHeight="1">
      <c r="A35" s="187">
        <f t="shared" si="1"/>
        <v>9</v>
      </c>
      <c r="C35" s="187">
        <v>0.0</v>
      </c>
      <c r="D35" s="187">
        <v>115.0</v>
      </c>
      <c r="E35" s="187">
        <v>0.0</v>
      </c>
      <c r="F35" s="187">
        <v>0.0</v>
      </c>
      <c r="G35" s="187">
        <v>0.0</v>
      </c>
      <c r="H35" s="187">
        <v>0.0</v>
      </c>
      <c r="I35" s="187">
        <v>1.0</v>
      </c>
      <c r="J35" s="187">
        <v>0.0</v>
      </c>
      <c r="K35" s="187">
        <v>0.0</v>
      </c>
      <c r="L35" s="187">
        <v>0.0</v>
      </c>
      <c r="M35" s="187">
        <v>0.0</v>
      </c>
      <c r="N35" s="187">
        <v>0.0</v>
      </c>
      <c r="O35" s="187">
        <v>0.0</v>
      </c>
      <c r="P35" s="187">
        <v>0.0</v>
      </c>
      <c r="Q35" s="187">
        <v>0.0</v>
      </c>
      <c r="R35" s="187">
        <v>0.0</v>
      </c>
      <c r="S35" s="187">
        <v>0.0</v>
      </c>
      <c r="T35" s="187">
        <v>0.0</v>
      </c>
      <c r="U35" s="187">
        <v>0.0</v>
      </c>
      <c r="V35" s="187">
        <v>0.0</v>
      </c>
      <c r="W35" s="187">
        <v>0.0</v>
      </c>
    </row>
    <row r="36" ht="15.75" customHeight="1">
      <c r="A36" s="187">
        <f t="shared" si="1"/>
        <v>10</v>
      </c>
      <c r="B36" s="190"/>
      <c r="C36" s="187">
        <v>0.0</v>
      </c>
      <c r="D36" s="187">
        <v>110.0</v>
      </c>
      <c r="E36" s="187">
        <v>0.0</v>
      </c>
      <c r="F36" s="187">
        <v>0.0</v>
      </c>
      <c r="G36" s="187">
        <v>0.0</v>
      </c>
      <c r="H36" s="187">
        <v>0.0</v>
      </c>
      <c r="I36" s="187">
        <v>1.0</v>
      </c>
      <c r="J36" s="187">
        <v>0.0</v>
      </c>
      <c r="K36" s="187">
        <v>0.0</v>
      </c>
      <c r="L36" s="187">
        <v>0.0</v>
      </c>
      <c r="M36" s="187">
        <v>0.0</v>
      </c>
      <c r="N36" s="187">
        <v>0.0</v>
      </c>
      <c r="O36" s="187">
        <v>0.0</v>
      </c>
      <c r="P36" s="187">
        <v>0.0</v>
      </c>
      <c r="Q36" s="187">
        <v>0.0</v>
      </c>
      <c r="R36" s="187">
        <v>0.0</v>
      </c>
      <c r="S36" s="187">
        <v>0.0</v>
      </c>
      <c r="T36" s="187">
        <v>0.0</v>
      </c>
      <c r="U36" s="187">
        <v>0.0</v>
      </c>
      <c r="V36" s="187">
        <v>0.0</v>
      </c>
      <c r="W36" s="187">
        <v>0.0</v>
      </c>
    </row>
    <row r="37" ht="15.75" customHeight="1">
      <c r="A37" s="187">
        <f t="shared" si="1"/>
        <v>11</v>
      </c>
      <c r="C37" s="187">
        <v>0.0</v>
      </c>
      <c r="D37" s="187">
        <v>105.0</v>
      </c>
      <c r="E37" s="187">
        <v>0.0</v>
      </c>
      <c r="F37" s="187">
        <v>0.0</v>
      </c>
      <c r="G37" s="187">
        <v>0.0</v>
      </c>
      <c r="H37" s="187">
        <v>1.0</v>
      </c>
      <c r="I37" s="187">
        <v>0.0</v>
      </c>
      <c r="J37" s="187">
        <v>0.0</v>
      </c>
      <c r="K37" s="187">
        <v>0.0</v>
      </c>
      <c r="L37" s="187">
        <v>0.0</v>
      </c>
      <c r="M37" s="187">
        <v>0.0</v>
      </c>
      <c r="N37" s="187">
        <v>0.0</v>
      </c>
      <c r="O37" s="187">
        <v>0.0</v>
      </c>
      <c r="P37" s="187">
        <v>0.0</v>
      </c>
      <c r="Q37" s="187">
        <v>0.0</v>
      </c>
      <c r="R37" s="187">
        <v>0.0</v>
      </c>
      <c r="S37" s="187">
        <v>0.0</v>
      </c>
      <c r="T37" s="187">
        <v>0.0</v>
      </c>
      <c r="U37" s="187">
        <v>0.0</v>
      </c>
      <c r="V37" s="187">
        <v>0.0</v>
      </c>
      <c r="W37" s="187">
        <v>0.0</v>
      </c>
    </row>
    <row r="38" ht="15.75" customHeight="1">
      <c r="A38" s="187">
        <f t="shared" si="1"/>
        <v>12</v>
      </c>
      <c r="B38" s="190"/>
      <c r="C38" s="187">
        <v>0.0</v>
      </c>
      <c r="D38" s="187">
        <v>100.0</v>
      </c>
      <c r="E38" s="187">
        <v>0.0</v>
      </c>
      <c r="F38" s="187">
        <v>0.0</v>
      </c>
      <c r="G38" s="187">
        <v>0.0</v>
      </c>
      <c r="H38" s="187">
        <v>1.0</v>
      </c>
      <c r="I38" s="187">
        <v>0.0</v>
      </c>
      <c r="J38" s="187">
        <v>0.0</v>
      </c>
      <c r="K38" s="187">
        <v>0.0</v>
      </c>
      <c r="L38" s="187">
        <v>0.0</v>
      </c>
      <c r="M38" s="187">
        <v>0.0</v>
      </c>
      <c r="N38" s="187">
        <v>0.0</v>
      </c>
      <c r="O38" s="187">
        <v>0.0</v>
      </c>
      <c r="P38" s="187">
        <v>0.0</v>
      </c>
      <c r="Q38" s="187">
        <v>0.0</v>
      </c>
      <c r="R38" s="187">
        <v>0.0</v>
      </c>
      <c r="S38" s="187">
        <v>0.0</v>
      </c>
      <c r="T38" s="187">
        <v>0.0</v>
      </c>
      <c r="U38" s="187">
        <v>0.0</v>
      </c>
      <c r="V38" s="187">
        <v>0.0</v>
      </c>
      <c r="W38" s="187">
        <v>0.0</v>
      </c>
    </row>
    <row r="39" ht="15.75" customHeight="1">
      <c r="A39" s="187">
        <f t="shared" si="1"/>
        <v>13</v>
      </c>
      <c r="C39" s="187">
        <v>0.0</v>
      </c>
      <c r="D39" s="187">
        <v>95.0</v>
      </c>
      <c r="E39" s="187">
        <v>0.0</v>
      </c>
      <c r="F39" s="187">
        <v>0.0</v>
      </c>
      <c r="G39" s="187">
        <v>1.0</v>
      </c>
      <c r="H39" s="187">
        <v>0.0</v>
      </c>
      <c r="I39" s="187">
        <v>0.0</v>
      </c>
      <c r="J39" s="187">
        <v>0.0</v>
      </c>
      <c r="K39" s="187">
        <v>0.0</v>
      </c>
      <c r="L39" s="187">
        <v>0.0</v>
      </c>
      <c r="M39" s="187">
        <v>0.0</v>
      </c>
      <c r="N39" s="187">
        <v>0.0</v>
      </c>
      <c r="O39" s="187">
        <v>0.0</v>
      </c>
      <c r="P39" s="187">
        <v>0.0</v>
      </c>
      <c r="Q39" s="187">
        <v>0.0</v>
      </c>
      <c r="R39" s="187">
        <v>0.0</v>
      </c>
      <c r="S39" s="187">
        <v>0.0</v>
      </c>
      <c r="T39" s="187">
        <v>0.0</v>
      </c>
      <c r="U39" s="187">
        <v>0.0</v>
      </c>
      <c r="V39" s="187">
        <v>0.0</v>
      </c>
      <c r="W39" s="187">
        <v>0.0</v>
      </c>
    </row>
    <row r="40" ht="15.75" customHeight="1">
      <c r="A40" s="187">
        <f t="shared" si="1"/>
        <v>14</v>
      </c>
      <c r="B40" s="190"/>
      <c r="C40" s="187">
        <v>0.0</v>
      </c>
      <c r="D40" s="187">
        <v>90.0</v>
      </c>
      <c r="E40" s="187">
        <v>0.0</v>
      </c>
      <c r="F40" s="187">
        <v>0.0</v>
      </c>
      <c r="G40" s="187">
        <v>1.0</v>
      </c>
      <c r="H40" s="187">
        <v>0.0</v>
      </c>
      <c r="I40" s="187">
        <v>0.0</v>
      </c>
      <c r="J40" s="187">
        <v>0.0</v>
      </c>
      <c r="K40" s="187">
        <v>0.0</v>
      </c>
      <c r="L40" s="187">
        <v>0.0</v>
      </c>
      <c r="M40" s="187">
        <v>0.0</v>
      </c>
      <c r="N40" s="187">
        <v>0.0</v>
      </c>
      <c r="O40" s="187">
        <v>0.0</v>
      </c>
      <c r="P40" s="187">
        <v>0.0</v>
      </c>
      <c r="Q40" s="187">
        <v>0.0</v>
      </c>
      <c r="R40" s="187">
        <v>0.0</v>
      </c>
      <c r="S40" s="187">
        <v>0.0</v>
      </c>
      <c r="T40" s="187">
        <v>0.0</v>
      </c>
      <c r="U40" s="187">
        <v>0.0</v>
      </c>
      <c r="V40" s="187">
        <v>0.0</v>
      </c>
      <c r="W40" s="187">
        <v>0.0</v>
      </c>
    </row>
    <row r="41" ht="15.75" customHeight="1">
      <c r="A41" s="187">
        <f t="shared" si="1"/>
        <v>15</v>
      </c>
      <c r="C41" s="187">
        <v>0.0</v>
      </c>
      <c r="D41" s="187">
        <v>85.0</v>
      </c>
      <c r="E41" s="187">
        <v>0.0</v>
      </c>
      <c r="F41" s="187">
        <v>1.0</v>
      </c>
      <c r="G41" s="187">
        <v>0.0</v>
      </c>
      <c r="H41" s="187">
        <v>0.0</v>
      </c>
      <c r="I41" s="187">
        <v>0.0</v>
      </c>
      <c r="J41" s="187">
        <v>0.0</v>
      </c>
      <c r="K41" s="187">
        <v>0.0</v>
      </c>
      <c r="L41" s="187">
        <v>0.0</v>
      </c>
      <c r="M41" s="187">
        <v>0.0</v>
      </c>
      <c r="N41" s="187">
        <v>0.0</v>
      </c>
      <c r="O41" s="187">
        <v>0.0</v>
      </c>
      <c r="P41" s="187">
        <v>0.0</v>
      </c>
      <c r="Q41" s="187">
        <v>0.0</v>
      </c>
      <c r="R41" s="187">
        <v>0.0</v>
      </c>
      <c r="S41" s="187">
        <v>0.0</v>
      </c>
      <c r="T41" s="187">
        <v>0.0</v>
      </c>
      <c r="U41" s="187">
        <v>0.0</v>
      </c>
      <c r="V41" s="187">
        <v>0.0</v>
      </c>
      <c r="W41" s="187">
        <v>0.0</v>
      </c>
    </row>
    <row r="42" ht="15.75" customHeight="1">
      <c r="A42" s="187">
        <f t="shared" si="1"/>
        <v>16</v>
      </c>
      <c r="B42" s="190"/>
      <c r="C42" s="187">
        <v>0.0</v>
      </c>
      <c r="D42" s="187">
        <v>80.0</v>
      </c>
      <c r="E42" s="187">
        <v>0.0</v>
      </c>
      <c r="F42" s="187">
        <v>1.0</v>
      </c>
      <c r="G42" s="187">
        <v>0.0</v>
      </c>
      <c r="H42" s="187">
        <v>0.0</v>
      </c>
      <c r="I42" s="187">
        <v>0.0</v>
      </c>
      <c r="J42" s="187">
        <v>0.0</v>
      </c>
      <c r="K42" s="187">
        <v>0.0</v>
      </c>
      <c r="L42" s="187">
        <v>0.0</v>
      </c>
      <c r="M42" s="187">
        <v>0.0</v>
      </c>
      <c r="N42" s="187">
        <v>0.0</v>
      </c>
      <c r="O42" s="187">
        <v>0.0</v>
      </c>
      <c r="P42" s="187">
        <v>0.0</v>
      </c>
      <c r="Q42" s="187">
        <v>0.0</v>
      </c>
      <c r="R42" s="187">
        <v>0.0</v>
      </c>
      <c r="S42" s="187">
        <v>0.0</v>
      </c>
      <c r="T42" s="187">
        <v>0.0</v>
      </c>
      <c r="U42" s="187">
        <v>0.0</v>
      </c>
      <c r="V42" s="187">
        <v>0.0</v>
      </c>
      <c r="W42" s="187">
        <v>0.0</v>
      </c>
    </row>
    <row r="43" ht="15.75" customHeight="1">
      <c r="A43" s="187">
        <f t="shared" si="1"/>
        <v>17</v>
      </c>
      <c r="C43" s="187">
        <v>0.0</v>
      </c>
      <c r="D43" s="187">
        <v>75.0</v>
      </c>
      <c r="E43" s="187">
        <v>0.0</v>
      </c>
      <c r="F43" s="187">
        <v>0.0</v>
      </c>
      <c r="G43" s="187">
        <v>0.0</v>
      </c>
      <c r="H43" s="187">
        <v>0.0</v>
      </c>
      <c r="I43" s="187">
        <v>0.0</v>
      </c>
      <c r="J43" s="187">
        <v>0.0</v>
      </c>
      <c r="K43" s="187">
        <v>0.0</v>
      </c>
      <c r="L43" s="187">
        <v>0.0</v>
      </c>
      <c r="M43" s="187">
        <v>0.0</v>
      </c>
      <c r="N43" s="187">
        <v>0.0</v>
      </c>
      <c r="O43" s="187">
        <v>0.0</v>
      </c>
      <c r="P43" s="187">
        <v>0.0</v>
      </c>
      <c r="Q43" s="187">
        <v>0.0</v>
      </c>
      <c r="R43" s="187">
        <v>0.0</v>
      </c>
      <c r="S43" s="187">
        <v>0.0</v>
      </c>
      <c r="T43" s="187">
        <v>0.0</v>
      </c>
      <c r="U43" s="187">
        <v>0.0</v>
      </c>
      <c r="V43" s="187">
        <v>0.0</v>
      </c>
      <c r="W43" s="187">
        <v>0.0</v>
      </c>
    </row>
    <row r="44" ht="15.75" customHeight="1">
      <c r="A44" s="187">
        <f t="shared" si="1"/>
        <v>18</v>
      </c>
      <c r="B44" s="190"/>
      <c r="C44" s="187">
        <v>0.0</v>
      </c>
      <c r="D44" s="187">
        <v>70.0</v>
      </c>
      <c r="E44" s="187">
        <v>0.0</v>
      </c>
      <c r="F44" s="187">
        <v>0.0</v>
      </c>
      <c r="G44" s="187">
        <v>0.0</v>
      </c>
      <c r="H44" s="187">
        <v>0.0</v>
      </c>
      <c r="I44" s="187">
        <v>0.0</v>
      </c>
      <c r="J44" s="187">
        <v>0.0</v>
      </c>
      <c r="K44" s="187">
        <v>0.0</v>
      </c>
      <c r="L44" s="187">
        <v>0.0</v>
      </c>
      <c r="M44" s="187">
        <v>0.0</v>
      </c>
      <c r="N44" s="187">
        <v>0.0</v>
      </c>
      <c r="O44" s="187">
        <v>0.0</v>
      </c>
      <c r="P44" s="187">
        <v>0.0</v>
      </c>
      <c r="Q44" s="187">
        <v>0.0</v>
      </c>
      <c r="R44" s="187">
        <v>0.0</v>
      </c>
      <c r="S44" s="187">
        <v>0.0</v>
      </c>
      <c r="T44" s="187">
        <v>0.0</v>
      </c>
      <c r="U44" s="187">
        <v>0.0</v>
      </c>
      <c r="V44" s="187">
        <v>0.0</v>
      </c>
      <c r="W44" s="187">
        <v>0.0</v>
      </c>
    </row>
    <row r="45" ht="15.75" customHeight="1">
      <c r="A45" s="187">
        <f t="shared" si="1"/>
        <v>19</v>
      </c>
      <c r="C45" s="187">
        <v>0.0</v>
      </c>
      <c r="D45" s="187">
        <v>65.0</v>
      </c>
      <c r="E45" s="187">
        <v>0.0</v>
      </c>
      <c r="F45" s="187">
        <v>0.0</v>
      </c>
      <c r="G45" s="187">
        <v>0.0</v>
      </c>
      <c r="H45" s="187">
        <v>0.0</v>
      </c>
      <c r="I45" s="187">
        <v>0.0</v>
      </c>
      <c r="J45" s="187">
        <v>0.0</v>
      </c>
      <c r="K45" s="187">
        <v>0.0</v>
      </c>
      <c r="L45" s="187">
        <v>0.0</v>
      </c>
      <c r="M45" s="187">
        <v>0.0</v>
      </c>
      <c r="N45" s="187">
        <v>0.0</v>
      </c>
      <c r="O45" s="187">
        <v>0.0</v>
      </c>
      <c r="P45" s="187">
        <v>0.0</v>
      </c>
      <c r="Q45" s="187">
        <v>0.0</v>
      </c>
      <c r="R45" s="187">
        <v>0.0</v>
      </c>
      <c r="S45" s="187">
        <v>0.0</v>
      </c>
      <c r="T45" s="187">
        <v>0.0</v>
      </c>
      <c r="U45" s="187">
        <v>0.0</v>
      </c>
      <c r="V45" s="187">
        <v>0.0</v>
      </c>
      <c r="W45" s="187">
        <v>0.0</v>
      </c>
    </row>
    <row r="46" ht="15.75" customHeight="1">
      <c r="A46" s="187">
        <f t="shared" si="1"/>
        <v>20</v>
      </c>
      <c r="B46" s="190"/>
      <c r="C46" s="187">
        <v>0.0</v>
      </c>
      <c r="D46" s="187">
        <v>60.0</v>
      </c>
      <c r="E46" s="187">
        <v>0.0</v>
      </c>
      <c r="F46" s="187">
        <v>0.0</v>
      </c>
      <c r="G46" s="187">
        <v>0.0</v>
      </c>
      <c r="H46" s="187">
        <v>0.0</v>
      </c>
      <c r="I46" s="187">
        <v>0.0</v>
      </c>
      <c r="J46" s="187">
        <v>0.0</v>
      </c>
      <c r="K46" s="187">
        <v>0.0</v>
      </c>
      <c r="L46" s="187">
        <v>0.0</v>
      </c>
      <c r="M46" s="187">
        <v>0.0</v>
      </c>
      <c r="N46" s="187">
        <v>0.0</v>
      </c>
      <c r="O46" s="187">
        <v>0.0</v>
      </c>
      <c r="P46" s="187">
        <v>0.0</v>
      </c>
      <c r="Q46" s="187">
        <v>0.0</v>
      </c>
      <c r="R46" s="187">
        <v>0.0</v>
      </c>
      <c r="S46" s="187">
        <v>0.0</v>
      </c>
      <c r="T46" s="187">
        <v>0.0</v>
      </c>
      <c r="U46" s="187">
        <v>0.0</v>
      </c>
      <c r="V46" s="187">
        <v>0.0</v>
      </c>
      <c r="W46" s="187">
        <v>0.0</v>
      </c>
    </row>
    <row r="47" ht="15.75" customHeight="1">
      <c r="A47" s="187">
        <f t="shared" si="1"/>
        <v>21</v>
      </c>
      <c r="C47" s="187">
        <v>0.0</v>
      </c>
      <c r="D47" s="187">
        <v>55.0</v>
      </c>
      <c r="E47" s="187">
        <v>0.0</v>
      </c>
      <c r="F47" s="187">
        <v>0.0</v>
      </c>
      <c r="G47" s="187">
        <v>0.0</v>
      </c>
      <c r="H47" s="187">
        <v>0.0</v>
      </c>
      <c r="I47" s="187">
        <v>0.0</v>
      </c>
      <c r="J47" s="187">
        <v>0.0</v>
      </c>
      <c r="K47" s="187">
        <v>0.0</v>
      </c>
      <c r="L47" s="187">
        <v>0.0</v>
      </c>
      <c r="M47" s="187">
        <v>0.0</v>
      </c>
      <c r="N47" s="187">
        <v>0.0</v>
      </c>
      <c r="O47" s="187">
        <v>0.0</v>
      </c>
      <c r="P47" s="187">
        <v>0.0</v>
      </c>
      <c r="Q47" s="187">
        <v>0.0</v>
      </c>
      <c r="R47" s="187">
        <v>0.0</v>
      </c>
      <c r="S47" s="187">
        <v>0.0</v>
      </c>
      <c r="T47" s="187">
        <v>0.0</v>
      </c>
      <c r="U47" s="187">
        <v>0.0</v>
      </c>
      <c r="V47" s="187">
        <v>0.0</v>
      </c>
      <c r="W47" s="187">
        <v>0.0</v>
      </c>
    </row>
    <row r="48" ht="15.75" customHeight="1">
      <c r="A48" s="187">
        <f t="shared" si="1"/>
        <v>22</v>
      </c>
      <c r="B48" s="190"/>
      <c r="C48" s="187">
        <v>0.0</v>
      </c>
      <c r="D48" s="187">
        <v>50.0</v>
      </c>
      <c r="E48" s="187">
        <v>0.0</v>
      </c>
      <c r="F48" s="187">
        <v>0.0</v>
      </c>
      <c r="G48" s="187">
        <v>0.0</v>
      </c>
      <c r="H48" s="187">
        <v>0.0</v>
      </c>
      <c r="I48" s="187">
        <v>0.0</v>
      </c>
      <c r="J48" s="187">
        <v>0.0</v>
      </c>
      <c r="K48" s="187">
        <v>0.0</v>
      </c>
      <c r="L48" s="187">
        <v>0.0</v>
      </c>
      <c r="M48" s="187">
        <v>0.0</v>
      </c>
      <c r="N48" s="187">
        <v>0.0</v>
      </c>
      <c r="O48" s="187">
        <v>0.0</v>
      </c>
      <c r="P48" s="187">
        <v>0.0</v>
      </c>
      <c r="Q48" s="187">
        <v>0.0</v>
      </c>
      <c r="R48" s="187">
        <v>0.0</v>
      </c>
      <c r="S48" s="187">
        <v>0.0</v>
      </c>
      <c r="T48" s="187">
        <v>0.0</v>
      </c>
      <c r="U48" s="187">
        <v>0.0</v>
      </c>
      <c r="V48" s="187">
        <v>0.0</v>
      </c>
      <c r="W48" s="187">
        <v>0.0</v>
      </c>
    </row>
    <row r="49" ht="15.75" customHeight="1">
      <c r="A49" s="187">
        <f t="shared" si="1"/>
        <v>23</v>
      </c>
      <c r="C49" s="187">
        <v>0.0</v>
      </c>
      <c r="D49" s="187">
        <v>45.0</v>
      </c>
      <c r="E49" s="187">
        <v>0.0</v>
      </c>
      <c r="F49" s="187">
        <v>0.0</v>
      </c>
      <c r="G49" s="187">
        <v>0.0</v>
      </c>
      <c r="H49" s="187">
        <v>0.0</v>
      </c>
      <c r="I49" s="187">
        <v>0.0</v>
      </c>
      <c r="J49" s="187">
        <v>0.0</v>
      </c>
      <c r="K49" s="187">
        <v>0.0</v>
      </c>
      <c r="L49" s="187">
        <v>0.0</v>
      </c>
      <c r="M49" s="187">
        <v>0.0</v>
      </c>
      <c r="N49" s="187">
        <v>0.0</v>
      </c>
      <c r="O49" s="187">
        <v>0.0</v>
      </c>
      <c r="P49" s="187">
        <v>0.0</v>
      </c>
      <c r="Q49" s="187">
        <v>0.0</v>
      </c>
      <c r="R49" s="187">
        <v>0.0</v>
      </c>
      <c r="S49" s="187">
        <v>0.0</v>
      </c>
      <c r="T49" s="187">
        <v>0.0</v>
      </c>
      <c r="U49" s="187">
        <v>0.0</v>
      </c>
      <c r="V49" s="187">
        <v>0.0</v>
      </c>
      <c r="W49" s="187">
        <v>0.0</v>
      </c>
    </row>
    <row r="50" ht="15.75" customHeight="1">
      <c r="A50" s="187">
        <f t="shared" si="1"/>
        <v>24</v>
      </c>
      <c r="B50" s="190"/>
      <c r="C50" s="187">
        <v>0.0</v>
      </c>
      <c r="D50" s="187">
        <v>40.0</v>
      </c>
      <c r="E50" s="187">
        <v>0.0</v>
      </c>
      <c r="F50" s="187">
        <v>0.0</v>
      </c>
      <c r="G50" s="187">
        <v>0.0</v>
      </c>
      <c r="H50" s="187">
        <v>0.0</v>
      </c>
      <c r="I50" s="187">
        <v>0.0</v>
      </c>
      <c r="J50" s="187">
        <v>0.0</v>
      </c>
      <c r="K50" s="187">
        <v>0.0</v>
      </c>
      <c r="L50" s="187">
        <v>0.0</v>
      </c>
      <c r="M50" s="187">
        <v>0.0</v>
      </c>
      <c r="N50" s="187">
        <v>0.0</v>
      </c>
      <c r="O50" s="187">
        <v>0.0</v>
      </c>
      <c r="P50" s="187">
        <v>0.0</v>
      </c>
      <c r="Q50" s="187">
        <v>0.0</v>
      </c>
      <c r="R50" s="187">
        <v>0.0</v>
      </c>
      <c r="S50" s="187">
        <v>0.0</v>
      </c>
      <c r="T50" s="187">
        <v>0.0</v>
      </c>
      <c r="U50" s="187">
        <v>0.0</v>
      </c>
      <c r="V50" s="187">
        <v>0.0</v>
      </c>
      <c r="W50" s="187">
        <v>0.0</v>
      </c>
    </row>
    <row r="51" ht="15.75" customHeight="1">
      <c r="A51" s="187">
        <f t="shared" si="1"/>
        <v>25</v>
      </c>
      <c r="C51" s="187">
        <v>0.0</v>
      </c>
      <c r="D51" s="187">
        <v>35.0</v>
      </c>
      <c r="E51" s="187">
        <v>0.0</v>
      </c>
      <c r="F51" s="187">
        <v>0.0</v>
      </c>
      <c r="G51" s="187">
        <v>0.0</v>
      </c>
      <c r="H51" s="187">
        <v>0.0</v>
      </c>
      <c r="I51" s="187">
        <v>0.0</v>
      </c>
      <c r="J51" s="187">
        <v>0.0</v>
      </c>
      <c r="K51" s="187">
        <v>0.0</v>
      </c>
      <c r="L51" s="187">
        <v>0.0</v>
      </c>
      <c r="M51" s="187">
        <v>0.0</v>
      </c>
      <c r="N51" s="187">
        <v>0.0</v>
      </c>
      <c r="O51" s="187">
        <v>0.0</v>
      </c>
      <c r="P51" s="187">
        <v>0.0</v>
      </c>
      <c r="Q51" s="187">
        <v>0.0</v>
      </c>
      <c r="R51" s="187">
        <v>0.0</v>
      </c>
      <c r="S51" s="187">
        <v>0.0</v>
      </c>
      <c r="T51" s="187">
        <v>0.0</v>
      </c>
      <c r="U51" s="187">
        <v>0.0</v>
      </c>
      <c r="V51" s="187">
        <v>0.0</v>
      </c>
      <c r="W51" s="187">
        <v>0.0</v>
      </c>
    </row>
    <row r="52" ht="15.75" customHeight="1">
      <c r="A52" s="187">
        <f t="shared" si="1"/>
        <v>26</v>
      </c>
      <c r="B52" s="190"/>
      <c r="C52" s="187">
        <v>0.0</v>
      </c>
      <c r="D52" s="187">
        <v>0.0</v>
      </c>
      <c r="E52" s="187">
        <v>0.0</v>
      </c>
      <c r="F52" s="187">
        <v>0.0</v>
      </c>
      <c r="G52" s="187">
        <v>0.0</v>
      </c>
      <c r="H52" s="187">
        <v>0.0</v>
      </c>
      <c r="I52" s="187">
        <v>0.0</v>
      </c>
      <c r="J52" s="187">
        <v>0.0</v>
      </c>
      <c r="K52" s="187">
        <v>0.0</v>
      </c>
      <c r="L52" s="187">
        <v>0.0</v>
      </c>
      <c r="M52" s="187">
        <v>0.0</v>
      </c>
      <c r="N52" s="187">
        <v>0.0</v>
      </c>
      <c r="O52" s="187">
        <v>0.0</v>
      </c>
      <c r="P52" s="187">
        <v>0.0</v>
      </c>
      <c r="Q52" s="187">
        <v>0.0</v>
      </c>
      <c r="R52" s="187">
        <v>0.0</v>
      </c>
      <c r="S52" s="187">
        <v>0.0</v>
      </c>
      <c r="T52" s="187">
        <v>0.0</v>
      </c>
      <c r="U52" s="187">
        <v>0.0</v>
      </c>
      <c r="V52" s="187">
        <v>0.0</v>
      </c>
      <c r="W52" s="187">
        <v>0.0</v>
      </c>
    </row>
    <row r="53" ht="15.75" customHeight="1">
      <c r="A53" s="187">
        <f t="shared" si="1"/>
        <v>27</v>
      </c>
      <c r="C53" s="187">
        <v>0.0</v>
      </c>
      <c r="D53" s="187">
        <v>0.0</v>
      </c>
      <c r="E53" s="187">
        <v>0.0</v>
      </c>
      <c r="F53" s="187">
        <v>0.0</v>
      </c>
      <c r="G53" s="187">
        <v>0.0</v>
      </c>
      <c r="H53" s="187">
        <v>0.0</v>
      </c>
      <c r="I53" s="187">
        <v>0.0</v>
      </c>
      <c r="J53" s="187">
        <v>0.0</v>
      </c>
      <c r="K53" s="187">
        <v>0.0</v>
      </c>
      <c r="L53" s="187">
        <v>0.0</v>
      </c>
      <c r="M53" s="187">
        <v>0.0</v>
      </c>
      <c r="N53" s="187">
        <v>0.0</v>
      </c>
      <c r="O53" s="187">
        <v>0.0</v>
      </c>
      <c r="P53" s="187">
        <v>0.0</v>
      </c>
      <c r="Q53" s="187">
        <v>0.0</v>
      </c>
      <c r="R53" s="187">
        <v>0.0</v>
      </c>
      <c r="S53" s="187">
        <v>0.0</v>
      </c>
      <c r="T53" s="187">
        <v>0.0</v>
      </c>
      <c r="U53" s="187">
        <v>0.0</v>
      </c>
      <c r="V53" s="187">
        <v>0.0</v>
      </c>
      <c r="W53" s="187">
        <v>0.0</v>
      </c>
    </row>
    <row r="54" ht="15.75" customHeight="1">
      <c r="A54" s="187">
        <f t="shared" si="1"/>
        <v>28</v>
      </c>
      <c r="B54" s="190"/>
      <c r="C54" s="187">
        <v>0.0</v>
      </c>
      <c r="D54" s="187">
        <v>0.0</v>
      </c>
      <c r="E54" s="187">
        <v>0.0</v>
      </c>
      <c r="F54" s="187">
        <v>0.0</v>
      </c>
      <c r="G54" s="187">
        <v>0.0</v>
      </c>
      <c r="H54" s="187">
        <v>0.0</v>
      </c>
      <c r="I54" s="187">
        <v>0.0</v>
      </c>
      <c r="J54" s="187">
        <v>0.0</v>
      </c>
      <c r="K54" s="187">
        <v>0.0</v>
      </c>
      <c r="L54" s="187">
        <v>0.0</v>
      </c>
      <c r="M54" s="187">
        <v>0.0</v>
      </c>
      <c r="N54" s="187">
        <v>0.0</v>
      </c>
      <c r="O54" s="187">
        <v>0.0</v>
      </c>
      <c r="P54" s="187">
        <v>0.0</v>
      </c>
      <c r="Q54" s="187">
        <v>0.0</v>
      </c>
      <c r="R54" s="187">
        <v>0.0</v>
      </c>
      <c r="S54" s="187">
        <v>0.0</v>
      </c>
      <c r="T54" s="187">
        <v>0.0</v>
      </c>
      <c r="U54" s="187">
        <v>0.0</v>
      </c>
      <c r="V54" s="187">
        <v>0.0</v>
      </c>
      <c r="W54" s="187">
        <v>0.0</v>
      </c>
    </row>
    <row r="55" ht="15.75" customHeight="1">
      <c r="A55" s="187">
        <f t="shared" si="1"/>
        <v>29</v>
      </c>
      <c r="C55" s="187">
        <v>0.0</v>
      </c>
      <c r="D55" s="187">
        <v>0.0</v>
      </c>
      <c r="E55" s="187">
        <v>0.0</v>
      </c>
      <c r="F55" s="187">
        <v>0.0</v>
      </c>
      <c r="G55" s="187">
        <v>0.0</v>
      </c>
      <c r="H55" s="187">
        <v>0.0</v>
      </c>
      <c r="I55" s="187">
        <v>0.0</v>
      </c>
      <c r="J55" s="187">
        <v>0.0</v>
      </c>
      <c r="K55" s="187">
        <v>0.0</v>
      </c>
      <c r="L55" s="187">
        <v>0.0</v>
      </c>
      <c r="M55" s="187">
        <v>0.0</v>
      </c>
      <c r="N55" s="187">
        <v>0.0</v>
      </c>
      <c r="O55" s="187">
        <v>0.0</v>
      </c>
      <c r="P55" s="187">
        <v>0.0</v>
      </c>
      <c r="Q55" s="187">
        <v>0.0</v>
      </c>
      <c r="R55" s="187">
        <v>0.0</v>
      </c>
      <c r="S55" s="187">
        <v>0.0</v>
      </c>
      <c r="T55" s="187">
        <v>0.0</v>
      </c>
      <c r="U55" s="187">
        <v>0.0</v>
      </c>
      <c r="V55" s="187">
        <v>0.0</v>
      </c>
      <c r="W55" s="187">
        <v>0.0</v>
      </c>
    </row>
    <row r="56" ht="15.75" customHeight="1">
      <c r="A56" s="187">
        <f t="shared" si="1"/>
        <v>30</v>
      </c>
      <c r="B56" s="190"/>
      <c r="C56" s="187">
        <v>0.0</v>
      </c>
      <c r="D56" s="187">
        <v>0.0</v>
      </c>
      <c r="E56" s="187">
        <v>0.0</v>
      </c>
      <c r="F56" s="187">
        <v>0.0</v>
      </c>
      <c r="G56" s="187">
        <v>0.0</v>
      </c>
      <c r="H56" s="187">
        <v>0.0</v>
      </c>
      <c r="I56" s="187">
        <v>0.0</v>
      </c>
      <c r="J56" s="187">
        <v>0.0</v>
      </c>
      <c r="K56" s="187">
        <v>0.0</v>
      </c>
      <c r="L56" s="187">
        <v>0.0</v>
      </c>
      <c r="M56" s="187">
        <v>0.0</v>
      </c>
      <c r="N56" s="187">
        <v>0.0</v>
      </c>
      <c r="O56" s="187">
        <v>0.0</v>
      </c>
      <c r="P56" s="187">
        <v>0.0</v>
      </c>
      <c r="Q56" s="187">
        <v>0.0</v>
      </c>
      <c r="R56" s="187">
        <v>0.0</v>
      </c>
      <c r="S56" s="187">
        <v>0.0</v>
      </c>
      <c r="T56" s="187">
        <v>0.0</v>
      </c>
      <c r="U56" s="187">
        <v>0.0</v>
      </c>
      <c r="V56" s="187">
        <v>0.0</v>
      </c>
      <c r="W56" s="187">
        <v>0.0</v>
      </c>
    </row>
    <row r="57" ht="15.75" customHeight="1">
      <c r="A57" s="187">
        <f t="shared" si="1"/>
        <v>31</v>
      </c>
      <c r="C57" s="187">
        <v>0.0</v>
      </c>
      <c r="D57" s="187">
        <v>0.0</v>
      </c>
      <c r="E57" s="187">
        <v>0.0</v>
      </c>
      <c r="F57" s="187">
        <v>0.0</v>
      </c>
      <c r="G57" s="187">
        <v>0.0</v>
      </c>
      <c r="H57" s="187">
        <v>0.0</v>
      </c>
      <c r="I57" s="187">
        <v>0.0</v>
      </c>
      <c r="J57" s="187">
        <v>0.0</v>
      </c>
      <c r="K57" s="187">
        <v>0.0</v>
      </c>
      <c r="L57" s="187">
        <v>0.0</v>
      </c>
      <c r="M57" s="187">
        <v>0.0</v>
      </c>
      <c r="N57" s="187">
        <v>0.0</v>
      </c>
      <c r="O57" s="187">
        <v>0.0</v>
      </c>
      <c r="P57" s="187">
        <v>0.0</v>
      </c>
      <c r="Q57" s="187">
        <v>0.0</v>
      </c>
      <c r="R57" s="187">
        <v>0.0</v>
      </c>
      <c r="S57" s="187">
        <v>0.0</v>
      </c>
      <c r="T57" s="187">
        <v>0.0</v>
      </c>
      <c r="U57" s="187">
        <v>0.0</v>
      </c>
      <c r="V57" s="187">
        <v>0.0</v>
      </c>
      <c r="W57" s="187">
        <v>0.0</v>
      </c>
    </row>
    <row r="58" ht="15.75" customHeight="1">
      <c r="A58" s="187">
        <f t="shared" si="1"/>
        <v>32</v>
      </c>
      <c r="B58" s="190"/>
      <c r="C58" s="187">
        <v>0.0</v>
      </c>
      <c r="D58" s="187">
        <v>0.0</v>
      </c>
      <c r="E58" s="187">
        <v>0.0</v>
      </c>
      <c r="F58" s="187">
        <v>0.0</v>
      </c>
      <c r="G58" s="187">
        <v>0.0</v>
      </c>
      <c r="H58" s="187">
        <v>0.0</v>
      </c>
      <c r="I58" s="187">
        <v>0.0</v>
      </c>
      <c r="J58" s="187">
        <v>0.0</v>
      </c>
      <c r="K58" s="187">
        <v>0.0</v>
      </c>
      <c r="L58" s="187">
        <v>0.0</v>
      </c>
      <c r="M58" s="187">
        <v>0.0</v>
      </c>
      <c r="N58" s="187">
        <v>0.0</v>
      </c>
      <c r="O58" s="187">
        <v>0.0</v>
      </c>
      <c r="P58" s="187">
        <v>0.0</v>
      </c>
      <c r="Q58" s="187">
        <v>0.0</v>
      </c>
      <c r="R58" s="187">
        <v>0.0</v>
      </c>
      <c r="S58" s="187">
        <v>0.0</v>
      </c>
      <c r="T58" s="187">
        <v>0.0</v>
      </c>
      <c r="U58" s="187">
        <v>0.0</v>
      </c>
      <c r="V58" s="187">
        <v>0.0</v>
      </c>
      <c r="W58" s="187">
        <v>0.0</v>
      </c>
    </row>
    <row r="59" ht="15.75" customHeight="1">
      <c r="A59" s="187">
        <f t="shared" si="1"/>
        <v>33</v>
      </c>
      <c r="C59" s="187">
        <v>0.0</v>
      </c>
      <c r="D59" s="187">
        <v>0.0</v>
      </c>
      <c r="E59" s="187">
        <v>0.0</v>
      </c>
      <c r="F59" s="187">
        <v>0.0</v>
      </c>
      <c r="G59" s="187">
        <v>0.0</v>
      </c>
      <c r="H59" s="187">
        <v>0.0</v>
      </c>
      <c r="I59" s="187">
        <v>0.0</v>
      </c>
      <c r="J59" s="187">
        <v>0.0</v>
      </c>
      <c r="K59" s="187">
        <v>0.0</v>
      </c>
      <c r="L59" s="187">
        <v>0.0</v>
      </c>
      <c r="M59" s="187">
        <v>0.0</v>
      </c>
      <c r="N59" s="187">
        <v>0.0</v>
      </c>
      <c r="O59" s="187">
        <v>0.0</v>
      </c>
      <c r="P59" s="187">
        <v>0.0</v>
      </c>
      <c r="Q59" s="187">
        <v>0.0</v>
      </c>
      <c r="R59" s="187">
        <v>0.0</v>
      </c>
      <c r="S59" s="187">
        <v>0.0</v>
      </c>
      <c r="T59" s="187">
        <v>0.0</v>
      </c>
      <c r="U59" s="187">
        <v>0.0</v>
      </c>
      <c r="V59" s="187">
        <v>0.0</v>
      </c>
      <c r="W59" s="187">
        <v>0.0</v>
      </c>
    </row>
    <row r="60" ht="15.75" customHeight="1">
      <c r="A60" s="187">
        <f t="shared" si="1"/>
        <v>34</v>
      </c>
      <c r="B60" s="190"/>
      <c r="C60" s="187">
        <v>0.0</v>
      </c>
      <c r="D60" s="187">
        <v>0.0</v>
      </c>
      <c r="E60" s="187">
        <v>0.0</v>
      </c>
      <c r="F60" s="187">
        <v>0.0</v>
      </c>
      <c r="G60" s="187">
        <v>0.0</v>
      </c>
      <c r="H60" s="187">
        <v>0.0</v>
      </c>
      <c r="I60" s="187">
        <v>0.0</v>
      </c>
      <c r="J60" s="187">
        <v>0.0</v>
      </c>
      <c r="K60" s="187">
        <v>0.0</v>
      </c>
      <c r="L60" s="187">
        <v>0.0</v>
      </c>
      <c r="M60" s="187">
        <v>0.0</v>
      </c>
      <c r="N60" s="187">
        <v>0.0</v>
      </c>
      <c r="O60" s="187">
        <v>0.0</v>
      </c>
      <c r="P60" s="187">
        <v>0.0</v>
      </c>
      <c r="Q60" s="187">
        <v>0.0</v>
      </c>
      <c r="R60" s="187">
        <v>0.0</v>
      </c>
      <c r="S60" s="187">
        <v>0.0</v>
      </c>
      <c r="T60" s="187">
        <v>0.0</v>
      </c>
      <c r="U60" s="187">
        <v>0.0</v>
      </c>
      <c r="V60" s="187">
        <v>0.0</v>
      </c>
      <c r="W60" s="187">
        <v>0.0</v>
      </c>
    </row>
    <row r="61" ht="15.75" customHeight="1">
      <c r="A61" s="187">
        <f t="shared" si="1"/>
        <v>35</v>
      </c>
      <c r="C61" s="187">
        <v>0.0</v>
      </c>
      <c r="D61" s="187">
        <v>0.0</v>
      </c>
      <c r="E61" s="187">
        <v>0.0</v>
      </c>
      <c r="F61" s="187">
        <v>0.0</v>
      </c>
      <c r="G61" s="187">
        <v>0.0</v>
      </c>
      <c r="H61" s="187">
        <v>0.0</v>
      </c>
      <c r="I61" s="187">
        <v>0.0</v>
      </c>
      <c r="J61" s="187">
        <v>0.0</v>
      </c>
      <c r="K61" s="187">
        <v>0.0</v>
      </c>
      <c r="L61" s="187">
        <v>0.0</v>
      </c>
      <c r="M61" s="187">
        <v>0.0</v>
      </c>
      <c r="N61" s="187">
        <v>0.0</v>
      </c>
      <c r="O61" s="187">
        <v>0.0</v>
      </c>
      <c r="P61" s="187">
        <v>0.0</v>
      </c>
      <c r="Q61" s="187">
        <v>0.0</v>
      </c>
      <c r="R61" s="187">
        <v>0.0</v>
      </c>
      <c r="S61" s="187">
        <v>0.0</v>
      </c>
      <c r="T61" s="187">
        <v>0.0</v>
      </c>
      <c r="U61" s="187">
        <v>0.0</v>
      </c>
      <c r="V61" s="187">
        <v>0.0</v>
      </c>
      <c r="W61" s="187">
        <v>0.0</v>
      </c>
    </row>
    <row r="62" ht="15.75" customHeight="1">
      <c r="A62" s="187">
        <f t="shared" si="1"/>
        <v>36</v>
      </c>
      <c r="B62" s="190"/>
      <c r="C62" s="187">
        <v>0.0</v>
      </c>
      <c r="D62" s="187">
        <v>0.0</v>
      </c>
      <c r="E62" s="187">
        <v>0.0</v>
      </c>
      <c r="F62" s="187">
        <v>0.0</v>
      </c>
      <c r="G62" s="187">
        <v>0.0</v>
      </c>
      <c r="H62" s="187">
        <v>0.0</v>
      </c>
      <c r="I62" s="187">
        <v>0.0</v>
      </c>
      <c r="J62" s="187">
        <v>0.0</v>
      </c>
      <c r="K62" s="187">
        <v>0.0</v>
      </c>
      <c r="L62" s="187">
        <v>0.0</v>
      </c>
      <c r="M62" s="187">
        <v>0.0</v>
      </c>
      <c r="N62" s="187">
        <v>0.0</v>
      </c>
      <c r="O62" s="187">
        <v>0.0</v>
      </c>
      <c r="P62" s="187">
        <v>0.0</v>
      </c>
      <c r="Q62" s="187">
        <v>0.0</v>
      </c>
      <c r="R62" s="187">
        <v>0.0</v>
      </c>
      <c r="S62" s="187">
        <v>0.0</v>
      </c>
      <c r="T62" s="187">
        <v>0.0</v>
      </c>
      <c r="U62" s="187">
        <v>0.0</v>
      </c>
      <c r="V62" s="187">
        <v>0.0</v>
      </c>
      <c r="W62" s="187">
        <v>0.0</v>
      </c>
    </row>
    <row r="63" ht="15.75" customHeight="1">
      <c r="A63" s="187">
        <f t="shared" si="1"/>
        <v>37</v>
      </c>
      <c r="C63" s="187">
        <v>0.0</v>
      </c>
      <c r="D63" s="187">
        <v>0.0</v>
      </c>
      <c r="E63" s="187">
        <v>0.0</v>
      </c>
      <c r="F63" s="187">
        <v>0.0</v>
      </c>
      <c r="G63" s="187">
        <v>0.0</v>
      </c>
      <c r="H63" s="187">
        <v>0.0</v>
      </c>
      <c r="I63" s="187">
        <v>0.0</v>
      </c>
      <c r="J63" s="187">
        <v>0.0</v>
      </c>
      <c r="K63" s="187">
        <v>0.0</v>
      </c>
      <c r="L63" s="187">
        <v>0.0</v>
      </c>
      <c r="M63" s="187">
        <v>0.0</v>
      </c>
      <c r="N63" s="187">
        <v>0.0</v>
      </c>
      <c r="O63" s="187">
        <v>0.0</v>
      </c>
      <c r="P63" s="187">
        <v>0.0</v>
      </c>
      <c r="Q63" s="187">
        <v>0.0</v>
      </c>
      <c r="R63" s="187">
        <v>0.0</v>
      </c>
      <c r="S63" s="187">
        <v>0.0</v>
      </c>
      <c r="T63" s="187">
        <v>0.0</v>
      </c>
      <c r="U63" s="187">
        <v>0.0</v>
      </c>
      <c r="V63" s="187">
        <v>0.0</v>
      </c>
      <c r="W63" s="187">
        <v>0.0</v>
      </c>
    </row>
    <row r="64" ht="15.75" customHeight="1">
      <c r="A64" s="187">
        <f t="shared" si="1"/>
        <v>38</v>
      </c>
      <c r="B64" s="190"/>
      <c r="C64" s="187">
        <v>0.0</v>
      </c>
      <c r="D64" s="187">
        <v>0.0</v>
      </c>
      <c r="E64" s="187">
        <v>0.0</v>
      </c>
      <c r="F64" s="187">
        <v>0.0</v>
      </c>
      <c r="G64" s="187">
        <v>0.0</v>
      </c>
      <c r="H64" s="187">
        <v>0.0</v>
      </c>
      <c r="I64" s="187">
        <v>0.0</v>
      </c>
      <c r="J64" s="187">
        <v>0.0</v>
      </c>
      <c r="K64" s="187">
        <v>0.0</v>
      </c>
      <c r="L64" s="187">
        <v>0.0</v>
      </c>
      <c r="M64" s="187">
        <v>0.0</v>
      </c>
      <c r="N64" s="187">
        <v>0.0</v>
      </c>
      <c r="O64" s="187">
        <v>0.0</v>
      </c>
      <c r="P64" s="187">
        <v>0.0</v>
      </c>
      <c r="Q64" s="187">
        <v>0.0</v>
      </c>
      <c r="R64" s="187">
        <v>0.0</v>
      </c>
      <c r="S64" s="187">
        <v>0.0</v>
      </c>
      <c r="T64" s="187">
        <v>0.0</v>
      </c>
      <c r="U64" s="187">
        <v>0.0</v>
      </c>
      <c r="V64" s="187">
        <v>0.0</v>
      </c>
      <c r="W64" s="187">
        <v>0.0</v>
      </c>
    </row>
    <row r="65" ht="15.75" customHeight="1">
      <c r="A65" s="187">
        <f t="shared" si="1"/>
        <v>39</v>
      </c>
      <c r="C65" s="187">
        <v>0.0</v>
      </c>
      <c r="D65" s="187">
        <v>0.0</v>
      </c>
      <c r="E65" s="187">
        <v>0.0</v>
      </c>
      <c r="F65" s="187">
        <v>0.0</v>
      </c>
      <c r="G65" s="187">
        <v>0.0</v>
      </c>
      <c r="H65" s="187">
        <v>0.0</v>
      </c>
      <c r="I65" s="187">
        <v>0.0</v>
      </c>
      <c r="J65" s="187">
        <v>0.0</v>
      </c>
      <c r="K65" s="187">
        <v>0.0</v>
      </c>
      <c r="L65" s="187">
        <v>0.0</v>
      </c>
      <c r="M65" s="187">
        <v>0.0</v>
      </c>
      <c r="N65" s="187">
        <v>0.0</v>
      </c>
      <c r="O65" s="187">
        <v>0.0</v>
      </c>
      <c r="P65" s="187">
        <v>0.0</v>
      </c>
      <c r="Q65" s="187">
        <v>0.0</v>
      </c>
      <c r="R65" s="187">
        <v>0.0</v>
      </c>
      <c r="S65" s="187">
        <v>0.0</v>
      </c>
      <c r="T65" s="187">
        <v>0.0</v>
      </c>
      <c r="U65" s="187">
        <v>0.0</v>
      </c>
      <c r="V65" s="187">
        <v>0.0</v>
      </c>
      <c r="W65" s="187">
        <v>0.0</v>
      </c>
    </row>
    <row r="66" ht="15.75" customHeight="1">
      <c r="A66" s="187">
        <f t="shared" si="1"/>
        <v>40</v>
      </c>
      <c r="B66" s="190"/>
      <c r="C66" s="187">
        <v>0.0</v>
      </c>
      <c r="D66" s="187">
        <v>0.0</v>
      </c>
      <c r="E66" s="187">
        <v>0.0</v>
      </c>
      <c r="F66" s="187">
        <v>0.0</v>
      </c>
      <c r="G66" s="187">
        <v>0.0</v>
      </c>
      <c r="H66" s="187">
        <v>0.0</v>
      </c>
      <c r="I66" s="187">
        <v>0.0</v>
      </c>
      <c r="J66" s="187">
        <v>0.0</v>
      </c>
      <c r="K66" s="187">
        <v>0.0</v>
      </c>
      <c r="L66" s="187">
        <v>0.0</v>
      </c>
      <c r="M66" s="187">
        <v>0.0</v>
      </c>
      <c r="N66" s="187">
        <v>0.0</v>
      </c>
      <c r="O66" s="187">
        <v>0.0</v>
      </c>
      <c r="P66" s="187">
        <v>0.0</v>
      </c>
      <c r="Q66" s="187">
        <v>0.0</v>
      </c>
      <c r="R66" s="187">
        <v>0.0</v>
      </c>
      <c r="S66" s="187">
        <v>0.0</v>
      </c>
      <c r="T66" s="187">
        <v>0.0</v>
      </c>
      <c r="U66" s="187">
        <v>0.0</v>
      </c>
      <c r="V66" s="187">
        <v>0.0</v>
      </c>
      <c r="W66" s="187">
        <v>0.0</v>
      </c>
    </row>
    <row r="67" ht="15.75" customHeight="1">
      <c r="A67" s="187">
        <f t="shared" si="1"/>
        <v>41</v>
      </c>
      <c r="C67" s="187">
        <v>0.0</v>
      </c>
      <c r="D67" s="187">
        <v>0.0</v>
      </c>
      <c r="E67" s="187">
        <v>0.0</v>
      </c>
      <c r="F67" s="187">
        <v>0.0</v>
      </c>
      <c r="G67" s="187">
        <v>0.0</v>
      </c>
      <c r="H67" s="187">
        <v>0.0</v>
      </c>
      <c r="I67" s="187">
        <v>0.0</v>
      </c>
      <c r="J67" s="187">
        <v>0.0</v>
      </c>
      <c r="K67" s="187">
        <v>0.0</v>
      </c>
      <c r="L67" s="187">
        <v>0.0</v>
      </c>
      <c r="M67" s="187">
        <v>0.0</v>
      </c>
      <c r="N67" s="187">
        <v>0.0</v>
      </c>
      <c r="O67" s="187">
        <v>0.0</v>
      </c>
      <c r="P67" s="187">
        <v>0.0</v>
      </c>
      <c r="Q67" s="187">
        <v>0.0</v>
      </c>
      <c r="R67" s="187">
        <v>0.0</v>
      </c>
      <c r="S67" s="187">
        <v>0.0</v>
      </c>
      <c r="T67" s="187">
        <v>0.0</v>
      </c>
      <c r="U67" s="187">
        <v>0.0</v>
      </c>
      <c r="V67" s="187">
        <v>0.0</v>
      </c>
      <c r="W67" s="187">
        <v>0.0</v>
      </c>
    </row>
    <row r="68" ht="15.75" customHeight="1">
      <c r="A68" s="187">
        <f t="shared" si="1"/>
        <v>42</v>
      </c>
      <c r="B68" s="190"/>
      <c r="C68" s="187">
        <v>0.0</v>
      </c>
      <c r="D68" s="187">
        <v>0.0</v>
      </c>
      <c r="E68" s="187">
        <v>0.0</v>
      </c>
      <c r="F68" s="187">
        <v>0.0</v>
      </c>
      <c r="G68" s="187">
        <v>0.0</v>
      </c>
      <c r="H68" s="187">
        <v>0.0</v>
      </c>
      <c r="I68" s="187">
        <v>0.0</v>
      </c>
      <c r="J68" s="187">
        <v>0.0</v>
      </c>
      <c r="K68" s="187">
        <v>0.0</v>
      </c>
      <c r="L68" s="187">
        <v>0.0</v>
      </c>
      <c r="M68" s="187">
        <v>0.0</v>
      </c>
      <c r="N68" s="187">
        <v>0.0</v>
      </c>
      <c r="O68" s="187">
        <v>0.0</v>
      </c>
      <c r="P68" s="187">
        <v>0.0</v>
      </c>
      <c r="Q68" s="187">
        <v>0.0</v>
      </c>
      <c r="R68" s="187">
        <v>0.0</v>
      </c>
      <c r="S68" s="187">
        <v>0.0</v>
      </c>
      <c r="T68" s="187">
        <v>0.0</v>
      </c>
      <c r="U68" s="187">
        <v>0.0</v>
      </c>
      <c r="V68" s="187">
        <v>0.0</v>
      </c>
      <c r="W68" s="187">
        <v>0.0</v>
      </c>
    </row>
    <row r="69" ht="15.75" customHeight="1">
      <c r="A69" s="187">
        <f t="shared" si="1"/>
        <v>43</v>
      </c>
      <c r="C69" s="187">
        <v>0.0</v>
      </c>
      <c r="D69" s="187">
        <v>0.0</v>
      </c>
      <c r="E69" s="187">
        <v>0.0</v>
      </c>
      <c r="F69" s="187">
        <v>0.0</v>
      </c>
      <c r="G69" s="187">
        <v>0.0</v>
      </c>
      <c r="H69" s="187">
        <v>0.0</v>
      </c>
      <c r="I69" s="187">
        <v>0.0</v>
      </c>
      <c r="J69" s="187">
        <v>0.0</v>
      </c>
      <c r="K69" s="187">
        <v>0.0</v>
      </c>
      <c r="L69" s="187">
        <v>0.0</v>
      </c>
      <c r="M69" s="187">
        <v>0.0</v>
      </c>
      <c r="N69" s="187">
        <v>0.0</v>
      </c>
      <c r="O69" s="187">
        <v>0.0</v>
      </c>
      <c r="P69" s="187">
        <v>0.0</v>
      </c>
      <c r="Q69" s="187">
        <v>0.0</v>
      </c>
      <c r="R69" s="187">
        <v>0.0</v>
      </c>
      <c r="S69" s="187">
        <v>0.0</v>
      </c>
      <c r="T69" s="187">
        <v>0.0</v>
      </c>
      <c r="U69" s="187">
        <v>0.0</v>
      </c>
      <c r="V69" s="187">
        <v>0.0</v>
      </c>
      <c r="W69" s="187">
        <v>0.0</v>
      </c>
    </row>
    <row r="70" ht="15.75" customHeight="1">
      <c r="A70" s="187">
        <f t="shared" si="1"/>
        <v>44</v>
      </c>
      <c r="B70" s="190"/>
      <c r="C70" s="187">
        <v>0.0</v>
      </c>
      <c r="D70" s="187">
        <v>0.0</v>
      </c>
      <c r="E70" s="187">
        <v>0.0</v>
      </c>
      <c r="F70" s="187">
        <v>0.0</v>
      </c>
      <c r="G70" s="187">
        <v>0.0</v>
      </c>
      <c r="H70" s="187">
        <v>0.0</v>
      </c>
      <c r="I70" s="187">
        <v>0.0</v>
      </c>
      <c r="J70" s="187">
        <v>0.0</v>
      </c>
      <c r="K70" s="187">
        <v>0.0</v>
      </c>
      <c r="L70" s="187">
        <v>0.0</v>
      </c>
      <c r="M70" s="187">
        <v>0.0</v>
      </c>
      <c r="N70" s="187">
        <v>0.0</v>
      </c>
      <c r="O70" s="187">
        <v>0.0</v>
      </c>
      <c r="P70" s="187">
        <v>0.0</v>
      </c>
      <c r="Q70" s="187">
        <v>0.0</v>
      </c>
      <c r="R70" s="187">
        <v>0.0</v>
      </c>
      <c r="S70" s="187">
        <v>0.0</v>
      </c>
      <c r="T70" s="187">
        <v>0.0</v>
      </c>
      <c r="U70" s="187">
        <v>0.0</v>
      </c>
      <c r="V70" s="187">
        <v>0.0</v>
      </c>
      <c r="W70" s="187">
        <v>0.0</v>
      </c>
    </row>
    <row r="71" ht="15.75" customHeight="1">
      <c r="A71" s="187">
        <f t="shared" si="1"/>
        <v>45</v>
      </c>
      <c r="C71" s="187">
        <v>0.0</v>
      </c>
      <c r="D71" s="187">
        <v>0.0</v>
      </c>
      <c r="E71" s="187">
        <v>0.0</v>
      </c>
      <c r="F71" s="187">
        <v>0.0</v>
      </c>
      <c r="G71" s="187">
        <v>0.0</v>
      </c>
      <c r="H71" s="187">
        <v>0.0</v>
      </c>
      <c r="I71" s="187">
        <v>0.0</v>
      </c>
      <c r="J71" s="187">
        <v>0.0</v>
      </c>
      <c r="K71" s="187">
        <v>0.0</v>
      </c>
      <c r="L71" s="187">
        <v>0.0</v>
      </c>
      <c r="M71" s="187">
        <v>0.0</v>
      </c>
      <c r="N71" s="187">
        <v>0.0</v>
      </c>
      <c r="O71" s="187">
        <v>0.0</v>
      </c>
      <c r="P71" s="187">
        <v>0.0</v>
      </c>
      <c r="Q71" s="187">
        <v>0.0</v>
      </c>
      <c r="R71" s="187">
        <v>0.0</v>
      </c>
      <c r="S71" s="187">
        <v>0.0</v>
      </c>
      <c r="T71" s="187">
        <v>0.0</v>
      </c>
      <c r="U71" s="187">
        <v>0.0</v>
      </c>
      <c r="V71" s="187">
        <v>0.0</v>
      </c>
      <c r="W71" s="187">
        <v>0.0</v>
      </c>
    </row>
    <row r="72" ht="15.75" customHeight="1">
      <c r="A72" s="187">
        <f t="shared" si="1"/>
        <v>46</v>
      </c>
      <c r="B72" s="190"/>
      <c r="C72" s="187">
        <v>0.0</v>
      </c>
      <c r="D72" s="187">
        <v>0.0</v>
      </c>
      <c r="E72" s="187">
        <v>0.0</v>
      </c>
      <c r="F72" s="187">
        <v>0.0</v>
      </c>
      <c r="G72" s="187">
        <v>0.0</v>
      </c>
      <c r="H72" s="187">
        <v>0.0</v>
      </c>
      <c r="I72" s="187">
        <v>0.0</v>
      </c>
      <c r="J72" s="187">
        <v>0.0</v>
      </c>
      <c r="K72" s="187">
        <v>0.0</v>
      </c>
      <c r="L72" s="187">
        <v>0.0</v>
      </c>
      <c r="M72" s="187">
        <v>0.0</v>
      </c>
      <c r="N72" s="187">
        <v>0.0</v>
      </c>
      <c r="O72" s="187">
        <v>0.0</v>
      </c>
      <c r="P72" s="187">
        <v>0.0</v>
      </c>
      <c r="Q72" s="187">
        <v>0.0</v>
      </c>
      <c r="R72" s="187">
        <v>0.0</v>
      </c>
      <c r="S72" s="187">
        <v>0.0</v>
      </c>
      <c r="T72" s="187">
        <v>0.0</v>
      </c>
      <c r="U72" s="187">
        <v>0.0</v>
      </c>
      <c r="V72" s="187">
        <v>0.0</v>
      </c>
      <c r="W72" s="187">
        <v>0.0</v>
      </c>
    </row>
    <row r="73" ht="15.75" customHeight="1">
      <c r="A73" s="187">
        <f t="shared" si="1"/>
        <v>47</v>
      </c>
      <c r="C73" s="187">
        <v>0.0</v>
      </c>
      <c r="D73" s="187">
        <v>0.0</v>
      </c>
      <c r="E73" s="187">
        <v>0.0</v>
      </c>
      <c r="F73" s="187">
        <v>0.0</v>
      </c>
      <c r="G73" s="187">
        <v>0.0</v>
      </c>
      <c r="H73" s="187">
        <v>0.0</v>
      </c>
      <c r="I73" s="187">
        <v>0.0</v>
      </c>
      <c r="J73" s="187">
        <v>0.0</v>
      </c>
      <c r="K73" s="187">
        <v>0.0</v>
      </c>
      <c r="L73" s="187">
        <v>0.0</v>
      </c>
      <c r="M73" s="187">
        <v>0.0</v>
      </c>
      <c r="N73" s="187">
        <v>0.0</v>
      </c>
      <c r="O73" s="187">
        <v>0.0</v>
      </c>
      <c r="P73" s="187">
        <v>0.0</v>
      </c>
      <c r="Q73" s="187">
        <v>0.0</v>
      </c>
      <c r="R73" s="187">
        <v>0.0</v>
      </c>
      <c r="S73" s="187">
        <v>0.0</v>
      </c>
      <c r="T73" s="187">
        <v>0.0</v>
      </c>
      <c r="U73" s="187">
        <v>0.0</v>
      </c>
      <c r="V73" s="187">
        <v>0.0</v>
      </c>
      <c r="W73" s="187">
        <v>0.0</v>
      </c>
    </row>
    <row r="74" ht="15.75" customHeight="1">
      <c r="A74" s="187">
        <f t="shared" si="1"/>
        <v>48</v>
      </c>
      <c r="B74" s="190"/>
      <c r="C74" s="187">
        <v>0.0</v>
      </c>
      <c r="D74" s="187">
        <v>0.0</v>
      </c>
      <c r="E74" s="187">
        <v>0.0</v>
      </c>
      <c r="F74" s="187">
        <v>0.0</v>
      </c>
      <c r="G74" s="187">
        <v>0.0</v>
      </c>
      <c r="H74" s="187">
        <v>0.0</v>
      </c>
      <c r="I74" s="187">
        <v>0.0</v>
      </c>
      <c r="J74" s="187">
        <v>0.0</v>
      </c>
      <c r="K74" s="187">
        <v>0.0</v>
      </c>
      <c r="L74" s="187">
        <v>0.0</v>
      </c>
      <c r="M74" s="187">
        <v>0.0</v>
      </c>
      <c r="N74" s="187">
        <v>0.0</v>
      </c>
      <c r="O74" s="187">
        <v>0.0</v>
      </c>
      <c r="P74" s="187">
        <v>0.0</v>
      </c>
      <c r="Q74" s="187">
        <v>0.0</v>
      </c>
      <c r="R74" s="187">
        <v>0.0</v>
      </c>
      <c r="S74" s="187">
        <v>0.0</v>
      </c>
      <c r="T74" s="187">
        <v>0.0</v>
      </c>
      <c r="U74" s="187">
        <v>0.0</v>
      </c>
      <c r="V74" s="187">
        <v>0.0</v>
      </c>
      <c r="W74" s="187">
        <v>0.0</v>
      </c>
    </row>
    <row r="75" ht="15.75" customHeight="1">
      <c r="A75" s="187">
        <f t="shared" si="1"/>
        <v>49</v>
      </c>
      <c r="C75" s="187">
        <v>0.0</v>
      </c>
      <c r="D75" s="187">
        <v>0.0</v>
      </c>
      <c r="E75" s="187">
        <v>0.0</v>
      </c>
      <c r="F75" s="187">
        <v>0.0</v>
      </c>
      <c r="G75" s="187">
        <v>0.0</v>
      </c>
      <c r="H75" s="187">
        <v>0.0</v>
      </c>
      <c r="I75" s="187">
        <v>0.0</v>
      </c>
      <c r="J75" s="187">
        <v>0.0</v>
      </c>
      <c r="K75" s="187">
        <v>0.0</v>
      </c>
      <c r="L75" s="187">
        <v>0.0</v>
      </c>
      <c r="M75" s="187">
        <v>0.0</v>
      </c>
      <c r="N75" s="187">
        <v>0.0</v>
      </c>
      <c r="O75" s="187">
        <v>0.0</v>
      </c>
      <c r="P75" s="187">
        <v>0.0</v>
      </c>
      <c r="Q75" s="187">
        <v>0.0</v>
      </c>
      <c r="R75" s="187">
        <v>0.0</v>
      </c>
      <c r="S75" s="187">
        <v>0.0</v>
      </c>
      <c r="T75" s="187">
        <v>0.0</v>
      </c>
      <c r="U75" s="187">
        <v>0.0</v>
      </c>
      <c r="V75" s="187">
        <v>0.0</v>
      </c>
      <c r="W75" s="187">
        <v>0.0</v>
      </c>
    </row>
    <row r="76" ht="15.75" customHeight="1">
      <c r="A76" s="187">
        <f t="shared" si="1"/>
        <v>50</v>
      </c>
      <c r="B76" s="190"/>
      <c r="C76" s="187">
        <v>0.0</v>
      </c>
      <c r="D76" s="187">
        <v>0.0</v>
      </c>
      <c r="E76" s="187">
        <v>0.0</v>
      </c>
      <c r="F76" s="187">
        <v>0.0</v>
      </c>
      <c r="G76" s="187">
        <v>0.0</v>
      </c>
      <c r="H76" s="187">
        <v>0.0</v>
      </c>
      <c r="I76" s="187">
        <v>0.0</v>
      </c>
      <c r="J76" s="187">
        <v>0.0</v>
      </c>
      <c r="K76" s="187">
        <v>0.0</v>
      </c>
      <c r="L76" s="187">
        <v>0.0</v>
      </c>
      <c r="M76" s="187">
        <v>0.0</v>
      </c>
      <c r="N76" s="187">
        <v>0.0</v>
      </c>
      <c r="O76" s="187">
        <v>0.0</v>
      </c>
      <c r="P76" s="187">
        <v>0.0</v>
      </c>
      <c r="Q76" s="187">
        <v>0.0</v>
      </c>
      <c r="R76" s="187">
        <v>0.0</v>
      </c>
      <c r="S76" s="187">
        <v>0.0</v>
      </c>
      <c r="T76" s="187">
        <v>0.0</v>
      </c>
      <c r="U76" s="187">
        <v>0.0</v>
      </c>
      <c r="V76" s="187">
        <v>0.0</v>
      </c>
      <c r="W76" s="187">
        <v>0.0</v>
      </c>
    </row>
    <row r="77" ht="15.75" customHeight="1">
      <c r="A77" s="187">
        <f t="shared" si="1"/>
        <v>51</v>
      </c>
      <c r="C77" s="187">
        <v>0.0</v>
      </c>
      <c r="D77" s="187">
        <v>0.0</v>
      </c>
      <c r="E77" s="187">
        <v>0.0</v>
      </c>
      <c r="F77" s="187">
        <v>0.0</v>
      </c>
      <c r="G77" s="187">
        <v>0.0</v>
      </c>
      <c r="H77" s="187">
        <v>0.0</v>
      </c>
      <c r="I77" s="187">
        <v>0.0</v>
      </c>
      <c r="J77" s="187">
        <v>0.0</v>
      </c>
      <c r="K77" s="187">
        <v>0.0</v>
      </c>
      <c r="L77" s="187">
        <v>0.0</v>
      </c>
      <c r="M77" s="187">
        <v>0.0</v>
      </c>
      <c r="N77" s="187">
        <v>0.0</v>
      </c>
      <c r="O77" s="187">
        <v>0.0</v>
      </c>
      <c r="P77" s="187">
        <v>0.0</v>
      </c>
      <c r="Q77" s="187">
        <v>0.0</v>
      </c>
      <c r="R77" s="187">
        <v>0.0</v>
      </c>
      <c r="S77" s="187">
        <v>0.0</v>
      </c>
      <c r="T77" s="187">
        <v>0.0</v>
      </c>
      <c r="U77" s="187">
        <v>0.0</v>
      </c>
      <c r="V77" s="187">
        <v>0.0</v>
      </c>
      <c r="W77" s="187">
        <v>0.0</v>
      </c>
    </row>
    <row r="78" ht="15.75" customHeight="1">
      <c r="A78" s="187">
        <f t="shared" si="1"/>
        <v>52</v>
      </c>
      <c r="B78" s="190"/>
      <c r="C78" s="187">
        <v>0.0</v>
      </c>
      <c r="D78" s="187">
        <v>0.0</v>
      </c>
      <c r="E78" s="187">
        <v>0.0</v>
      </c>
      <c r="F78" s="187">
        <v>0.0</v>
      </c>
      <c r="G78" s="187">
        <v>0.0</v>
      </c>
      <c r="H78" s="187">
        <v>0.0</v>
      </c>
      <c r="I78" s="187">
        <v>0.0</v>
      </c>
      <c r="J78" s="187">
        <v>0.0</v>
      </c>
      <c r="K78" s="187">
        <v>0.0</v>
      </c>
      <c r="L78" s="187">
        <v>0.0</v>
      </c>
      <c r="M78" s="187">
        <v>0.0</v>
      </c>
      <c r="N78" s="187">
        <v>0.0</v>
      </c>
      <c r="O78" s="187">
        <v>0.0</v>
      </c>
      <c r="P78" s="187">
        <v>0.0</v>
      </c>
      <c r="Q78" s="187">
        <v>0.0</v>
      </c>
      <c r="R78" s="187">
        <v>0.0</v>
      </c>
      <c r="S78" s="187">
        <v>0.0</v>
      </c>
      <c r="T78" s="187">
        <v>0.0</v>
      </c>
      <c r="U78" s="187">
        <v>0.0</v>
      </c>
      <c r="V78" s="187">
        <v>0.0</v>
      </c>
      <c r="W78" s="187">
        <v>0.0</v>
      </c>
    </row>
    <row r="79" ht="15.75" customHeight="1">
      <c r="A79" s="187">
        <f t="shared" si="1"/>
        <v>53</v>
      </c>
      <c r="C79" s="187">
        <v>0.0</v>
      </c>
      <c r="D79" s="187">
        <v>0.0</v>
      </c>
      <c r="E79" s="187">
        <v>0.0</v>
      </c>
      <c r="F79" s="187">
        <v>0.0</v>
      </c>
      <c r="G79" s="187">
        <v>0.0</v>
      </c>
      <c r="H79" s="187">
        <v>0.0</v>
      </c>
      <c r="I79" s="187">
        <v>0.0</v>
      </c>
      <c r="J79" s="187">
        <v>0.0</v>
      </c>
      <c r="K79" s="187">
        <v>0.0</v>
      </c>
      <c r="L79" s="187">
        <v>0.0</v>
      </c>
      <c r="M79" s="187">
        <v>0.0</v>
      </c>
      <c r="N79" s="187">
        <v>0.0</v>
      </c>
      <c r="O79" s="187">
        <v>0.0</v>
      </c>
      <c r="P79" s="187">
        <v>0.0</v>
      </c>
      <c r="Q79" s="187">
        <v>0.0</v>
      </c>
      <c r="R79" s="187">
        <v>0.0</v>
      </c>
      <c r="S79" s="187">
        <v>0.0</v>
      </c>
      <c r="T79" s="187">
        <v>0.0</v>
      </c>
      <c r="U79" s="187">
        <v>0.0</v>
      </c>
      <c r="V79" s="187">
        <v>0.0</v>
      </c>
      <c r="W79" s="187">
        <v>0.0</v>
      </c>
    </row>
    <row r="80" ht="15.75" customHeight="1">
      <c r="A80" s="187">
        <f t="shared" si="1"/>
        <v>54</v>
      </c>
      <c r="B80" s="190"/>
      <c r="C80" s="187">
        <v>0.0</v>
      </c>
      <c r="D80" s="187">
        <v>0.0</v>
      </c>
      <c r="E80" s="187">
        <v>0.0</v>
      </c>
      <c r="F80" s="187">
        <v>0.0</v>
      </c>
      <c r="G80" s="187">
        <v>0.0</v>
      </c>
      <c r="H80" s="187">
        <v>0.0</v>
      </c>
      <c r="I80" s="187">
        <v>0.0</v>
      </c>
      <c r="J80" s="187">
        <v>0.0</v>
      </c>
      <c r="K80" s="187">
        <v>0.0</v>
      </c>
      <c r="L80" s="187">
        <v>0.0</v>
      </c>
      <c r="M80" s="187">
        <v>0.0</v>
      </c>
      <c r="N80" s="187">
        <v>0.0</v>
      </c>
      <c r="O80" s="187">
        <v>0.0</v>
      </c>
      <c r="P80" s="187">
        <v>0.0</v>
      </c>
      <c r="Q80" s="187">
        <v>0.0</v>
      </c>
      <c r="R80" s="187">
        <v>0.0</v>
      </c>
      <c r="S80" s="187">
        <v>0.0</v>
      </c>
      <c r="T80" s="187">
        <v>0.0</v>
      </c>
      <c r="U80" s="187">
        <v>0.0</v>
      </c>
      <c r="V80" s="187">
        <v>0.0</v>
      </c>
      <c r="W80" s="187">
        <v>0.0</v>
      </c>
    </row>
    <row r="81" ht="15.75" customHeight="1">
      <c r="A81" s="187">
        <f t="shared" si="1"/>
        <v>55</v>
      </c>
      <c r="C81" s="187">
        <v>0.0</v>
      </c>
      <c r="D81" s="187">
        <v>0.0</v>
      </c>
      <c r="E81" s="187">
        <v>0.0</v>
      </c>
      <c r="F81" s="187">
        <v>0.0</v>
      </c>
      <c r="G81" s="187">
        <v>0.0</v>
      </c>
      <c r="H81" s="187">
        <v>0.0</v>
      </c>
      <c r="I81" s="187">
        <v>0.0</v>
      </c>
      <c r="J81" s="187">
        <v>0.0</v>
      </c>
      <c r="K81" s="187">
        <v>0.0</v>
      </c>
      <c r="L81" s="187">
        <v>0.0</v>
      </c>
      <c r="M81" s="187">
        <v>0.0</v>
      </c>
      <c r="N81" s="187">
        <v>0.0</v>
      </c>
      <c r="O81" s="187">
        <v>0.0</v>
      </c>
      <c r="P81" s="187">
        <v>0.0</v>
      </c>
      <c r="Q81" s="187">
        <v>0.0</v>
      </c>
      <c r="R81" s="187">
        <v>0.0</v>
      </c>
      <c r="S81" s="187">
        <v>0.0</v>
      </c>
      <c r="T81" s="187">
        <v>0.0</v>
      </c>
      <c r="U81" s="187">
        <v>0.0</v>
      </c>
      <c r="V81" s="187">
        <v>0.0</v>
      </c>
      <c r="W81" s="187">
        <v>0.0</v>
      </c>
    </row>
    <row r="82" ht="15.75" customHeight="1">
      <c r="A82" s="187">
        <f t="shared" si="1"/>
        <v>56</v>
      </c>
      <c r="B82" s="190"/>
      <c r="C82" s="187">
        <v>0.0</v>
      </c>
      <c r="D82" s="187">
        <v>0.0</v>
      </c>
      <c r="E82" s="187">
        <v>0.0</v>
      </c>
      <c r="F82" s="187">
        <v>0.0</v>
      </c>
      <c r="G82" s="187">
        <v>0.0</v>
      </c>
      <c r="H82" s="187">
        <v>0.0</v>
      </c>
      <c r="I82" s="187">
        <v>0.0</v>
      </c>
      <c r="J82" s="187">
        <v>0.0</v>
      </c>
      <c r="K82" s="187">
        <v>0.0</v>
      </c>
      <c r="L82" s="187">
        <v>0.0</v>
      </c>
      <c r="M82" s="187">
        <v>0.0</v>
      </c>
      <c r="N82" s="187">
        <v>0.0</v>
      </c>
      <c r="O82" s="187">
        <v>0.0</v>
      </c>
      <c r="P82" s="187">
        <v>0.0</v>
      </c>
      <c r="Q82" s="187">
        <v>0.0</v>
      </c>
      <c r="R82" s="187">
        <v>0.0</v>
      </c>
      <c r="S82" s="187">
        <v>0.0</v>
      </c>
      <c r="T82" s="187">
        <v>0.0</v>
      </c>
      <c r="U82" s="187">
        <v>0.0</v>
      </c>
      <c r="V82" s="187">
        <v>0.0</v>
      </c>
      <c r="W82" s="187">
        <v>0.0</v>
      </c>
    </row>
    <row r="83" ht="15.75" customHeight="1">
      <c r="A83" s="187">
        <f t="shared" si="1"/>
        <v>57</v>
      </c>
      <c r="C83" s="187">
        <v>0.0</v>
      </c>
      <c r="D83" s="187">
        <v>0.0</v>
      </c>
      <c r="E83" s="187">
        <v>0.0</v>
      </c>
      <c r="F83" s="187">
        <v>0.0</v>
      </c>
      <c r="G83" s="187">
        <v>0.0</v>
      </c>
      <c r="H83" s="187">
        <v>0.0</v>
      </c>
      <c r="I83" s="187">
        <v>0.0</v>
      </c>
      <c r="J83" s="187">
        <v>0.0</v>
      </c>
      <c r="K83" s="187">
        <v>0.0</v>
      </c>
      <c r="L83" s="187">
        <v>0.0</v>
      </c>
      <c r="M83" s="187">
        <v>0.0</v>
      </c>
      <c r="N83" s="187">
        <v>0.0</v>
      </c>
      <c r="O83" s="187">
        <v>0.0</v>
      </c>
      <c r="P83" s="187">
        <v>0.0</v>
      </c>
      <c r="Q83" s="187">
        <v>0.0</v>
      </c>
      <c r="R83" s="187">
        <v>0.0</v>
      </c>
      <c r="S83" s="187">
        <v>0.0</v>
      </c>
      <c r="T83" s="187">
        <v>0.0</v>
      </c>
      <c r="U83" s="187">
        <v>0.0</v>
      </c>
      <c r="V83" s="187">
        <v>0.0</v>
      </c>
      <c r="W83" s="187">
        <v>0.0</v>
      </c>
    </row>
    <row r="84" ht="15.75" customHeight="1">
      <c r="A84" s="187">
        <f t="shared" si="1"/>
        <v>58</v>
      </c>
      <c r="B84" s="190"/>
      <c r="C84" s="187">
        <v>0.0</v>
      </c>
      <c r="D84" s="187">
        <v>0.0</v>
      </c>
      <c r="E84" s="187">
        <v>0.0</v>
      </c>
      <c r="F84" s="187">
        <v>0.0</v>
      </c>
      <c r="G84" s="187">
        <v>0.0</v>
      </c>
      <c r="H84" s="187">
        <v>0.0</v>
      </c>
      <c r="I84" s="187">
        <v>0.0</v>
      </c>
      <c r="J84" s="187">
        <v>0.0</v>
      </c>
      <c r="K84" s="187">
        <v>0.0</v>
      </c>
      <c r="L84" s="187">
        <v>0.0</v>
      </c>
      <c r="M84" s="187">
        <v>0.0</v>
      </c>
      <c r="N84" s="187">
        <v>0.0</v>
      </c>
      <c r="O84" s="187">
        <v>0.0</v>
      </c>
      <c r="P84" s="187">
        <v>0.0</v>
      </c>
      <c r="Q84" s="187">
        <v>0.0</v>
      </c>
      <c r="R84" s="187">
        <v>0.0</v>
      </c>
      <c r="S84" s="187">
        <v>0.0</v>
      </c>
      <c r="T84" s="187">
        <v>0.0</v>
      </c>
      <c r="U84" s="187">
        <v>0.0</v>
      </c>
      <c r="V84" s="187">
        <v>0.0</v>
      </c>
      <c r="W84" s="187">
        <v>0.0</v>
      </c>
    </row>
    <row r="85" ht="15.75" customHeight="1">
      <c r="A85" s="187">
        <f t="shared" si="1"/>
        <v>59</v>
      </c>
      <c r="C85" s="187">
        <v>0.0</v>
      </c>
      <c r="D85" s="187">
        <v>0.0</v>
      </c>
      <c r="E85" s="187">
        <v>0.0</v>
      </c>
      <c r="F85" s="187">
        <v>0.0</v>
      </c>
      <c r="G85" s="187">
        <v>0.0</v>
      </c>
      <c r="H85" s="187">
        <v>0.0</v>
      </c>
      <c r="I85" s="187">
        <v>0.0</v>
      </c>
      <c r="J85" s="187">
        <v>0.0</v>
      </c>
      <c r="K85" s="187">
        <v>0.0</v>
      </c>
      <c r="L85" s="187">
        <v>0.0</v>
      </c>
      <c r="M85" s="187">
        <v>0.0</v>
      </c>
      <c r="N85" s="187">
        <v>0.0</v>
      </c>
      <c r="O85" s="187">
        <v>0.0</v>
      </c>
      <c r="P85" s="187">
        <v>0.0</v>
      </c>
      <c r="Q85" s="187">
        <v>0.0</v>
      </c>
      <c r="R85" s="187">
        <v>0.0</v>
      </c>
      <c r="S85" s="187">
        <v>0.0</v>
      </c>
      <c r="T85" s="187">
        <v>0.0</v>
      </c>
      <c r="U85" s="187">
        <v>0.0</v>
      </c>
      <c r="V85" s="187">
        <v>0.0</v>
      </c>
      <c r="W85" s="187">
        <v>0.0</v>
      </c>
    </row>
    <row r="86" ht="15.75" customHeight="1">
      <c r="A86" s="187">
        <f t="shared" si="1"/>
        <v>60</v>
      </c>
      <c r="B86" s="190"/>
      <c r="C86" s="187">
        <v>0.0</v>
      </c>
      <c r="D86" s="187">
        <v>0.0</v>
      </c>
      <c r="E86" s="187">
        <v>0.0</v>
      </c>
      <c r="F86" s="187">
        <v>0.0</v>
      </c>
      <c r="G86" s="187">
        <v>0.0</v>
      </c>
      <c r="H86" s="187">
        <v>0.0</v>
      </c>
      <c r="I86" s="187">
        <v>0.0</v>
      </c>
      <c r="J86" s="187">
        <v>0.0</v>
      </c>
      <c r="K86" s="187">
        <v>0.0</v>
      </c>
      <c r="L86" s="187">
        <v>0.0</v>
      </c>
      <c r="M86" s="187">
        <v>0.0</v>
      </c>
      <c r="N86" s="187">
        <v>0.0</v>
      </c>
      <c r="O86" s="187">
        <v>0.0</v>
      </c>
      <c r="P86" s="187">
        <v>0.0</v>
      </c>
      <c r="Q86" s="187">
        <v>0.0</v>
      </c>
      <c r="R86" s="187">
        <v>0.0</v>
      </c>
      <c r="S86" s="187">
        <v>0.0</v>
      </c>
      <c r="T86" s="187">
        <v>0.0</v>
      </c>
      <c r="U86" s="187">
        <v>0.0</v>
      </c>
      <c r="V86" s="187">
        <v>0.0</v>
      </c>
      <c r="W86" s="187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5" priority="1" stopIfTrue="1" operator="greaterThan">
      <formula>0</formula>
    </cfRule>
  </conditionalFormatting>
  <conditionalFormatting sqref="B27:W86">
    <cfRule type="cellIs" dxfId="5" priority="2" stopIfTrue="1" operator="greaterThan">
      <formula>0</formula>
    </cfRule>
  </conditionalFormatting>
  <conditionalFormatting sqref="A27:W86">
    <cfRule type="expression" dxfId="6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3" width="5.25"/>
    <col customWidth="1" min="24" max="26" width="7.63"/>
  </cols>
  <sheetData>
    <row r="1" ht="21.75" customHeight="1">
      <c r="A1" s="191" t="s">
        <v>43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</row>
    <row r="2" ht="19.5" customHeight="1">
      <c r="A2" s="184" t="s">
        <v>114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</row>
    <row r="3">
      <c r="A3" s="192" t="s">
        <v>153</v>
      </c>
      <c r="B3" s="193">
        <v>1.0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</row>
    <row r="4">
      <c r="A4" s="192" t="s">
        <v>154</v>
      </c>
      <c r="B4" s="193">
        <v>42.0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</row>
    <row r="5">
      <c r="A5" s="192" t="s">
        <v>196</v>
      </c>
      <c r="B5" s="193">
        <v>60.0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</row>
    <row r="6">
      <c r="A6" s="192" t="s">
        <v>197</v>
      </c>
      <c r="B6" s="194">
        <v>3.0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</row>
    <row r="7">
      <c r="A7" s="192" t="s">
        <v>198</v>
      </c>
      <c r="B7" s="193">
        <v>1.0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</row>
    <row r="8">
      <c r="A8" s="192" t="s">
        <v>199</v>
      </c>
      <c r="B8" s="193">
        <v>1000.0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</row>
    <row r="9">
      <c r="A9" s="192" t="s">
        <v>200</v>
      </c>
      <c r="B9" s="193" t="s">
        <v>201</v>
      </c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</row>
    <row r="10">
      <c r="A10" s="192" t="s">
        <v>202</v>
      </c>
      <c r="B10" s="193" t="s">
        <v>203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</row>
    <row r="11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</row>
    <row r="12" ht="19.5" customHeight="1">
      <c r="A12" s="184" t="s">
        <v>204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</row>
    <row r="13">
      <c r="A13" s="161" t="s">
        <v>205</v>
      </c>
      <c r="B13" s="161" t="s">
        <v>206</v>
      </c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</row>
    <row r="14">
      <c r="A14" s="195" t="s">
        <v>207</v>
      </c>
      <c r="B14" s="196">
        <v>1.0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</row>
    <row r="15">
      <c r="A15" s="195" t="s">
        <v>208</v>
      </c>
      <c r="B15" s="196">
        <v>10.0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</row>
    <row r="16">
      <c r="A16" s="195" t="s">
        <v>209</v>
      </c>
      <c r="B16" s="196">
        <v>100.0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</row>
    <row r="17">
      <c r="A17" s="195" t="s">
        <v>210</v>
      </c>
      <c r="B17" s="196">
        <v>200.0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</row>
    <row r="18">
      <c r="A18" s="195" t="s">
        <v>211</v>
      </c>
      <c r="B18" s="196">
        <v>500.0</v>
      </c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</row>
    <row r="19">
      <c r="A19" s="195" t="s">
        <v>212</v>
      </c>
      <c r="B19" s="196">
        <v>1000.0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</row>
    <row r="20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</row>
    <row r="21" ht="19.5" customHeight="1">
      <c r="A21" s="184" t="s">
        <v>213</v>
      </c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</row>
    <row r="22" ht="90.0" customHeight="1">
      <c r="A22" s="161" t="s">
        <v>157</v>
      </c>
      <c r="B22" s="161" t="s">
        <v>214</v>
      </c>
      <c r="C22" s="197" t="s">
        <v>82</v>
      </c>
      <c r="D22" s="197" t="s">
        <v>68</v>
      </c>
      <c r="E22" s="197" t="s">
        <v>103</v>
      </c>
      <c r="F22" s="197" t="s">
        <v>69</v>
      </c>
      <c r="G22" s="197" t="s">
        <v>70</v>
      </c>
      <c r="H22" s="197" t="s">
        <v>71</v>
      </c>
      <c r="I22" s="197" t="s">
        <v>72</v>
      </c>
      <c r="J22" s="197" t="s">
        <v>73</v>
      </c>
      <c r="K22" s="197" t="s">
        <v>74</v>
      </c>
      <c r="L22" s="197" t="s">
        <v>75</v>
      </c>
      <c r="M22" s="197" t="s">
        <v>76</v>
      </c>
      <c r="N22" s="197" t="s">
        <v>77</v>
      </c>
      <c r="O22" s="197" t="s">
        <v>78</v>
      </c>
      <c r="P22" s="197" t="s">
        <v>118</v>
      </c>
      <c r="Q22" s="197" t="s">
        <v>104</v>
      </c>
      <c r="R22" s="197" t="s">
        <v>105</v>
      </c>
      <c r="S22" s="197" t="s">
        <v>106</v>
      </c>
      <c r="T22" s="197" t="s">
        <v>107</v>
      </c>
      <c r="U22" s="197" t="s">
        <v>108</v>
      </c>
      <c r="V22" s="197" t="s">
        <v>109</v>
      </c>
      <c r="W22" s="197" t="s">
        <v>110</v>
      </c>
    </row>
    <row r="23" ht="15.75" customHeight="1">
      <c r="A23" s="195">
        <v>1.0</v>
      </c>
      <c r="B23" s="195">
        <v>100.0</v>
      </c>
      <c r="C23" s="195">
        <v>0.0</v>
      </c>
      <c r="D23" s="195">
        <v>0.0</v>
      </c>
      <c r="E23" s="195">
        <v>0.0</v>
      </c>
      <c r="F23" s="195">
        <v>0.0</v>
      </c>
      <c r="G23" s="195">
        <v>0.0</v>
      </c>
      <c r="H23" s="195">
        <v>0.0</v>
      </c>
      <c r="I23" s="195">
        <v>0.0</v>
      </c>
      <c r="J23" s="195">
        <v>0.0</v>
      </c>
      <c r="K23" s="195">
        <v>0.0</v>
      </c>
      <c r="L23" s="195">
        <v>30.0</v>
      </c>
      <c r="M23" s="195">
        <v>0.0</v>
      </c>
      <c r="N23" s="195">
        <v>0.0</v>
      </c>
      <c r="O23" s="195">
        <v>0.0</v>
      </c>
      <c r="P23" s="195">
        <v>0.0</v>
      </c>
      <c r="Q23" s="195">
        <v>0.0</v>
      </c>
      <c r="R23" s="195">
        <v>0.0</v>
      </c>
      <c r="S23" s="195">
        <v>0.0</v>
      </c>
      <c r="T23" s="195">
        <v>0.0</v>
      </c>
      <c r="U23" s="195">
        <v>0.0</v>
      </c>
      <c r="V23" s="195">
        <v>0.0</v>
      </c>
      <c r="W23" s="195">
        <v>0.0</v>
      </c>
    </row>
    <row r="24" ht="15.75" customHeight="1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</row>
    <row r="25" ht="19.5" customHeight="1">
      <c r="A25" s="184" t="s">
        <v>215</v>
      </c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</row>
    <row r="26" ht="90.0" customHeight="1">
      <c r="A26" s="161" t="s">
        <v>216</v>
      </c>
      <c r="B26" s="100"/>
      <c r="C26" s="197" t="s">
        <v>82</v>
      </c>
      <c r="D26" s="197" t="s">
        <v>68</v>
      </c>
      <c r="E26" s="197" t="s">
        <v>103</v>
      </c>
      <c r="F26" s="197" t="s">
        <v>69</v>
      </c>
      <c r="G26" s="197" t="s">
        <v>70</v>
      </c>
      <c r="H26" s="197" t="s">
        <v>71</v>
      </c>
      <c r="I26" s="197" t="s">
        <v>72</v>
      </c>
      <c r="J26" s="197" t="s">
        <v>73</v>
      </c>
      <c r="K26" s="197" t="s">
        <v>74</v>
      </c>
      <c r="L26" s="197" t="s">
        <v>75</v>
      </c>
      <c r="M26" s="197" t="s">
        <v>76</v>
      </c>
      <c r="N26" s="197" t="s">
        <v>77</v>
      </c>
      <c r="O26" s="197" t="s">
        <v>78</v>
      </c>
      <c r="P26" s="197" t="s">
        <v>118</v>
      </c>
      <c r="Q26" s="197" t="s">
        <v>104</v>
      </c>
      <c r="R26" s="197" t="s">
        <v>105</v>
      </c>
      <c r="S26" s="197" t="s">
        <v>106</v>
      </c>
      <c r="T26" s="197" t="s">
        <v>107</v>
      </c>
      <c r="U26" s="197" t="s">
        <v>108</v>
      </c>
      <c r="V26" s="197" t="s">
        <v>109</v>
      </c>
      <c r="W26" s="197" t="s">
        <v>110</v>
      </c>
    </row>
    <row r="27" ht="15.75" customHeight="1">
      <c r="A27" s="195">
        <v>1.0</v>
      </c>
      <c r="B27" s="100"/>
      <c r="C27" s="198">
        <v>250.0</v>
      </c>
      <c r="D27" s="198">
        <v>320.0</v>
      </c>
      <c r="E27" s="195">
        <v>0.0</v>
      </c>
      <c r="F27" s="195">
        <v>0.0</v>
      </c>
      <c r="G27" s="195">
        <v>0.0</v>
      </c>
      <c r="H27" s="195">
        <v>0.0</v>
      </c>
      <c r="I27" s="195">
        <v>0.0</v>
      </c>
      <c r="J27" s="195">
        <v>0.0</v>
      </c>
      <c r="K27" s="195">
        <v>1.0</v>
      </c>
      <c r="L27" s="195">
        <v>0.0</v>
      </c>
      <c r="M27" s="195">
        <v>0.0</v>
      </c>
      <c r="N27" s="195">
        <v>0.0</v>
      </c>
      <c r="O27" s="195">
        <v>0.0</v>
      </c>
      <c r="P27" s="195">
        <v>0.0</v>
      </c>
      <c r="Q27" s="195">
        <v>0.0</v>
      </c>
      <c r="R27" s="195">
        <v>0.0</v>
      </c>
      <c r="S27" s="195">
        <v>0.0</v>
      </c>
      <c r="T27" s="195">
        <v>0.0</v>
      </c>
      <c r="U27" s="195">
        <v>0.0</v>
      </c>
      <c r="V27" s="195">
        <v>0.0</v>
      </c>
      <c r="W27" s="195">
        <v>0.0</v>
      </c>
    </row>
    <row r="28" ht="15.75" customHeight="1">
      <c r="A28" s="195">
        <f t="shared" ref="A28:A86" si="1">A27+1</f>
        <v>2</v>
      </c>
      <c r="B28" s="100"/>
      <c r="C28" s="198">
        <v>150.0</v>
      </c>
      <c r="D28" s="198">
        <v>240.0</v>
      </c>
      <c r="E28" s="195">
        <v>0.0</v>
      </c>
      <c r="F28" s="195">
        <v>0.0</v>
      </c>
      <c r="G28" s="195">
        <v>0.0</v>
      </c>
      <c r="H28" s="195">
        <v>0.0</v>
      </c>
      <c r="I28" s="195">
        <v>0.0</v>
      </c>
      <c r="J28" s="195">
        <v>1.0</v>
      </c>
      <c r="K28" s="195">
        <v>0.0</v>
      </c>
      <c r="L28" s="195">
        <v>0.0</v>
      </c>
      <c r="M28" s="195">
        <v>0.0</v>
      </c>
      <c r="N28" s="195">
        <v>0.0</v>
      </c>
      <c r="O28" s="195">
        <v>0.0</v>
      </c>
      <c r="P28" s="195">
        <v>0.0</v>
      </c>
      <c r="Q28" s="195">
        <v>0.0</v>
      </c>
      <c r="R28" s="195">
        <v>0.0</v>
      </c>
      <c r="S28" s="195">
        <v>0.0</v>
      </c>
      <c r="T28" s="195">
        <v>0.0</v>
      </c>
      <c r="U28" s="195">
        <v>0.0</v>
      </c>
      <c r="V28" s="195">
        <v>0.0</v>
      </c>
      <c r="W28" s="195">
        <v>0.0</v>
      </c>
    </row>
    <row r="29" ht="15.75" customHeight="1">
      <c r="A29" s="195">
        <f t="shared" si="1"/>
        <v>3</v>
      </c>
      <c r="B29" s="100"/>
      <c r="C29" s="198">
        <v>125.0</v>
      </c>
      <c r="D29" s="198">
        <v>190.0</v>
      </c>
      <c r="E29" s="195">
        <v>0.0</v>
      </c>
      <c r="F29" s="195">
        <v>0.0</v>
      </c>
      <c r="G29" s="195">
        <v>0.0</v>
      </c>
      <c r="H29" s="195">
        <v>0.0</v>
      </c>
      <c r="I29" s="195">
        <v>0.0</v>
      </c>
      <c r="J29" s="195">
        <v>1.0</v>
      </c>
      <c r="K29" s="195">
        <v>0.0</v>
      </c>
      <c r="L29" s="195">
        <v>0.0</v>
      </c>
      <c r="M29" s="195">
        <v>0.0</v>
      </c>
      <c r="N29" s="195">
        <v>0.0</v>
      </c>
      <c r="O29" s="195">
        <v>0.0</v>
      </c>
      <c r="P29" s="195">
        <v>0.0</v>
      </c>
      <c r="Q29" s="195">
        <v>0.0</v>
      </c>
      <c r="R29" s="195">
        <v>0.0</v>
      </c>
      <c r="S29" s="195">
        <v>0.0</v>
      </c>
      <c r="T29" s="195">
        <v>0.0</v>
      </c>
      <c r="U29" s="195">
        <v>0.0</v>
      </c>
      <c r="V29" s="195">
        <v>0.0</v>
      </c>
      <c r="W29" s="195">
        <v>0.0</v>
      </c>
    </row>
    <row r="30" ht="15.75" customHeight="1">
      <c r="A30" s="195">
        <f t="shared" si="1"/>
        <v>4</v>
      </c>
      <c r="B30" s="100"/>
      <c r="C30" s="198">
        <v>100.0</v>
      </c>
      <c r="D30" s="198">
        <v>160.0</v>
      </c>
      <c r="E30" s="195">
        <v>0.0</v>
      </c>
      <c r="F30" s="195">
        <v>0.0</v>
      </c>
      <c r="G30" s="195">
        <v>0.0</v>
      </c>
      <c r="H30" s="195">
        <v>0.0</v>
      </c>
      <c r="I30" s="199">
        <v>1.0</v>
      </c>
      <c r="J30" s="199">
        <v>0.0</v>
      </c>
      <c r="K30" s="195">
        <v>0.0</v>
      </c>
      <c r="L30" s="195">
        <v>0.0</v>
      </c>
      <c r="M30" s="195">
        <v>0.0</v>
      </c>
      <c r="N30" s="195">
        <v>0.0</v>
      </c>
      <c r="O30" s="195">
        <v>0.0</v>
      </c>
      <c r="P30" s="195">
        <v>0.0</v>
      </c>
      <c r="Q30" s="195">
        <v>0.0</v>
      </c>
      <c r="R30" s="195">
        <v>0.0</v>
      </c>
      <c r="S30" s="195">
        <v>0.0</v>
      </c>
      <c r="T30" s="195">
        <v>0.0</v>
      </c>
      <c r="U30" s="195">
        <v>0.0</v>
      </c>
      <c r="V30" s="195">
        <v>0.0</v>
      </c>
      <c r="W30" s="195">
        <v>0.0</v>
      </c>
    </row>
    <row r="31" ht="15.75" customHeight="1">
      <c r="A31" s="195">
        <f t="shared" si="1"/>
        <v>5</v>
      </c>
      <c r="B31" s="100"/>
      <c r="C31" s="198">
        <v>75.0</v>
      </c>
      <c r="D31" s="198">
        <v>130.0</v>
      </c>
      <c r="E31" s="195">
        <v>0.0</v>
      </c>
      <c r="F31" s="195">
        <v>0.0</v>
      </c>
      <c r="G31" s="195">
        <v>0.0</v>
      </c>
      <c r="H31" s="195">
        <v>0.0</v>
      </c>
      <c r="I31" s="199">
        <v>1.0</v>
      </c>
      <c r="J31" s="199">
        <v>0.0</v>
      </c>
      <c r="K31" s="195">
        <v>0.0</v>
      </c>
      <c r="L31" s="195">
        <v>0.0</v>
      </c>
      <c r="M31" s="195">
        <v>0.0</v>
      </c>
      <c r="N31" s="195">
        <v>0.0</v>
      </c>
      <c r="O31" s="195">
        <v>0.0</v>
      </c>
      <c r="P31" s="195">
        <v>0.0</v>
      </c>
      <c r="Q31" s="195">
        <v>0.0</v>
      </c>
      <c r="R31" s="195">
        <v>0.0</v>
      </c>
      <c r="S31" s="195">
        <v>0.0</v>
      </c>
      <c r="T31" s="195">
        <v>0.0</v>
      </c>
      <c r="U31" s="195">
        <v>0.0</v>
      </c>
      <c r="V31" s="195">
        <v>0.0</v>
      </c>
      <c r="W31" s="195">
        <v>0.0</v>
      </c>
    </row>
    <row r="32" ht="15.75" customHeight="1">
      <c r="A32" s="195">
        <f t="shared" si="1"/>
        <v>6</v>
      </c>
      <c r="B32" s="100"/>
      <c r="C32" s="195">
        <v>0.0</v>
      </c>
      <c r="D32" s="198">
        <v>110.0</v>
      </c>
      <c r="E32" s="195">
        <v>0.0</v>
      </c>
      <c r="F32" s="195">
        <v>0.0</v>
      </c>
      <c r="G32" s="195">
        <v>0.0</v>
      </c>
      <c r="H32" s="195">
        <v>0.0</v>
      </c>
      <c r="I32" s="195">
        <v>1.0</v>
      </c>
      <c r="J32" s="195">
        <v>0.0</v>
      </c>
      <c r="K32" s="195">
        <v>0.0</v>
      </c>
      <c r="L32" s="195">
        <v>0.0</v>
      </c>
      <c r="M32" s="195">
        <v>0.0</v>
      </c>
      <c r="N32" s="195">
        <v>0.0</v>
      </c>
      <c r="O32" s="195">
        <v>0.0</v>
      </c>
      <c r="P32" s="195">
        <v>0.0</v>
      </c>
      <c r="Q32" s="195">
        <v>0.0</v>
      </c>
      <c r="R32" s="195">
        <v>0.0</v>
      </c>
      <c r="S32" s="195">
        <v>0.0</v>
      </c>
      <c r="T32" s="195">
        <v>0.0</v>
      </c>
      <c r="U32" s="195">
        <v>0.0</v>
      </c>
      <c r="V32" s="195">
        <v>0.0</v>
      </c>
      <c r="W32" s="195">
        <v>0.0</v>
      </c>
    </row>
    <row r="33" ht="15.75" customHeight="1">
      <c r="A33" s="195">
        <f t="shared" si="1"/>
        <v>7</v>
      </c>
      <c r="B33" s="100"/>
      <c r="C33" s="195">
        <v>0.0</v>
      </c>
      <c r="D33" s="198">
        <v>100.0</v>
      </c>
      <c r="E33" s="195">
        <v>0.0</v>
      </c>
      <c r="F33" s="195">
        <v>0.0</v>
      </c>
      <c r="G33" s="195">
        <v>0.0</v>
      </c>
      <c r="H33" s="195">
        <v>0.0</v>
      </c>
      <c r="I33" s="195">
        <v>1.0</v>
      </c>
      <c r="J33" s="195">
        <v>0.0</v>
      </c>
      <c r="K33" s="195">
        <v>0.0</v>
      </c>
      <c r="L33" s="195">
        <v>0.0</v>
      </c>
      <c r="M33" s="195">
        <v>0.0</v>
      </c>
      <c r="N33" s="195">
        <v>0.0</v>
      </c>
      <c r="O33" s="195">
        <v>0.0</v>
      </c>
      <c r="P33" s="195">
        <v>0.0</v>
      </c>
      <c r="Q33" s="195">
        <v>0.0</v>
      </c>
      <c r="R33" s="195">
        <v>0.0</v>
      </c>
      <c r="S33" s="195">
        <v>0.0</v>
      </c>
      <c r="T33" s="195">
        <v>0.0</v>
      </c>
      <c r="U33" s="195">
        <v>0.0</v>
      </c>
      <c r="V33" s="195">
        <v>0.0</v>
      </c>
      <c r="W33" s="195">
        <v>0.0</v>
      </c>
    </row>
    <row r="34" ht="15.75" customHeight="1">
      <c r="A34" s="195">
        <f t="shared" si="1"/>
        <v>8</v>
      </c>
      <c r="B34" s="100"/>
      <c r="C34" s="195">
        <v>0.0</v>
      </c>
      <c r="D34" s="198">
        <v>95.0</v>
      </c>
      <c r="E34" s="195">
        <v>0.0</v>
      </c>
      <c r="F34" s="195">
        <v>0.0</v>
      </c>
      <c r="G34" s="195">
        <v>0.0</v>
      </c>
      <c r="H34" s="199">
        <v>1.0</v>
      </c>
      <c r="I34" s="199">
        <v>0.0</v>
      </c>
      <c r="J34" s="195">
        <v>0.0</v>
      </c>
      <c r="K34" s="195">
        <v>0.0</v>
      </c>
      <c r="L34" s="195">
        <v>0.0</v>
      </c>
      <c r="M34" s="195">
        <v>0.0</v>
      </c>
      <c r="N34" s="195">
        <v>0.0</v>
      </c>
      <c r="O34" s="195">
        <v>0.0</v>
      </c>
      <c r="P34" s="195">
        <v>0.0</v>
      </c>
      <c r="Q34" s="195">
        <v>0.0</v>
      </c>
      <c r="R34" s="195">
        <v>0.0</v>
      </c>
      <c r="S34" s="195">
        <v>0.0</v>
      </c>
      <c r="T34" s="195">
        <v>0.0</v>
      </c>
      <c r="U34" s="195">
        <v>0.0</v>
      </c>
      <c r="V34" s="195">
        <v>0.0</v>
      </c>
      <c r="W34" s="195">
        <v>0.0</v>
      </c>
    </row>
    <row r="35" ht="15.75" customHeight="1">
      <c r="A35" s="195">
        <f t="shared" si="1"/>
        <v>9</v>
      </c>
      <c r="B35" s="100"/>
      <c r="C35" s="195">
        <v>0.0</v>
      </c>
      <c r="D35" s="198">
        <v>90.0</v>
      </c>
      <c r="E35" s="195">
        <v>0.0</v>
      </c>
      <c r="F35" s="195">
        <v>0.0</v>
      </c>
      <c r="G35" s="195">
        <v>0.0</v>
      </c>
      <c r="H35" s="199">
        <v>1.0</v>
      </c>
      <c r="I35" s="199">
        <v>0.0</v>
      </c>
      <c r="J35" s="195">
        <v>0.0</v>
      </c>
      <c r="K35" s="195">
        <v>0.0</v>
      </c>
      <c r="L35" s="195">
        <v>0.0</v>
      </c>
      <c r="M35" s="195">
        <v>0.0</v>
      </c>
      <c r="N35" s="195">
        <v>0.0</v>
      </c>
      <c r="O35" s="195">
        <v>0.0</v>
      </c>
      <c r="P35" s="195">
        <v>0.0</v>
      </c>
      <c r="Q35" s="195">
        <v>0.0</v>
      </c>
      <c r="R35" s="195">
        <v>0.0</v>
      </c>
      <c r="S35" s="195">
        <v>0.0</v>
      </c>
      <c r="T35" s="195">
        <v>0.0</v>
      </c>
      <c r="U35" s="195">
        <v>0.0</v>
      </c>
      <c r="V35" s="195">
        <v>0.0</v>
      </c>
      <c r="W35" s="195">
        <v>0.0</v>
      </c>
    </row>
    <row r="36" ht="15.75" customHeight="1">
      <c r="A36" s="195">
        <f t="shared" si="1"/>
        <v>10</v>
      </c>
      <c r="B36" s="100"/>
      <c r="C36" s="195">
        <v>0.0</v>
      </c>
      <c r="D36" s="198">
        <v>90.0</v>
      </c>
      <c r="E36" s="195">
        <v>0.0</v>
      </c>
      <c r="F36" s="195">
        <v>0.0</v>
      </c>
      <c r="G36" s="195">
        <v>0.0</v>
      </c>
      <c r="H36" s="199">
        <v>1.0</v>
      </c>
      <c r="I36" s="199">
        <v>0.0</v>
      </c>
      <c r="J36" s="195">
        <v>0.0</v>
      </c>
      <c r="K36" s="195">
        <v>0.0</v>
      </c>
      <c r="L36" s="195">
        <v>0.0</v>
      </c>
      <c r="M36" s="195">
        <v>0.0</v>
      </c>
      <c r="N36" s="195">
        <v>0.0</v>
      </c>
      <c r="O36" s="195">
        <v>0.0</v>
      </c>
      <c r="P36" s="195">
        <v>0.0</v>
      </c>
      <c r="Q36" s="195">
        <v>0.0</v>
      </c>
      <c r="R36" s="195">
        <v>0.0</v>
      </c>
      <c r="S36" s="195">
        <v>0.0</v>
      </c>
      <c r="T36" s="195">
        <v>0.0</v>
      </c>
      <c r="U36" s="195">
        <v>0.0</v>
      </c>
      <c r="V36" s="195">
        <v>0.0</v>
      </c>
      <c r="W36" s="195">
        <v>0.0</v>
      </c>
    </row>
    <row r="37" ht="15.75" customHeight="1">
      <c r="A37" s="195">
        <f t="shared" si="1"/>
        <v>11</v>
      </c>
      <c r="B37" s="100"/>
      <c r="C37" s="195">
        <v>0.0</v>
      </c>
      <c r="D37" s="198">
        <v>85.0</v>
      </c>
      <c r="E37" s="195">
        <v>0.0</v>
      </c>
      <c r="F37" s="195">
        <v>0.0</v>
      </c>
      <c r="G37" s="199">
        <v>1.0</v>
      </c>
      <c r="H37" s="199">
        <v>0.0</v>
      </c>
      <c r="I37" s="195">
        <v>0.0</v>
      </c>
      <c r="J37" s="195">
        <v>0.0</v>
      </c>
      <c r="K37" s="195">
        <v>0.0</v>
      </c>
      <c r="L37" s="195">
        <v>0.0</v>
      </c>
      <c r="M37" s="195">
        <v>0.0</v>
      </c>
      <c r="N37" s="195">
        <v>0.0</v>
      </c>
      <c r="O37" s="195">
        <v>0.0</v>
      </c>
      <c r="P37" s="195">
        <v>0.0</v>
      </c>
      <c r="Q37" s="195">
        <v>0.0</v>
      </c>
      <c r="R37" s="195">
        <v>0.0</v>
      </c>
      <c r="S37" s="195">
        <v>0.0</v>
      </c>
      <c r="T37" s="195">
        <v>0.0</v>
      </c>
      <c r="U37" s="195">
        <v>0.0</v>
      </c>
      <c r="V37" s="195">
        <v>0.0</v>
      </c>
      <c r="W37" s="195">
        <v>0.0</v>
      </c>
    </row>
    <row r="38" ht="15.75" customHeight="1">
      <c r="A38" s="195">
        <f t="shared" si="1"/>
        <v>12</v>
      </c>
      <c r="B38" s="100"/>
      <c r="C38" s="195">
        <v>0.0</v>
      </c>
      <c r="D38" s="198">
        <v>80.0</v>
      </c>
      <c r="E38" s="195">
        <v>0.0</v>
      </c>
      <c r="F38" s="195">
        <v>0.0</v>
      </c>
      <c r="G38" s="199">
        <v>1.0</v>
      </c>
      <c r="H38" s="199">
        <v>0.0</v>
      </c>
      <c r="I38" s="195">
        <v>0.0</v>
      </c>
      <c r="J38" s="195">
        <v>0.0</v>
      </c>
      <c r="K38" s="195">
        <v>0.0</v>
      </c>
      <c r="L38" s="195">
        <v>0.0</v>
      </c>
      <c r="M38" s="195">
        <v>0.0</v>
      </c>
      <c r="N38" s="195">
        <v>0.0</v>
      </c>
      <c r="O38" s="195">
        <v>0.0</v>
      </c>
      <c r="P38" s="195">
        <v>0.0</v>
      </c>
      <c r="Q38" s="195">
        <v>0.0</v>
      </c>
      <c r="R38" s="195">
        <v>0.0</v>
      </c>
      <c r="S38" s="195">
        <v>0.0</v>
      </c>
      <c r="T38" s="195">
        <v>0.0</v>
      </c>
      <c r="U38" s="195">
        <v>0.0</v>
      </c>
      <c r="V38" s="195">
        <v>0.0</v>
      </c>
      <c r="W38" s="195">
        <v>0.0</v>
      </c>
    </row>
    <row r="39" ht="15.75" customHeight="1">
      <c r="A39" s="195">
        <f t="shared" si="1"/>
        <v>13</v>
      </c>
      <c r="B39" s="100"/>
      <c r="C39" s="195">
        <v>0.0</v>
      </c>
      <c r="D39" s="198">
        <v>75.0</v>
      </c>
      <c r="E39" s="195">
        <v>0.0</v>
      </c>
      <c r="F39" s="195">
        <v>0.0</v>
      </c>
      <c r="G39" s="195">
        <v>1.0</v>
      </c>
      <c r="H39" s="195">
        <v>0.0</v>
      </c>
      <c r="I39" s="195">
        <v>0.0</v>
      </c>
      <c r="J39" s="195">
        <v>0.0</v>
      </c>
      <c r="K39" s="195">
        <v>0.0</v>
      </c>
      <c r="L39" s="195">
        <v>0.0</v>
      </c>
      <c r="M39" s="195">
        <v>0.0</v>
      </c>
      <c r="N39" s="195">
        <v>0.0</v>
      </c>
      <c r="O39" s="195">
        <v>0.0</v>
      </c>
      <c r="P39" s="195">
        <v>0.0</v>
      </c>
      <c r="Q39" s="195">
        <v>0.0</v>
      </c>
      <c r="R39" s="195">
        <v>0.0</v>
      </c>
      <c r="S39" s="195">
        <v>0.0</v>
      </c>
      <c r="T39" s="195">
        <v>0.0</v>
      </c>
      <c r="U39" s="195">
        <v>0.0</v>
      </c>
      <c r="V39" s="195">
        <v>0.0</v>
      </c>
      <c r="W39" s="195">
        <v>0.0</v>
      </c>
    </row>
    <row r="40" ht="15.75" customHeight="1">
      <c r="A40" s="195">
        <f t="shared" si="1"/>
        <v>14</v>
      </c>
      <c r="B40" s="100"/>
      <c r="C40" s="195">
        <v>0.0</v>
      </c>
      <c r="D40" s="198">
        <v>70.0</v>
      </c>
      <c r="E40" s="195">
        <v>0.0</v>
      </c>
      <c r="F40" s="199">
        <v>1.0</v>
      </c>
      <c r="G40" s="199">
        <v>0.0</v>
      </c>
      <c r="H40" s="195">
        <v>0.0</v>
      </c>
      <c r="I40" s="195">
        <v>0.0</v>
      </c>
      <c r="J40" s="195">
        <v>0.0</v>
      </c>
      <c r="K40" s="195">
        <v>0.0</v>
      </c>
      <c r="L40" s="195">
        <v>0.0</v>
      </c>
      <c r="M40" s="195">
        <v>0.0</v>
      </c>
      <c r="N40" s="195">
        <v>0.0</v>
      </c>
      <c r="O40" s="195">
        <v>0.0</v>
      </c>
      <c r="P40" s="195">
        <v>0.0</v>
      </c>
      <c r="Q40" s="195">
        <v>0.0</v>
      </c>
      <c r="R40" s="195">
        <v>0.0</v>
      </c>
      <c r="S40" s="195">
        <v>0.0</v>
      </c>
      <c r="T40" s="195">
        <v>0.0</v>
      </c>
      <c r="U40" s="195">
        <v>0.0</v>
      </c>
      <c r="V40" s="195">
        <v>0.0</v>
      </c>
      <c r="W40" s="195">
        <v>0.0</v>
      </c>
    </row>
    <row r="41" ht="15.75" customHeight="1">
      <c r="A41" s="195">
        <f t="shared" si="1"/>
        <v>15</v>
      </c>
      <c r="B41" s="100"/>
      <c r="C41" s="195">
        <v>0.0</v>
      </c>
      <c r="D41" s="198">
        <v>70.0</v>
      </c>
      <c r="E41" s="195">
        <v>0.0</v>
      </c>
      <c r="F41" s="195">
        <v>1.0</v>
      </c>
      <c r="G41" s="195">
        <v>0.0</v>
      </c>
      <c r="H41" s="195">
        <v>0.0</v>
      </c>
      <c r="I41" s="195">
        <v>0.0</v>
      </c>
      <c r="J41" s="195">
        <v>0.0</v>
      </c>
      <c r="K41" s="195">
        <v>0.0</v>
      </c>
      <c r="L41" s="195">
        <v>0.0</v>
      </c>
      <c r="M41" s="195">
        <v>0.0</v>
      </c>
      <c r="N41" s="195">
        <v>0.0</v>
      </c>
      <c r="O41" s="195">
        <v>0.0</v>
      </c>
      <c r="P41" s="195">
        <v>0.0</v>
      </c>
      <c r="Q41" s="195">
        <v>0.0</v>
      </c>
      <c r="R41" s="195">
        <v>0.0</v>
      </c>
      <c r="S41" s="195">
        <v>0.0</v>
      </c>
      <c r="T41" s="195">
        <v>0.0</v>
      </c>
      <c r="U41" s="195">
        <v>0.0</v>
      </c>
      <c r="V41" s="195">
        <v>0.0</v>
      </c>
      <c r="W41" s="195">
        <v>0.0</v>
      </c>
    </row>
    <row r="42" ht="15.75" customHeight="1">
      <c r="A42" s="195">
        <f t="shared" si="1"/>
        <v>16</v>
      </c>
      <c r="B42" s="100"/>
      <c r="C42" s="195">
        <v>0.0</v>
      </c>
      <c r="D42" s="198">
        <v>65.0</v>
      </c>
      <c r="E42" s="195">
        <v>0.0</v>
      </c>
      <c r="F42" s="195">
        <v>1.0</v>
      </c>
      <c r="G42" s="195">
        <v>0.0</v>
      </c>
      <c r="H42" s="195">
        <v>0.0</v>
      </c>
      <c r="I42" s="195">
        <v>0.0</v>
      </c>
      <c r="J42" s="195">
        <v>0.0</v>
      </c>
      <c r="K42" s="195">
        <v>0.0</v>
      </c>
      <c r="L42" s="195">
        <v>0.0</v>
      </c>
      <c r="M42" s="195">
        <v>0.0</v>
      </c>
      <c r="N42" s="195">
        <v>0.0</v>
      </c>
      <c r="O42" s="195">
        <v>0.0</v>
      </c>
      <c r="P42" s="195">
        <v>0.0</v>
      </c>
      <c r="Q42" s="195">
        <v>0.0</v>
      </c>
      <c r="R42" s="195">
        <v>0.0</v>
      </c>
      <c r="S42" s="195">
        <v>0.0</v>
      </c>
      <c r="T42" s="195">
        <v>0.0</v>
      </c>
      <c r="U42" s="195">
        <v>0.0</v>
      </c>
      <c r="V42" s="195">
        <v>0.0</v>
      </c>
      <c r="W42" s="195">
        <v>0.0</v>
      </c>
    </row>
    <row r="43" ht="15.75" customHeight="1">
      <c r="A43" s="195">
        <f t="shared" si="1"/>
        <v>17</v>
      </c>
      <c r="B43" s="100"/>
      <c r="C43" s="195">
        <v>0.0</v>
      </c>
      <c r="D43" s="198">
        <v>60.0</v>
      </c>
      <c r="E43" s="195">
        <v>0.0</v>
      </c>
      <c r="F43" s="195">
        <v>0.0</v>
      </c>
      <c r="G43" s="195">
        <v>0.0</v>
      </c>
      <c r="H43" s="195">
        <v>0.0</v>
      </c>
      <c r="I43" s="195">
        <v>0.0</v>
      </c>
      <c r="J43" s="195">
        <v>0.0</v>
      </c>
      <c r="K43" s="195">
        <v>0.0</v>
      </c>
      <c r="L43" s="195">
        <v>0.0</v>
      </c>
      <c r="M43" s="195">
        <v>0.0</v>
      </c>
      <c r="N43" s="195">
        <v>0.0</v>
      </c>
      <c r="O43" s="195">
        <v>0.0</v>
      </c>
      <c r="P43" s="195">
        <v>0.0</v>
      </c>
      <c r="Q43" s="195">
        <v>0.0</v>
      </c>
      <c r="R43" s="195">
        <v>0.0</v>
      </c>
      <c r="S43" s="195">
        <v>0.0</v>
      </c>
      <c r="T43" s="195">
        <v>0.0</v>
      </c>
      <c r="U43" s="195">
        <v>0.0</v>
      </c>
      <c r="V43" s="195">
        <v>0.0</v>
      </c>
      <c r="W43" s="195">
        <v>0.0</v>
      </c>
    </row>
    <row r="44" ht="15.75" customHeight="1">
      <c r="A44" s="195">
        <f t="shared" si="1"/>
        <v>18</v>
      </c>
      <c r="B44" s="100"/>
      <c r="C44" s="195">
        <v>0.0</v>
      </c>
      <c r="D44" s="198">
        <v>55.0</v>
      </c>
      <c r="E44" s="195">
        <v>0.0</v>
      </c>
      <c r="F44" s="195">
        <v>0.0</v>
      </c>
      <c r="G44" s="195">
        <v>0.0</v>
      </c>
      <c r="H44" s="195">
        <v>0.0</v>
      </c>
      <c r="I44" s="195">
        <v>0.0</v>
      </c>
      <c r="J44" s="195">
        <v>0.0</v>
      </c>
      <c r="K44" s="195">
        <v>0.0</v>
      </c>
      <c r="L44" s="195">
        <v>0.0</v>
      </c>
      <c r="M44" s="195">
        <v>0.0</v>
      </c>
      <c r="N44" s="195">
        <v>0.0</v>
      </c>
      <c r="O44" s="195">
        <v>0.0</v>
      </c>
      <c r="P44" s="195">
        <v>0.0</v>
      </c>
      <c r="Q44" s="195">
        <v>0.0</v>
      </c>
      <c r="R44" s="195">
        <v>0.0</v>
      </c>
      <c r="S44" s="195">
        <v>0.0</v>
      </c>
      <c r="T44" s="195">
        <v>0.0</v>
      </c>
      <c r="U44" s="195">
        <v>0.0</v>
      </c>
      <c r="V44" s="195">
        <v>0.0</v>
      </c>
      <c r="W44" s="195">
        <v>0.0</v>
      </c>
    </row>
    <row r="45" ht="15.75" customHeight="1">
      <c r="A45" s="195">
        <f t="shared" si="1"/>
        <v>19</v>
      </c>
      <c r="B45" s="100"/>
      <c r="C45" s="195">
        <v>0.0</v>
      </c>
      <c r="D45" s="198">
        <v>50.0</v>
      </c>
      <c r="E45" s="195">
        <v>0.0</v>
      </c>
      <c r="F45" s="195">
        <v>0.0</v>
      </c>
      <c r="G45" s="195">
        <v>0.0</v>
      </c>
      <c r="H45" s="195">
        <v>0.0</v>
      </c>
      <c r="I45" s="195">
        <v>0.0</v>
      </c>
      <c r="J45" s="195">
        <v>0.0</v>
      </c>
      <c r="K45" s="195">
        <v>0.0</v>
      </c>
      <c r="L45" s="195">
        <v>0.0</v>
      </c>
      <c r="M45" s="195">
        <v>0.0</v>
      </c>
      <c r="N45" s="195">
        <v>0.0</v>
      </c>
      <c r="O45" s="195">
        <v>0.0</v>
      </c>
      <c r="P45" s="195">
        <v>0.0</v>
      </c>
      <c r="Q45" s="195">
        <v>0.0</v>
      </c>
      <c r="R45" s="195">
        <v>0.0</v>
      </c>
      <c r="S45" s="195">
        <v>0.0</v>
      </c>
      <c r="T45" s="195">
        <v>0.0</v>
      </c>
      <c r="U45" s="195">
        <v>0.0</v>
      </c>
      <c r="V45" s="195">
        <v>0.0</v>
      </c>
      <c r="W45" s="195">
        <v>0.0</v>
      </c>
    </row>
    <row r="46" ht="15.75" customHeight="1">
      <c r="A46" s="195">
        <f t="shared" si="1"/>
        <v>20</v>
      </c>
      <c r="B46" s="100"/>
      <c r="C46" s="195">
        <v>0.0</v>
      </c>
      <c r="D46" s="198">
        <v>50.0</v>
      </c>
      <c r="E46" s="195">
        <v>0.0</v>
      </c>
      <c r="F46" s="195">
        <v>0.0</v>
      </c>
      <c r="G46" s="195">
        <v>0.0</v>
      </c>
      <c r="H46" s="195">
        <v>0.0</v>
      </c>
      <c r="I46" s="195">
        <v>0.0</v>
      </c>
      <c r="J46" s="195">
        <v>0.0</v>
      </c>
      <c r="K46" s="195">
        <v>0.0</v>
      </c>
      <c r="L46" s="195">
        <v>0.0</v>
      </c>
      <c r="M46" s="195">
        <v>0.0</v>
      </c>
      <c r="N46" s="195">
        <v>0.0</v>
      </c>
      <c r="O46" s="195">
        <v>0.0</v>
      </c>
      <c r="P46" s="195">
        <v>0.0</v>
      </c>
      <c r="Q46" s="195">
        <v>0.0</v>
      </c>
      <c r="R46" s="195">
        <v>0.0</v>
      </c>
      <c r="S46" s="195">
        <v>0.0</v>
      </c>
      <c r="T46" s="195">
        <v>0.0</v>
      </c>
      <c r="U46" s="195">
        <v>0.0</v>
      </c>
      <c r="V46" s="195">
        <v>0.0</v>
      </c>
      <c r="W46" s="195">
        <v>0.0</v>
      </c>
    </row>
    <row r="47" ht="15.75" customHeight="1">
      <c r="A47" s="195">
        <f t="shared" si="1"/>
        <v>21</v>
      </c>
      <c r="B47" s="100"/>
      <c r="C47" s="195">
        <v>0.0</v>
      </c>
      <c r="D47" s="198">
        <v>45.0</v>
      </c>
      <c r="E47" s="195">
        <v>0.0</v>
      </c>
      <c r="F47" s="195">
        <v>0.0</v>
      </c>
      <c r="G47" s="195">
        <v>0.0</v>
      </c>
      <c r="H47" s="195">
        <v>0.0</v>
      </c>
      <c r="I47" s="195">
        <v>0.0</v>
      </c>
      <c r="J47" s="195">
        <v>0.0</v>
      </c>
      <c r="K47" s="195">
        <v>0.0</v>
      </c>
      <c r="L47" s="195">
        <v>0.0</v>
      </c>
      <c r="M47" s="195">
        <v>0.0</v>
      </c>
      <c r="N47" s="195">
        <v>0.0</v>
      </c>
      <c r="O47" s="195">
        <v>0.0</v>
      </c>
      <c r="P47" s="195">
        <v>0.0</v>
      </c>
      <c r="Q47" s="195">
        <v>0.0</v>
      </c>
      <c r="R47" s="195">
        <v>0.0</v>
      </c>
      <c r="S47" s="195">
        <v>0.0</v>
      </c>
      <c r="T47" s="195">
        <v>0.0</v>
      </c>
      <c r="U47" s="195">
        <v>0.0</v>
      </c>
      <c r="V47" s="195">
        <v>0.0</v>
      </c>
      <c r="W47" s="195">
        <v>0.0</v>
      </c>
    </row>
    <row r="48" ht="15.75" customHeight="1">
      <c r="A48" s="195">
        <f t="shared" si="1"/>
        <v>22</v>
      </c>
      <c r="B48" s="100"/>
      <c r="C48" s="195">
        <v>0.0</v>
      </c>
      <c r="D48" s="198">
        <v>40.0</v>
      </c>
      <c r="E48" s="195">
        <v>0.0</v>
      </c>
      <c r="F48" s="195">
        <v>0.0</v>
      </c>
      <c r="G48" s="195">
        <v>0.0</v>
      </c>
      <c r="H48" s="195">
        <v>0.0</v>
      </c>
      <c r="I48" s="195">
        <v>0.0</v>
      </c>
      <c r="J48" s="195">
        <v>0.0</v>
      </c>
      <c r="K48" s="195">
        <v>0.0</v>
      </c>
      <c r="L48" s="195">
        <v>0.0</v>
      </c>
      <c r="M48" s="195">
        <v>0.0</v>
      </c>
      <c r="N48" s="195">
        <v>0.0</v>
      </c>
      <c r="O48" s="195">
        <v>0.0</v>
      </c>
      <c r="P48" s="195">
        <v>0.0</v>
      </c>
      <c r="Q48" s="195">
        <v>0.0</v>
      </c>
      <c r="R48" s="195">
        <v>0.0</v>
      </c>
      <c r="S48" s="195">
        <v>0.0</v>
      </c>
      <c r="T48" s="195">
        <v>0.0</v>
      </c>
      <c r="U48" s="195">
        <v>0.0</v>
      </c>
      <c r="V48" s="195">
        <v>0.0</v>
      </c>
      <c r="W48" s="195">
        <v>0.0</v>
      </c>
    </row>
    <row r="49" ht="15.75" customHeight="1">
      <c r="A49" s="195">
        <f t="shared" si="1"/>
        <v>23</v>
      </c>
      <c r="B49" s="100"/>
      <c r="C49" s="195">
        <v>0.0</v>
      </c>
      <c r="D49" s="198">
        <v>35.0</v>
      </c>
      <c r="E49" s="195">
        <v>0.0</v>
      </c>
      <c r="F49" s="195">
        <v>0.0</v>
      </c>
      <c r="G49" s="195">
        <v>0.0</v>
      </c>
      <c r="H49" s="195">
        <v>0.0</v>
      </c>
      <c r="I49" s="195">
        <v>0.0</v>
      </c>
      <c r="J49" s="195">
        <v>0.0</v>
      </c>
      <c r="K49" s="195">
        <v>0.0</v>
      </c>
      <c r="L49" s="195">
        <v>0.0</v>
      </c>
      <c r="M49" s="195">
        <v>0.0</v>
      </c>
      <c r="N49" s="195">
        <v>0.0</v>
      </c>
      <c r="O49" s="195">
        <v>0.0</v>
      </c>
      <c r="P49" s="195">
        <v>0.0</v>
      </c>
      <c r="Q49" s="195">
        <v>0.0</v>
      </c>
      <c r="R49" s="195">
        <v>0.0</v>
      </c>
      <c r="S49" s="195">
        <v>0.0</v>
      </c>
      <c r="T49" s="195">
        <v>0.0</v>
      </c>
      <c r="U49" s="195">
        <v>0.0</v>
      </c>
      <c r="V49" s="195">
        <v>0.0</v>
      </c>
      <c r="W49" s="195">
        <v>0.0</v>
      </c>
    </row>
    <row r="50" ht="15.75" customHeight="1">
      <c r="A50" s="195">
        <f t="shared" si="1"/>
        <v>24</v>
      </c>
      <c r="B50" s="100"/>
      <c r="C50" s="195">
        <v>0.0</v>
      </c>
      <c r="D50" s="198">
        <v>30.0</v>
      </c>
      <c r="E50" s="195">
        <v>0.0</v>
      </c>
      <c r="F50" s="195">
        <v>0.0</v>
      </c>
      <c r="G50" s="195">
        <v>0.0</v>
      </c>
      <c r="H50" s="195">
        <v>0.0</v>
      </c>
      <c r="I50" s="195">
        <v>0.0</v>
      </c>
      <c r="J50" s="195">
        <v>0.0</v>
      </c>
      <c r="K50" s="195">
        <v>0.0</v>
      </c>
      <c r="L50" s="195">
        <v>0.0</v>
      </c>
      <c r="M50" s="195">
        <v>0.0</v>
      </c>
      <c r="N50" s="195">
        <v>0.0</v>
      </c>
      <c r="O50" s="195">
        <v>0.0</v>
      </c>
      <c r="P50" s="195">
        <v>0.0</v>
      </c>
      <c r="Q50" s="195">
        <v>0.0</v>
      </c>
      <c r="R50" s="195">
        <v>0.0</v>
      </c>
      <c r="S50" s="195">
        <v>0.0</v>
      </c>
      <c r="T50" s="195">
        <v>0.0</v>
      </c>
      <c r="U50" s="195">
        <v>0.0</v>
      </c>
      <c r="V50" s="195">
        <v>0.0</v>
      </c>
      <c r="W50" s="195">
        <v>0.0</v>
      </c>
    </row>
    <row r="51" ht="15.75" customHeight="1">
      <c r="A51" s="195">
        <f t="shared" si="1"/>
        <v>25</v>
      </c>
      <c r="B51" s="100"/>
      <c r="C51" s="195">
        <v>0.0</v>
      </c>
      <c r="D51" s="198">
        <v>30.0</v>
      </c>
      <c r="E51" s="195">
        <v>0.0</v>
      </c>
      <c r="F51" s="195">
        <v>0.0</v>
      </c>
      <c r="G51" s="195">
        <v>0.0</v>
      </c>
      <c r="H51" s="195">
        <v>0.0</v>
      </c>
      <c r="I51" s="195">
        <v>0.0</v>
      </c>
      <c r="J51" s="195">
        <v>0.0</v>
      </c>
      <c r="K51" s="195">
        <v>0.0</v>
      </c>
      <c r="L51" s="195">
        <v>0.0</v>
      </c>
      <c r="M51" s="195">
        <v>0.0</v>
      </c>
      <c r="N51" s="195">
        <v>0.0</v>
      </c>
      <c r="O51" s="195">
        <v>0.0</v>
      </c>
      <c r="P51" s="195">
        <v>0.0</v>
      </c>
      <c r="Q51" s="195">
        <v>0.0</v>
      </c>
      <c r="R51" s="195">
        <v>0.0</v>
      </c>
      <c r="S51" s="195">
        <v>0.0</v>
      </c>
      <c r="T51" s="195">
        <v>0.0</v>
      </c>
      <c r="U51" s="195">
        <v>0.0</v>
      </c>
      <c r="V51" s="195">
        <v>0.0</v>
      </c>
      <c r="W51" s="195">
        <v>0.0</v>
      </c>
    </row>
    <row r="52" ht="15.75" customHeight="1">
      <c r="A52" s="195">
        <f t="shared" si="1"/>
        <v>26</v>
      </c>
      <c r="B52" s="100"/>
      <c r="C52" s="195">
        <v>0.0</v>
      </c>
      <c r="D52" s="200">
        <v>0.0</v>
      </c>
      <c r="E52" s="195">
        <v>0.0</v>
      </c>
      <c r="F52" s="195">
        <v>0.0</v>
      </c>
      <c r="G52" s="195">
        <v>0.0</v>
      </c>
      <c r="H52" s="195">
        <v>0.0</v>
      </c>
      <c r="I52" s="195">
        <v>0.0</v>
      </c>
      <c r="J52" s="195">
        <v>0.0</v>
      </c>
      <c r="K52" s="195">
        <v>0.0</v>
      </c>
      <c r="L52" s="195">
        <v>0.0</v>
      </c>
      <c r="M52" s="195">
        <v>0.0</v>
      </c>
      <c r="N52" s="195">
        <v>0.0</v>
      </c>
      <c r="O52" s="195">
        <v>0.0</v>
      </c>
      <c r="P52" s="195">
        <v>0.0</v>
      </c>
      <c r="Q52" s="195">
        <v>0.0</v>
      </c>
      <c r="R52" s="195">
        <v>0.0</v>
      </c>
      <c r="S52" s="195">
        <v>0.0</v>
      </c>
      <c r="T52" s="195">
        <v>0.0</v>
      </c>
      <c r="U52" s="195">
        <v>0.0</v>
      </c>
      <c r="V52" s="195">
        <v>0.0</v>
      </c>
      <c r="W52" s="195">
        <v>0.0</v>
      </c>
    </row>
    <row r="53" ht="15.75" customHeight="1">
      <c r="A53" s="195">
        <f t="shared" si="1"/>
        <v>27</v>
      </c>
      <c r="B53" s="100"/>
      <c r="C53" s="195">
        <v>0.0</v>
      </c>
      <c r="D53" s="195">
        <v>0.0</v>
      </c>
      <c r="E53" s="195">
        <v>0.0</v>
      </c>
      <c r="F53" s="195">
        <v>0.0</v>
      </c>
      <c r="G53" s="195">
        <v>0.0</v>
      </c>
      <c r="H53" s="195">
        <v>0.0</v>
      </c>
      <c r="I53" s="195">
        <v>0.0</v>
      </c>
      <c r="J53" s="195">
        <v>0.0</v>
      </c>
      <c r="K53" s="195">
        <v>0.0</v>
      </c>
      <c r="L53" s="195">
        <v>0.0</v>
      </c>
      <c r="M53" s="195">
        <v>0.0</v>
      </c>
      <c r="N53" s="195">
        <v>0.0</v>
      </c>
      <c r="O53" s="195">
        <v>0.0</v>
      </c>
      <c r="P53" s="195">
        <v>0.0</v>
      </c>
      <c r="Q53" s="195">
        <v>0.0</v>
      </c>
      <c r="R53" s="195">
        <v>0.0</v>
      </c>
      <c r="S53" s="195">
        <v>0.0</v>
      </c>
      <c r="T53" s="195">
        <v>0.0</v>
      </c>
      <c r="U53" s="195">
        <v>0.0</v>
      </c>
      <c r="V53" s="195">
        <v>0.0</v>
      </c>
      <c r="W53" s="195">
        <v>0.0</v>
      </c>
    </row>
    <row r="54" ht="15.75" customHeight="1">
      <c r="A54" s="195">
        <f t="shared" si="1"/>
        <v>28</v>
      </c>
      <c r="B54" s="100"/>
      <c r="C54" s="195">
        <v>0.0</v>
      </c>
      <c r="D54" s="195">
        <v>0.0</v>
      </c>
      <c r="E54" s="195">
        <v>0.0</v>
      </c>
      <c r="F54" s="195">
        <v>0.0</v>
      </c>
      <c r="G54" s="195">
        <v>0.0</v>
      </c>
      <c r="H54" s="195">
        <v>0.0</v>
      </c>
      <c r="I54" s="195">
        <v>0.0</v>
      </c>
      <c r="J54" s="195">
        <v>0.0</v>
      </c>
      <c r="K54" s="195">
        <v>0.0</v>
      </c>
      <c r="L54" s="195">
        <v>0.0</v>
      </c>
      <c r="M54" s="195">
        <v>0.0</v>
      </c>
      <c r="N54" s="195">
        <v>0.0</v>
      </c>
      <c r="O54" s="195">
        <v>0.0</v>
      </c>
      <c r="P54" s="195">
        <v>0.0</v>
      </c>
      <c r="Q54" s="195">
        <v>0.0</v>
      </c>
      <c r="R54" s="195">
        <v>0.0</v>
      </c>
      <c r="S54" s="195">
        <v>0.0</v>
      </c>
      <c r="T54" s="195">
        <v>0.0</v>
      </c>
      <c r="U54" s="195">
        <v>0.0</v>
      </c>
      <c r="V54" s="195">
        <v>0.0</v>
      </c>
      <c r="W54" s="195">
        <v>0.0</v>
      </c>
    </row>
    <row r="55" ht="15.75" customHeight="1">
      <c r="A55" s="195">
        <f t="shared" si="1"/>
        <v>29</v>
      </c>
      <c r="B55" s="100"/>
      <c r="C55" s="195">
        <v>0.0</v>
      </c>
      <c r="D55" s="195">
        <v>0.0</v>
      </c>
      <c r="E55" s="195">
        <v>0.0</v>
      </c>
      <c r="F55" s="195">
        <v>0.0</v>
      </c>
      <c r="G55" s="195">
        <v>0.0</v>
      </c>
      <c r="H55" s="195">
        <v>0.0</v>
      </c>
      <c r="I55" s="195">
        <v>0.0</v>
      </c>
      <c r="J55" s="195">
        <v>0.0</v>
      </c>
      <c r="K55" s="195">
        <v>0.0</v>
      </c>
      <c r="L55" s="195">
        <v>0.0</v>
      </c>
      <c r="M55" s="195">
        <v>0.0</v>
      </c>
      <c r="N55" s="195">
        <v>0.0</v>
      </c>
      <c r="O55" s="195">
        <v>0.0</v>
      </c>
      <c r="P55" s="195">
        <v>0.0</v>
      </c>
      <c r="Q55" s="195">
        <v>0.0</v>
      </c>
      <c r="R55" s="195">
        <v>0.0</v>
      </c>
      <c r="S55" s="195">
        <v>0.0</v>
      </c>
      <c r="T55" s="195">
        <v>0.0</v>
      </c>
      <c r="U55" s="195">
        <v>0.0</v>
      </c>
      <c r="V55" s="195">
        <v>0.0</v>
      </c>
      <c r="W55" s="195">
        <v>0.0</v>
      </c>
    </row>
    <row r="56" ht="15.75" customHeight="1">
      <c r="A56" s="195">
        <f t="shared" si="1"/>
        <v>30</v>
      </c>
      <c r="B56" s="100"/>
      <c r="C56" s="195">
        <v>0.0</v>
      </c>
      <c r="D56" s="195">
        <v>0.0</v>
      </c>
      <c r="E56" s="195">
        <v>0.0</v>
      </c>
      <c r="F56" s="195">
        <v>0.0</v>
      </c>
      <c r="G56" s="195">
        <v>0.0</v>
      </c>
      <c r="H56" s="195">
        <v>0.0</v>
      </c>
      <c r="I56" s="195">
        <v>0.0</v>
      </c>
      <c r="J56" s="195">
        <v>0.0</v>
      </c>
      <c r="K56" s="195">
        <v>0.0</v>
      </c>
      <c r="L56" s="195">
        <v>0.0</v>
      </c>
      <c r="M56" s="195">
        <v>0.0</v>
      </c>
      <c r="N56" s="195">
        <v>0.0</v>
      </c>
      <c r="O56" s="195">
        <v>0.0</v>
      </c>
      <c r="P56" s="195">
        <v>0.0</v>
      </c>
      <c r="Q56" s="195">
        <v>0.0</v>
      </c>
      <c r="R56" s="195">
        <v>0.0</v>
      </c>
      <c r="S56" s="195">
        <v>0.0</v>
      </c>
      <c r="T56" s="195">
        <v>0.0</v>
      </c>
      <c r="U56" s="195">
        <v>0.0</v>
      </c>
      <c r="V56" s="195">
        <v>0.0</v>
      </c>
      <c r="W56" s="195">
        <v>0.0</v>
      </c>
    </row>
    <row r="57" ht="15.75" customHeight="1">
      <c r="A57" s="195">
        <f t="shared" si="1"/>
        <v>31</v>
      </c>
      <c r="B57" s="100"/>
      <c r="C57" s="195">
        <v>0.0</v>
      </c>
      <c r="D57" s="195">
        <v>0.0</v>
      </c>
      <c r="E57" s="195">
        <v>0.0</v>
      </c>
      <c r="F57" s="195">
        <v>0.0</v>
      </c>
      <c r="G57" s="195">
        <v>0.0</v>
      </c>
      <c r="H57" s="195">
        <v>0.0</v>
      </c>
      <c r="I57" s="195">
        <v>0.0</v>
      </c>
      <c r="J57" s="195">
        <v>0.0</v>
      </c>
      <c r="K57" s="195">
        <v>0.0</v>
      </c>
      <c r="L57" s="195">
        <v>0.0</v>
      </c>
      <c r="M57" s="195">
        <v>0.0</v>
      </c>
      <c r="N57" s="195">
        <v>0.0</v>
      </c>
      <c r="O57" s="195">
        <v>0.0</v>
      </c>
      <c r="P57" s="195">
        <v>0.0</v>
      </c>
      <c r="Q57" s="195">
        <v>0.0</v>
      </c>
      <c r="R57" s="195">
        <v>0.0</v>
      </c>
      <c r="S57" s="195">
        <v>0.0</v>
      </c>
      <c r="T57" s="195">
        <v>0.0</v>
      </c>
      <c r="U57" s="195">
        <v>0.0</v>
      </c>
      <c r="V57" s="195">
        <v>0.0</v>
      </c>
      <c r="W57" s="195">
        <v>0.0</v>
      </c>
    </row>
    <row r="58" ht="15.75" customHeight="1">
      <c r="A58" s="195">
        <f t="shared" si="1"/>
        <v>32</v>
      </c>
      <c r="B58" s="100"/>
      <c r="C58" s="195">
        <v>0.0</v>
      </c>
      <c r="D58" s="195">
        <v>0.0</v>
      </c>
      <c r="E58" s="195">
        <v>0.0</v>
      </c>
      <c r="F58" s="195">
        <v>0.0</v>
      </c>
      <c r="G58" s="195">
        <v>0.0</v>
      </c>
      <c r="H58" s="195">
        <v>0.0</v>
      </c>
      <c r="I58" s="195">
        <v>0.0</v>
      </c>
      <c r="J58" s="195">
        <v>0.0</v>
      </c>
      <c r="K58" s="195">
        <v>0.0</v>
      </c>
      <c r="L58" s="195">
        <v>0.0</v>
      </c>
      <c r="M58" s="195">
        <v>0.0</v>
      </c>
      <c r="N58" s="195">
        <v>0.0</v>
      </c>
      <c r="O58" s="195">
        <v>0.0</v>
      </c>
      <c r="P58" s="195">
        <v>0.0</v>
      </c>
      <c r="Q58" s="195">
        <v>0.0</v>
      </c>
      <c r="R58" s="195">
        <v>0.0</v>
      </c>
      <c r="S58" s="195">
        <v>0.0</v>
      </c>
      <c r="T58" s="195">
        <v>0.0</v>
      </c>
      <c r="U58" s="195">
        <v>0.0</v>
      </c>
      <c r="V58" s="195">
        <v>0.0</v>
      </c>
      <c r="W58" s="195">
        <v>0.0</v>
      </c>
    </row>
    <row r="59" ht="15.75" customHeight="1">
      <c r="A59" s="195">
        <f t="shared" si="1"/>
        <v>33</v>
      </c>
      <c r="B59" s="100"/>
      <c r="C59" s="195">
        <v>0.0</v>
      </c>
      <c r="D59" s="195">
        <v>0.0</v>
      </c>
      <c r="E59" s="195">
        <v>0.0</v>
      </c>
      <c r="F59" s="195">
        <v>0.0</v>
      </c>
      <c r="G59" s="195">
        <v>0.0</v>
      </c>
      <c r="H59" s="195">
        <v>0.0</v>
      </c>
      <c r="I59" s="195">
        <v>0.0</v>
      </c>
      <c r="J59" s="195">
        <v>0.0</v>
      </c>
      <c r="K59" s="195">
        <v>0.0</v>
      </c>
      <c r="L59" s="195">
        <v>0.0</v>
      </c>
      <c r="M59" s="195">
        <v>0.0</v>
      </c>
      <c r="N59" s="195">
        <v>0.0</v>
      </c>
      <c r="O59" s="195">
        <v>0.0</v>
      </c>
      <c r="P59" s="195">
        <v>0.0</v>
      </c>
      <c r="Q59" s="195">
        <v>0.0</v>
      </c>
      <c r="R59" s="195">
        <v>0.0</v>
      </c>
      <c r="S59" s="195">
        <v>0.0</v>
      </c>
      <c r="T59" s="195">
        <v>0.0</v>
      </c>
      <c r="U59" s="195">
        <v>0.0</v>
      </c>
      <c r="V59" s="195">
        <v>0.0</v>
      </c>
      <c r="W59" s="195">
        <v>0.0</v>
      </c>
    </row>
    <row r="60" ht="15.75" customHeight="1">
      <c r="A60" s="195">
        <f t="shared" si="1"/>
        <v>34</v>
      </c>
      <c r="B60" s="100"/>
      <c r="C60" s="195">
        <v>0.0</v>
      </c>
      <c r="D60" s="195">
        <v>0.0</v>
      </c>
      <c r="E60" s="195">
        <v>0.0</v>
      </c>
      <c r="F60" s="195">
        <v>0.0</v>
      </c>
      <c r="G60" s="195">
        <v>0.0</v>
      </c>
      <c r="H60" s="195">
        <v>0.0</v>
      </c>
      <c r="I60" s="195">
        <v>0.0</v>
      </c>
      <c r="J60" s="195">
        <v>0.0</v>
      </c>
      <c r="K60" s="195">
        <v>0.0</v>
      </c>
      <c r="L60" s="195">
        <v>0.0</v>
      </c>
      <c r="M60" s="195">
        <v>0.0</v>
      </c>
      <c r="N60" s="195">
        <v>0.0</v>
      </c>
      <c r="O60" s="195">
        <v>0.0</v>
      </c>
      <c r="P60" s="195">
        <v>0.0</v>
      </c>
      <c r="Q60" s="195">
        <v>0.0</v>
      </c>
      <c r="R60" s="195">
        <v>0.0</v>
      </c>
      <c r="S60" s="195">
        <v>0.0</v>
      </c>
      <c r="T60" s="195">
        <v>0.0</v>
      </c>
      <c r="U60" s="195">
        <v>0.0</v>
      </c>
      <c r="V60" s="195">
        <v>0.0</v>
      </c>
      <c r="W60" s="195">
        <v>0.0</v>
      </c>
    </row>
    <row r="61" ht="15.75" customHeight="1">
      <c r="A61" s="195">
        <f t="shared" si="1"/>
        <v>35</v>
      </c>
      <c r="B61" s="100"/>
      <c r="C61" s="195">
        <v>0.0</v>
      </c>
      <c r="D61" s="195">
        <v>0.0</v>
      </c>
      <c r="E61" s="195">
        <v>0.0</v>
      </c>
      <c r="F61" s="195">
        <v>0.0</v>
      </c>
      <c r="G61" s="195">
        <v>0.0</v>
      </c>
      <c r="H61" s="195">
        <v>0.0</v>
      </c>
      <c r="I61" s="195">
        <v>0.0</v>
      </c>
      <c r="J61" s="195">
        <v>0.0</v>
      </c>
      <c r="K61" s="195">
        <v>0.0</v>
      </c>
      <c r="L61" s="195">
        <v>0.0</v>
      </c>
      <c r="M61" s="195">
        <v>0.0</v>
      </c>
      <c r="N61" s="195">
        <v>0.0</v>
      </c>
      <c r="O61" s="195">
        <v>0.0</v>
      </c>
      <c r="P61" s="195">
        <v>0.0</v>
      </c>
      <c r="Q61" s="195">
        <v>0.0</v>
      </c>
      <c r="R61" s="195">
        <v>0.0</v>
      </c>
      <c r="S61" s="195">
        <v>0.0</v>
      </c>
      <c r="T61" s="195">
        <v>0.0</v>
      </c>
      <c r="U61" s="195">
        <v>0.0</v>
      </c>
      <c r="V61" s="195">
        <v>0.0</v>
      </c>
      <c r="W61" s="195">
        <v>0.0</v>
      </c>
    </row>
    <row r="62" ht="15.75" customHeight="1">
      <c r="A62" s="195">
        <f t="shared" si="1"/>
        <v>36</v>
      </c>
      <c r="B62" s="100"/>
      <c r="C62" s="195">
        <v>0.0</v>
      </c>
      <c r="D62" s="195">
        <v>0.0</v>
      </c>
      <c r="E62" s="195">
        <v>0.0</v>
      </c>
      <c r="F62" s="195">
        <v>0.0</v>
      </c>
      <c r="G62" s="195">
        <v>0.0</v>
      </c>
      <c r="H62" s="195">
        <v>0.0</v>
      </c>
      <c r="I62" s="195">
        <v>0.0</v>
      </c>
      <c r="J62" s="195">
        <v>0.0</v>
      </c>
      <c r="K62" s="195">
        <v>0.0</v>
      </c>
      <c r="L62" s="195">
        <v>0.0</v>
      </c>
      <c r="M62" s="195">
        <v>0.0</v>
      </c>
      <c r="N62" s="195">
        <v>0.0</v>
      </c>
      <c r="O62" s="195">
        <v>0.0</v>
      </c>
      <c r="P62" s="195">
        <v>0.0</v>
      </c>
      <c r="Q62" s="195">
        <v>0.0</v>
      </c>
      <c r="R62" s="195">
        <v>0.0</v>
      </c>
      <c r="S62" s="195">
        <v>0.0</v>
      </c>
      <c r="T62" s="195">
        <v>0.0</v>
      </c>
      <c r="U62" s="195">
        <v>0.0</v>
      </c>
      <c r="V62" s="195">
        <v>0.0</v>
      </c>
      <c r="W62" s="195">
        <v>0.0</v>
      </c>
    </row>
    <row r="63" ht="15.75" customHeight="1">
      <c r="A63" s="195">
        <f t="shared" si="1"/>
        <v>37</v>
      </c>
      <c r="B63" s="100"/>
      <c r="C63" s="195">
        <v>0.0</v>
      </c>
      <c r="D63" s="195">
        <v>0.0</v>
      </c>
      <c r="E63" s="195">
        <v>0.0</v>
      </c>
      <c r="F63" s="195">
        <v>0.0</v>
      </c>
      <c r="G63" s="195">
        <v>0.0</v>
      </c>
      <c r="H63" s="195">
        <v>0.0</v>
      </c>
      <c r="I63" s="195">
        <v>0.0</v>
      </c>
      <c r="J63" s="195">
        <v>0.0</v>
      </c>
      <c r="K63" s="195">
        <v>0.0</v>
      </c>
      <c r="L63" s="195">
        <v>0.0</v>
      </c>
      <c r="M63" s="195">
        <v>0.0</v>
      </c>
      <c r="N63" s="195">
        <v>0.0</v>
      </c>
      <c r="O63" s="195">
        <v>0.0</v>
      </c>
      <c r="P63" s="195">
        <v>0.0</v>
      </c>
      <c r="Q63" s="195">
        <v>0.0</v>
      </c>
      <c r="R63" s="195">
        <v>0.0</v>
      </c>
      <c r="S63" s="195">
        <v>0.0</v>
      </c>
      <c r="T63" s="195">
        <v>0.0</v>
      </c>
      <c r="U63" s="195">
        <v>0.0</v>
      </c>
      <c r="V63" s="195">
        <v>0.0</v>
      </c>
      <c r="W63" s="195">
        <v>0.0</v>
      </c>
    </row>
    <row r="64" ht="15.75" customHeight="1">
      <c r="A64" s="195">
        <f t="shared" si="1"/>
        <v>38</v>
      </c>
      <c r="B64" s="100"/>
      <c r="C64" s="195">
        <v>0.0</v>
      </c>
      <c r="D64" s="195">
        <v>0.0</v>
      </c>
      <c r="E64" s="195">
        <v>0.0</v>
      </c>
      <c r="F64" s="195">
        <v>0.0</v>
      </c>
      <c r="G64" s="195">
        <v>0.0</v>
      </c>
      <c r="H64" s="195">
        <v>0.0</v>
      </c>
      <c r="I64" s="195">
        <v>0.0</v>
      </c>
      <c r="J64" s="195">
        <v>0.0</v>
      </c>
      <c r="K64" s="195">
        <v>0.0</v>
      </c>
      <c r="L64" s="195">
        <v>0.0</v>
      </c>
      <c r="M64" s="195">
        <v>0.0</v>
      </c>
      <c r="N64" s="195">
        <v>0.0</v>
      </c>
      <c r="O64" s="195">
        <v>0.0</v>
      </c>
      <c r="P64" s="195">
        <v>0.0</v>
      </c>
      <c r="Q64" s="195">
        <v>0.0</v>
      </c>
      <c r="R64" s="195">
        <v>0.0</v>
      </c>
      <c r="S64" s="195">
        <v>0.0</v>
      </c>
      <c r="T64" s="195">
        <v>0.0</v>
      </c>
      <c r="U64" s="195">
        <v>0.0</v>
      </c>
      <c r="V64" s="195">
        <v>0.0</v>
      </c>
      <c r="W64" s="195">
        <v>0.0</v>
      </c>
    </row>
    <row r="65" ht="15.75" customHeight="1">
      <c r="A65" s="195">
        <f t="shared" si="1"/>
        <v>39</v>
      </c>
      <c r="B65" s="100"/>
      <c r="C65" s="195">
        <v>0.0</v>
      </c>
      <c r="D65" s="195">
        <v>0.0</v>
      </c>
      <c r="E65" s="195">
        <v>0.0</v>
      </c>
      <c r="F65" s="195">
        <v>0.0</v>
      </c>
      <c r="G65" s="195">
        <v>0.0</v>
      </c>
      <c r="H65" s="195">
        <v>0.0</v>
      </c>
      <c r="I65" s="195">
        <v>0.0</v>
      </c>
      <c r="J65" s="195">
        <v>0.0</v>
      </c>
      <c r="K65" s="195">
        <v>0.0</v>
      </c>
      <c r="L65" s="195">
        <v>0.0</v>
      </c>
      <c r="M65" s="195">
        <v>0.0</v>
      </c>
      <c r="N65" s="195">
        <v>0.0</v>
      </c>
      <c r="O65" s="195">
        <v>0.0</v>
      </c>
      <c r="P65" s="195">
        <v>0.0</v>
      </c>
      <c r="Q65" s="195">
        <v>0.0</v>
      </c>
      <c r="R65" s="195">
        <v>0.0</v>
      </c>
      <c r="S65" s="195">
        <v>0.0</v>
      </c>
      <c r="T65" s="195">
        <v>0.0</v>
      </c>
      <c r="U65" s="195">
        <v>0.0</v>
      </c>
      <c r="V65" s="195">
        <v>0.0</v>
      </c>
      <c r="W65" s="195">
        <v>0.0</v>
      </c>
    </row>
    <row r="66" ht="15.75" customHeight="1">
      <c r="A66" s="195">
        <f t="shared" si="1"/>
        <v>40</v>
      </c>
      <c r="B66" s="100"/>
      <c r="C66" s="195">
        <v>0.0</v>
      </c>
      <c r="D66" s="195">
        <v>0.0</v>
      </c>
      <c r="E66" s="195">
        <v>0.0</v>
      </c>
      <c r="F66" s="195">
        <v>0.0</v>
      </c>
      <c r="G66" s="195">
        <v>0.0</v>
      </c>
      <c r="H66" s="195">
        <v>0.0</v>
      </c>
      <c r="I66" s="195">
        <v>0.0</v>
      </c>
      <c r="J66" s="195">
        <v>0.0</v>
      </c>
      <c r="K66" s="195">
        <v>0.0</v>
      </c>
      <c r="L66" s="195">
        <v>0.0</v>
      </c>
      <c r="M66" s="195">
        <v>0.0</v>
      </c>
      <c r="N66" s="195">
        <v>0.0</v>
      </c>
      <c r="O66" s="195">
        <v>0.0</v>
      </c>
      <c r="P66" s="195">
        <v>0.0</v>
      </c>
      <c r="Q66" s="195">
        <v>0.0</v>
      </c>
      <c r="R66" s="195">
        <v>0.0</v>
      </c>
      <c r="S66" s="195">
        <v>0.0</v>
      </c>
      <c r="T66" s="195">
        <v>0.0</v>
      </c>
      <c r="U66" s="195">
        <v>0.0</v>
      </c>
      <c r="V66" s="195">
        <v>0.0</v>
      </c>
      <c r="W66" s="195">
        <v>0.0</v>
      </c>
    </row>
    <row r="67" ht="15.75" customHeight="1">
      <c r="A67" s="195">
        <f t="shared" si="1"/>
        <v>41</v>
      </c>
      <c r="B67" s="100"/>
      <c r="C67" s="195">
        <v>0.0</v>
      </c>
      <c r="D67" s="195">
        <v>0.0</v>
      </c>
      <c r="E67" s="195">
        <v>0.0</v>
      </c>
      <c r="F67" s="195">
        <v>0.0</v>
      </c>
      <c r="G67" s="195">
        <v>0.0</v>
      </c>
      <c r="H67" s="195">
        <v>0.0</v>
      </c>
      <c r="I67" s="195">
        <v>0.0</v>
      </c>
      <c r="J67" s="195">
        <v>0.0</v>
      </c>
      <c r="K67" s="195">
        <v>0.0</v>
      </c>
      <c r="L67" s="195">
        <v>0.0</v>
      </c>
      <c r="M67" s="195">
        <v>0.0</v>
      </c>
      <c r="N67" s="195">
        <v>0.0</v>
      </c>
      <c r="O67" s="195">
        <v>0.0</v>
      </c>
      <c r="P67" s="195">
        <v>0.0</v>
      </c>
      <c r="Q67" s="195">
        <v>0.0</v>
      </c>
      <c r="R67" s="195">
        <v>0.0</v>
      </c>
      <c r="S67" s="195">
        <v>0.0</v>
      </c>
      <c r="T67" s="195">
        <v>0.0</v>
      </c>
      <c r="U67" s="195">
        <v>0.0</v>
      </c>
      <c r="V67" s="195">
        <v>0.0</v>
      </c>
      <c r="W67" s="195">
        <v>0.0</v>
      </c>
    </row>
    <row r="68" ht="15.75" customHeight="1">
      <c r="A68" s="195">
        <f t="shared" si="1"/>
        <v>42</v>
      </c>
      <c r="B68" s="100"/>
      <c r="C68" s="195">
        <v>0.0</v>
      </c>
      <c r="D68" s="195">
        <v>0.0</v>
      </c>
      <c r="E68" s="195">
        <v>0.0</v>
      </c>
      <c r="F68" s="195">
        <v>0.0</v>
      </c>
      <c r="G68" s="195">
        <v>0.0</v>
      </c>
      <c r="H68" s="195">
        <v>0.0</v>
      </c>
      <c r="I68" s="195">
        <v>0.0</v>
      </c>
      <c r="J68" s="195">
        <v>0.0</v>
      </c>
      <c r="K68" s="195">
        <v>0.0</v>
      </c>
      <c r="L68" s="195">
        <v>0.0</v>
      </c>
      <c r="M68" s="195">
        <v>0.0</v>
      </c>
      <c r="N68" s="195">
        <v>0.0</v>
      </c>
      <c r="O68" s="195">
        <v>0.0</v>
      </c>
      <c r="P68" s="195">
        <v>0.0</v>
      </c>
      <c r="Q68" s="195">
        <v>0.0</v>
      </c>
      <c r="R68" s="195">
        <v>0.0</v>
      </c>
      <c r="S68" s="195">
        <v>0.0</v>
      </c>
      <c r="T68" s="195">
        <v>0.0</v>
      </c>
      <c r="U68" s="195">
        <v>0.0</v>
      </c>
      <c r="V68" s="195">
        <v>0.0</v>
      </c>
      <c r="W68" s="195">
        <v>0.0</v>
      </c>
    </row>
    <row r="69" ht="15.75" customHeight="1">
      <c r="A69" s="195">
        <f t="shared" si="1"/>
        <v>43</v>
      </c>
      <c r="B69" s="100"/>
      <c r="C69" s="195">
        <v>0.0</v>
      </c>
      <c r="D69" s="195">
        <v>0.0</v>
      </c>
      <c r="E69" s="195">
        <v>0.0</v>
      </c>
      <c r="F69" s="195">
        <v>0.0</v>
      </c>
      <c r="G69" s="195">
        <v>0.0</v>
      </c>
      <c r="H69" s="195">
        <v>0.0</v>
      </c>
      <c r="I69" s="195">
        <v>0.0</v>
      </c>
      <c r="J69" s="195">
        <v>0.0</v>
      </c>
      <c r="K69" s="195">
        <v>0.0</v>
      </c>
      <c r="L69" s="195">
        <v>0.0</v>
      </c>
      <c r="M69" s="195">
        <v>0.0</v>
      </c>
      <c r="N69" s="195">
        <v>0.0</v>
      </c>
      <c r="O69" s="195">
        <v>0.0</v>
      </c>
      <c r="P69" s="195">
        <v>0.0</v>
      </c>
      <c r="Q69" s="195">
        <v>0.0</v>
      </c>
      <c r="R69" s="195">
        <v>0.0</v>
      </c>
      <c r="S69" s="195">
        <v>0.0</v>
      </c>
      <c r="T69" s="195">
        <v>0.0</v>
      </c>
      <c r="U69" s="195">
        <v>0.0</v>
      </c>
      <c r="V69" s="195">
        <v>0.0</v>
      </c>
      <c r="W69" s="195">
        <v>0.0</v>
      </c>
    </row>
    <row r="70" ht="15.75" customHeight="1">
      <c r="A70" s="195">
        <f t="shared" si="1"/>
        <v>44</v>
      </c>
      <c r="B70" s="100"/>
      <c r="C70" s="195">
        <v>0.0</v>
      </c>
      <c r="D70" s="195">
        <v>0.0</v>
      </c>
      <c r="E70" s="195">
        <v>0.0</v>
      </c>
      <c r="F70" s="195">
        <v>0.0</v>
      </c>
      <c r="G70" s="195">
        <v>0.0</v>
      </c>
      <c r="H70" s="195">
        <v>0.0</v>
      </c>
      <c r="I70" s="195">
        <v>0.0</v>
      </c>
      <c r="J70" s="195">
        <v>0.0</v>
      </c>
      <c r="K70" s="195">
        <v>0.0</v>
      </c>
      <c r="L70" s="195">
        <v>0.0</v>
      </c>
      <c r="M70" s="195">
        <v>0.0</v>
      </c>
      <c r="N70" s="195">
        <v>0.0</v>
      </c>
      <c r="O70" s="195">
        <v>0.0</v>
      </c>
      <c r="P70" s="195">
        <v>0.0</v>
      </c>
      <c r="Q70" s="195">
        <v>0.0</v>
      </c>
      <c r="R70" s="195">
        <v>0.0</v>
      </c>
      <c r="S70" s="195">
        <v>0.0</v>
      </c>
      <c r="T70" s="195">
        <v>0.0</v>
      </c>
      <c r="U70" s="195">
        <v>0.0</v>
      </c>
      <c r="V70" s="195">
        <v>0.0</v>
      </c>
      <c r="W70" s="195">
        <v>0.0</v>
      </c>
    </row>
    <row r="71" ht="15.75" customHeight="1">
      <c r="A71" s="195">
        <f t="shared" si="1"/>
        <v>45</v>
      </c>
      <c r="B71" s="100"/>
      <c r="C71" s="195">
        <v>0.0</v>
      </c>
      <c r="D71" s="195">
        <v>0.0</v>
      </c>
      <c r="E71" s="195">
        <v>0.0</v>
      </c>
      <c r="F71" s="195">
        <v>0.0</v>
      </c>
      <c r="G71" s="195">
        <v>0.0</v>
      </c>
      <c r="H71" s="195">
        <v>0.0</v>
      </c>
      <c r="I71" s="195">
        <v>0.0</v>
      </c>
      <c r="J71" s="195">
        <v>0.0</v>
      </c>
      <c r="K71" s="195">
        <v>0.0</v>
      </c>
      <c r="L71" s="195">
        <v>0.0</v>
      </c>
      <c r="M71" s="195">
        <v>0.0</v>
      </c>
      <c r="N71" s="195">
        <v>0.0</v>
      </c>
      <c r="O71" s="195">
        <v>0.0</v>
      </c>
      <c r="P71" s="195">
        <v>0.0</v>
      </c>
      <c r="Q71" s="195">
        <v>0.0</v>
      </c>
      <c r="R71" s="195">
        <v>0.0</v>
      </c>
      <c r="S71" s="195">
        <v>0.0</v>
      </c>
      <c r="T71" s="195">
        <v>0.0</v>
      </c>
      <c r="U71" s="195">
        <v>0.0</v>
      </c>
      <c r="V71" s="195">
        <v>0.0</v>
      </c>
      <c r="W71" s="195">
        <v>0.0</v>
      </c>
    </row>
    <row r="72" ht="15.75" customHeight="1">
      <c r="A72" s="195">
        <f t="shared" si="1"/>
        <v>46</v>
      </c>
      <c r="B72" s="100"/>
      <c r="C72" s="195">
        <v>0.0</v>
      </c>
      <c r="D72" s="195">
        <v>0.0</v>
      </c>
      <c r="E72" s="195">
        <v>0.0</v>
      </c>
      <c r="F72" s="195">
        <v>0.0</v>
      </c>
      <c r="G72" s="195">
        <v>0.0</v>
      </c>
      <c r="H72" s="195">
        <v>0.0</v>
      </c>
      <c r="I72" s="195">
        <v>0.0</v>
      </c>
      <c r="J72" s="195">
        <v>0.0</v>
      </c>
      <c r="K72" s="195">
        <v>0.0</v>
      </c>
      <c r="L72" s="195">
        <v>0.0</v>
      </c>
      <c r="M72" s="195">
        <v>0.0</v>
      </c>
      <c r="N72" s="195">
        <v>0.0</v>
      </c>
      <c r="O72" s="195">
        <v>0.0</v>
      </c>
      <c r="P72" s="195">
        <v>0.0</v>
      </c>
      <c r="Q72" s="195">
        <v>0.0</v>
      </c>
      <c r="R72" s="195">
        <v>0.0</v>
      </c>
      <c r="S72" s="195">
        <v>0.0</v>
      </c>
      <c r="T72" s="195">
        <v>0.0</v>
      </c>
      <c r="U72" s="195">
        <v>0.0</v>
      </c>
      <c r="V72" s="195">
        <v>0.0</v>
      </c>
      <c r="W72" s="195">
        <v>0.0</v>
      </c>
    </row>
    <row r="73" ht="15.75" customHeight="1">
      <c r="A73" s="195">
        <f t="shared" si="1"/>
        <v>47</v>
      </c>
      <c r="B73" s="100"/>
      <c r="C73" s="195">
        <v>0.0</v>
      </c>
      <c r="D73" s="195">
        <v>0.0</v>
      </c>
      <c r="E73" s="195">
        <v>0.0</v>
      </c>
      <c r="F73" s="195">
        <v>0.0</v>
      </c>
      <c r="G73" s="195">
        <v>0.0</v>
      </c>
      <c r="H73" s="195">
        <v>0.0</v>
      </c>
      <c r="I73" s="195">
        <v>0.0</v>
      </c>
      <c r="J73" s="195">
        <v>0.0</v>
      </c>
      <c r="K73" s="195">
        <v>0.0</v>
      </c>
      <c r="L73" s="195">
        <v>0.0</v>
      </c>
      <c r="M73" s="195">
        <v>0.0</v>
      </c>
      <c r="N73" s="195">
        <v>0.0</v>
      </c>
      <c r="O73" s="195">
        <v>0.0</v>
      </c>
      <c r="P73" s="195">
        <v>0.0</v>
      </c>
      <c r="Q73" s="195">
        <v>0.0</v>
      </c>
      <c r="R73" s="195">
        <v>0.0</v>
      </c>
      <c r="S73" s="195">
        <v>0.0</v>
      </c>
      <c r="T73" s="195">
        <v>0.0</v>
      </c>
      <c r="U73" s="195">
        <v>0.0</v>
      </c>
      <c r="V73" s="195">
        <v>0.0</v>
      </c>
      <c r="W73" s="195">
        <v>0.0</v>
      </c>
    </row>
    <row r="74" ht="15.75" customHeight="1">
      <c r="A74" s="195">
        <f t="shared" si="1"/>
        <v>48</v>
      </c>
      <c r="B74" s="100"/>
      <c r="C74" s="195">
        <v>0.0</v>
      </c>
      <c r="D74" s="195">
        <v>0.0</v>
      </c>
      <c r="E74" s="195">
        <v>0.0</v>
      </c>
      <c r="F74" s="195">
        <v>0.0</v>
      </c>
      <c r="G74" s="195">
        <v>0.0</v>
      </c>
      <c r="H74" s="195">
        <v>0.0</v>
      </c>
      <c r="I74" s="195">
        <v>0.0</v>
      </c>
      <c r="J74" s="195">
        <v>0.0</v>
      </c>
      <c r="K74" s="195">
        <v>0.0</v>
      </c>
      <c r="L74" s="195">
        <v>0.0</v>
      </c>
      <c r="M74" s="195">
        <v>0.0</v>
      </c>
      <c r="N74" s="195">
        <v>0.0</v>
      </c>
      <c r="O74" s="195">
        <v>0.0</v>
      </c>
      <c r="P74" s="195">
        <v>0.0</v>
      </c>
      <c r="Q74" s="195">
        <v>0.0</v>
      </c>
      <c r="R74" s="195">
        <v>0.0</v>
      </c>
      <c r="S74" s="195">
        <v>0.0</v>
      </c>
      <c r="T74" s="195">
        <v>0.0</v>
      </c>
      <c r="U74" s="195">
        <v>0.0</v>
      </c>
      <c r="V74" s="195">
        <v>0.0</v>
      </c>
      <c r="W74" s="195">
        <v>0.0</v>
      </c>
    </row>
    <row r="75" ht="15.75" customHeight="1">
      <c r="A75" s="195">
        <f t="shared" si="1"/>
        <v>49</v>
      </c>
      <c r="B75" s="100"/>
      <c r="C75" s="195">
        <v>0.0</v>
      </c>
      <c r="D75" s="195">
        <v>0.0</v>
      </c>
      <c r="E75" s="195">
        <v>0.0</v>
      </c>
      <c r="F75" s="195">
        <v>0.0</v>
      </c>
      <c r="G75" s="195">
        <v>0.0</v>
      </c>
      <c r="H75" s="195">
        <v>0.0</v>
      </c>
      <c r="I75" s="195">
        <v>0.0</v>
      </c>
      <c r="J75" s="195">
        <v>0.0</v>
      </c>
      <c r="K75" s="195">
        <v>0.0</v>
      </c>
      <c r="L75" s="195">
        <v>0.0</v>
      </c>
      <c r="M75" s="195">
        <v>0.0</v>
      </c>
      <c r="N75" s="195">
        <v>0.0</v>
      </c>
      <c r="O75" s="195">
        <v>0.0</v>
      </c>
      <c r="P75" s="195">
        <v>0.0</v>
      </c>
      <c r="Q75" s="195">
        <v>0.0</v>
      </c>
      <c r="R75" s="195">
        <v>0.0</v>
      </c>
      <c r="S75" s="195">
        <v>0.0</v>
      </c>
      <c r="T75" s="195">
        <v>0.0</v>
      </c>
      <c r="U75" s="195">
        <v>0.0</v>
      </c>
      <c r="V75" s="195">
        <v>0.0</v>
      </c>
      <c r="W75" s="195">
        <v>0.0</v>
      </c>
    </row>
    <row r="76" ht="15.75" customHeight="1">
      <c r="A76" s="195">
        <f t="shared" si="1"/>
        <v>50</v>
      </c>
      <c r="B76" s="100"/>
      <c r="C76" s="195">
        <v>0.0</v>
      </c>
      <c r="D76" s="195">
        <v>0.0</v>
      </c>
      <c r="E76" s="195">
        <v>0.0</v>
      </c>
      <c r="F76" s="195">
        <v>0.0</v>
      </c>
      <c r="G76" s="195">
        <v>0.0</v>
      </c>
      <c r="H76" s="195">
        <v>0.0</v>
      </c>
      <c r="I76" s="195">
        <v>0.0</v>
      </c>
      <c r="J76" s="195">
        <v>0.0</v>
      </c>
      <c r="K76" s="195">
        <v>0.0</v>
      </c>
      <c r="L76" s="195">
        <v>0.0</v>
      </c>
      <c r="M76" s="195">
        <v>0.0</v>
      </c>
      <c r="N76" s="195">
        <v>0.0</v>
      </c>
      <c r="O76" s="195">
        <v>0.0</v>
      </c>
      <c r="P76" s="195">
        <v>0.0</v>
      </c>
      <c r="Q76" s="195">
        <v>0.0</v>
      </c>
      <c r="R76" s="195">
        <v>0.0</v>
      </c>
      <c r="S76" s="195">
        <v>0.0</v>
      </c>
      <c r="T76" s="195">
        <v>0.0</v>
      </c>
      <c r="U76" s="195">
        <v>0.0</v>
      </c>
      <c r="V76" s="195">
        <v>0.0</v>
      </c>
      <c r="W76" s="195">
        <v>0.0</v>
      </c>
    </row>
    <row r="77" ht="15.75" customHeight="1">
      <c r="A77" s="195">
        <f t="shared" si="1"/>
        <v>51</v>
      </c>
      <c r="B77" s="100"/>
      <c r="C77" s="195">
        <v>0.0</v>
      </c>
      <c r="D77" s="195">
        <v>0.0</v>
      </c>
      <c r="E77" s="195">
        <v>0.0</v>
      </c>
      <c r="F77" s="195">
        <v>0.0</v>
      </c>
      <c r="G77" s="195">
        <v>0.0</v>
      </c>
      <c r="H77" s="195">
        <v>0.0</v>
      </c>
      <c r="I77" s="195">
        <v>0.0</v>
      </c>
      <c r="J77" s="195">
        <v>0.0</v>
      </c>
      <c r="K77" s="195">
        <v>0.0</v>
      </c>
      <c r="L77" s="195">
        <v>0.0</v>
      </c>
      <c r="M77" s="195">
        <v>0.0</v>
      </c>
      <c r="N77" s="195">
        <v>0.0</v>
      </c>
      <c r="O77" s="195">
        <v>0.0</v>
      </c>
      <c r="P77" s="195">
        <v>0.0</v>
      </c>
      <c r="Q77" s="195">
        <v>0.0</v>
      </c>
      <c r="R77" s="195">
        <v>0.0</v>
      </c>
      <c r="S77" s="195">
        <v>0.0</v>
      </c>
      <c r="T77" s="195">
        <v>0.0</v>
      </c>
      <c r="U77" s="195">
        <v>0.0</v>
      </c>
      <c r="V77" s="195">
        <v>0.0</v>
      </c>
      <c r="W77" s="195">
        <v>0.0</v>
      </c>
    </row>
    <row r="78" ht="15.75" customHeight="1">
      <c r="A78" s="195">
        <f t="shared" si="1"/>
        <v>52</v>
      </c>
      <c r="B78" s="100"/>
      <c r="C78" s="195">
        <v>0.0</v>
      </c>
      <c r="D78" s="195">
        <v>0.0</v>
      </c>
      <c r="E78" s="195">
        <v>0.0</v>
      </c>
      <c r="F78" s="195">
        <v>0.0</v>
      </c>
      <c r="G78" s="195">
        <v>0.0</v>
      </c>
      <c r="H78" s="195">
        <v>0.0</v>
      </c>
      <c r="I78" s="195">
        <v>0.0</v>
      </c>
      <c r="J78" s="195">
        <v>0.0</v>
      </c>
      <c r="K78" s="195">
        <v>0.0</v>
      </c>
      <c r="L78" s="195">
        <v>0.0</v>
      </c>
      <c r="M78" s="195">
        <v>0.0</v>
      </c>
      <c r="N78" s="195">
        <v>0.0</v>
      </c>
      <c r="O78" s="195">
        <v>0.0</v>
      </c>
      <c r="P78" s="195">
        <v>0.0</v>
      </c>
      <c r="Q78" s="195">
        <v>0.0</v>
      </c>
      <c r="R78" s="195">
        <v>0.0</v>
      </c>
      <c r="S78" s="195">
        <v>0.0</v>
      </c>
      <c r="T78" s="195">
        <v>0.0</v>
      </c>
      <c r="U78" s="195">
        <v>0.0</v>
      </c>
      <c r="V78" s="195">
        <v>0.0</v>
      </c>
      <c r="W78" s="195">
        <v>0.0</v>
      </c>
    </row>
    <row r="79" ht="15.75" customHeight="1">
      <c r="A79" s="195">
        <f t="shared" si="1"/>
        <v>53</v>
      </c>
      <c r="B79" s="100"/>
      <c r="C79" s="195">
        <v>0.0</v>
      </c>
      <c r="D79" s="195">
        <v>0.0</v>
      </c>
      <c r="E79" s="195">
        <v>0.0</v>
      </c>
      <c r="F79" s="195">
        <v>0.0</v>
      </c>
      <c r="G79" s="195">
        <v>0.0</v>
      </c>
      <c r="H79" s="195">
        <v>0.0</v>
      </c>
      <c r="I79" s="195">
        <v>0.0</v>
      </c>
      <c r="J79" s="195">
        <v>0.0</v>
      </c>
      <c r="K79" s="195">
        <v>0.0</v>
      </c>
      <c r="L79" s="195">
        <v>0.0</v>
      </c>
      <c r="M79" s="195">
        <v>0.0</v>
      </c>
      <c r="N79" s="195">
        <v>0.0</v>
      </c>
      <c r="O79" s="195">
        <v>0.0</v>
      </c>
      <c r="P79" s="195">
        <v>0.0</v>
      </c>
      <c r="Q79" s="195">
        <v>0.0</v>
      </c>
      <c r="R79" s="195">
        <v>0.0</v>
      </c>
      <c r="S79" s="195">
        <v>0.0</v>
      </c>
      <c r="T79" s="195">
        <v>0.0</v>
      </c>
      <c r="U79" s="195">
        <v>0.0</v>
      </c>
      <c r="V79" s="195">
        <v>0.0</v>
      </c>
      <c r="W79" s="195">
        <v>0.0</v>
      </c>
    </row>
    <row r="80" ht="15.75" customHeight="1">
      <c r="A80" s="195">
        <f t="shared" si="1"/>
        <v>54</v>
      </c>
      <c r="B80" s="100"/>
      <c r="C80" s="195">
        <v>0.0</v>
      </c>
      <c r="D80" s="195">
        <v>0.0</v>
      </c>
      <c r="E80" s="195">
        <v>0.0</v>
      </c>
      <c r="F80" s="195">
        <v>0.0</v>
      </c>
      <c r="G80" s="195">
        <v>0.0</v>
      </c>
      <c r="H80" s="195">
        <v>0.0</v>
      </c>
      <c r="I80" s="195">
        <v>0.0</v>
      </c>
      <c r="J80" s="195">
        <v>0.0</v>
      </c>
      <c r="K80" s="195">
        <v>0.0</v>
      </c>
      <c r="L80" s="195">
        <v>0.0</v>
      </c>
      <c r="M80" s="195">
        <v>0.0</v>
      </c>
      <c r="N80" s="195">
        <v>0.0</v>
      </c>
      <c r="O80" s="195">
        <v>0.0</v>
      </c>
      <c r="P80" s="195">
        <v>0.0</v>
      </c>
      <c r="Q80" s="195">
        <v>0.0</v>
      </c>
      <c r="R80" s="195">
        <v>0.0</v>
      </c>
      <c r="S80" s="195">
        <v>0.0</v>
      </c>
      <c r="T80" s="195">
        <v>0.0</v>
      </c>
      <c r="U80" s="195">
        <v>0.0</v>
      </c>
      <c r="V80" s="195">
        <v>0.0</v>
      </c>
      <c r="W80" s="195">
        <v>0.0</v>
      </c>
    </row>
    <row r="81" ht="15.75" customHeight="1">
      <c r="A81" s="195">
        <f t="shared" si="1"/>
        <v>55</v>
      </c>
      <c r="B81" s="100"/>
      <c r="C81" s="195">
        <v>0.0</v>
      </c>
      <c r="D81" s="195">
        <v>0.0</v>
      </c>
      <c r="E81" s="195">
        <v>0.0</v>
      </c>
      <c r="F81" s="195">
        <v>0.0</v>
      </c>
      <c r="G81" s="195">
        <v>0.0</v>
      </c>
      <c r="H81" s="195">
        <v>0.0</v>
      </c>
      <c r="I81" s="195">
        <v>0.0</v>
      </c>
      <c r="J81" s="195">
        <v>0.0</v>
      </c>
      <c r="K81" s="195">
        <v>0.0</v>
      </c>
      <c r="L81" s="195">
        <v>0.0</v>
      </c>
      <c r="M81" s="195">
        <v>0.0</v>
      </c>
      <c r="N81" s="195">
        <v>0.0</v>
      </c>
      <c r="O81" s="195">
        <v>0.0</v>
      </c>
      <c r="P81" s="195">
        <v>0.0</v>
      </c>
      <c r="Q81" s="195">
        <v>0.0</v>
      </c>
      <c r="R81" s="195">
        <v>0.0</v>
      </c>
      <c r="S81" s="195">
        <v>0.0</v>
      </c>
      <c r="T81" s="195">
        <v>0.0</v>
      </c>
      <c r="U81" s="195">
        <v>0.0</v>
      </c>
      <c r="V81" s="195">
        <v>0.0</v>
      </c>
      <c r="W81" s="195">
        <v>0.0</v>
      </c>
    </row>
    <row r="82" ht="15.75" customHeight="1">
      <c r="A82" s="195">
        <f t="shared" si="1"/>
        <v>56</v>
      </c>
      <c r="B82" s="100"/>
      <c r="C82" s="195">
        <v>0.0</v>
      </c>
      <c r="D82" s="195">
        <v>0.0</v>
      </c>
      <c r="E82" s="195">
        <v>0.0</v>
      </c>
      <c r="F82" s="195">
        <v>0.0</v>
      </c>
      <c r="G82" s="195">
        <v>0.0</v>
      </c>
      <c r="H82" s="195">
        <v>0.0</v>
      </c>
      <c r="I82" s="195">
        <v>0.0</v>
      </c>
      <c r="J82" s="195">
        <v>0.0</v>
      </c>
      <c r="K82" s="195">
        <v>0.0</v>
      </c>
      <c r="L82" s="195">
        <v>0.0</v>
      </c>
      <c r="M82" s="195">
        <v>0.0</v>
      </c>
      <c r="N82" s="195">
        <v>0.0</v>
      </c>
      <c r="O82" s="195">
        <v>0.0</v>
      </c>
      <c r="P82" s="195">
        <v>0.0</v>
      </c>
      <c r="Q82" s="195">
        <v>0.0</v>
      </c>
      <c r="R82" s="195">
        <v>0.0</v>
      </c>
      <c r="S82" s="195">
        <v>0.0</v>
      </c>
      <c r="T82" s="195">
        <v>0.0</v>
      </c>
      <c r="U82" s="195">
        <v>0.0</v>
      </c>
      <c r="V82" s="195">
        <v>0.0</v>
      </c>
      <c r="W82" s="195">
        <v>0.0</v>
      </c>
    </row>
    <row r="83" ht="15.75" customHeight="1">
      <c r="A83" s="195">
        <f t="shared" si="1"/>
        <v>57</v>
      </c>
      <c r="B83" s="100"/>
      <c r="C83" s="195">
        <v>0.0</v>
      </c>
      <c r="D83" s="195">
        <v>0.0</v>
      </c>
      <c r="E83" s="195">
        <v>0.0</v>
      </c>
      <c r="F83" s="195">
        <v>0.0</v>
      </c>
      <c r="G83" s="195">
        <v>0.0</v>
      </c>
      <c r="H83" s="195">
        <v>0.0</v>
      </c>
      <c r="I83" s="195">
        <v>0.0</v>
      </c>
      <c r="J83" s="195">
        <v>0.0</v>
      </c>
      <c r="K83" s="195">
        <v>0.0</v>
      </c>
      <c r="L83" s="195">
        <v>0.0</v>
      </c>
      <c r="M83" s="195">
        <v>0.0</v>
      </c>
      <c r="N83" s="195">
        <v>0.0</v>
      </c>
      <c r="O83" s="195">
        <v>0.0</v>
      </c>
      <c r="P83" s="195">
        <v>0.0</v>
      </c>
      <c r="Q83" s="195">
        <v>0.0</v>
      </c>
      <c r="R83" s="195">
        <v>0.0</v>
      </c>
      <c r="S83" s="195">
        <v>0.0</v>
      </c>
      <c r="T83" s="195">
        <v>0.0</v>
      </c>
      <c r="U83" s="195">
        <v>0.0</v>
      </c>
      <c r="V83" s="195">
        <v>0.0</v>
      </c>
      <c r="W83" s="195">
        <v>0.0</v>
      </c>
    </row>
    <row r="84" ht="15.75" customHeight="1">
      <c r="A84" s="195">
        <f t="shared" si="1"/>
        <v>58</v>
      </c>
      <c r="B84" s="100"/>
      <c r="C84" s="195">
        <v>0.0</v>
      </c>
      <c r="D84" s="195">
        <v>0.0</v>
      </c>
      <c r="E84" s="195">
        <v>0.0</v>
      </c>
      <c r="F84" s="195">
        <v>0.0</v>
      </c>
      <c r="G84" s="195">
        <v>0.0</v>
      </c>
      <c r="H84" s="195">
        <v>0.0</v>
      </c>
      <c r="I84" s="195">
        <v>0.0</v>
      </c>
      <c r="J84" s="195">
        <v>0.0</v>
      </c>
      <c r="K84" s="195">
        <v>0.0</v>
      </c>
      <c r="L84" s="195">
        <v>0.0</v>
      </c>
      <c r="M84" s="195">
        <v>0.0</v>
      </c>
      <c r="N84" s="195">
        <v>0.0</v>
      </c>
      <c r="O84" s="195">
        <v>0.0</v>
      </c>
      <c r="P84" s="195">
        <v>0.0</v>
      </c>
      <c r="Q84" s="195">
        <v>0.0</v>
      </c>
      <c r="R84" s="195">
        <v>0.0</v>
      </c>
      <c r="S84" s="195">
        <v>0.0</v>
      </c>
      <c r="T84" s="195">
        <v>0.0</v>
      </c>
      <c r="U84" s="195">
        <v>0.0</v>
      </c>
      <c r="V84" s="195">
        <v>0.0</v>
      </c>
      <c r="W84" s="195">
        <v>0.0</v>
      </c>
    </row>
    <row r="85" ht="15.75" customHeight="1">
      <c r="A85" s="195">
        <f t="shared" si="1"/>
        <v>59</v>
      </c>
      <c r="B85" s="100"/>
      <c r="C85" s="195">
        <v>0.0</v>
      </c>
      <c r="D85" s="195">
        <v>0.0</v>
      </c>
      <c r="E85" s="195">
        <v>0.0</v>
      </c>
      <c r="F85" s="195">
        <v>0.0</v>
      </c>
      <c r="G85" s="195">
        <v>0.0</v>
      </c>
      <c r="H85" s="195">
        <v>0.0</v>
      </c>
      <c r="I85" s="195">
        <v>0.0</v>
      </c>
      <c r="J85" s="195">
        <v>0.0</v>
      </c>
      <c r="K85" s="195">
        <v>0.0</v>
      </c>
      <c r="L85" s="195">
        <v>0.0</v>
      </c>
      <c r="M85" s="195">
        <v>0.0</v>
      </c>
      <c r="N85" s="195">
        <v>0.0</v>
      </c>
      <c r="O85" s="195">
        <v>0.0</v>
      </c>
      <c r="P85" s="195">
        <v>0.0</v>
      </c>
      <c r="Q85" s="195">
        <v>0.0</v>
      </c>
      <c r="R85" s="195">
        <v>0.0</v>
      </c>
      <c r="S85" s="195">
        <v>0.0</v>
      </c>
      <c r="T85" s="195">
        <v>0.0</v>
      </c>
      <c r="U85" s="195">
        <v>0.0</v>
      </c>
      <c r="V85" s="195">
        <v>0.0</v>
      </c>
      <c r="W85" s="195">
        <v>0.0</v>
      </c>
    </row>
    <row r="86" ht="15.75" customHeight="1">
      <c r="A86" s="195">
        <f t="shared" si="1"/>
        <v>60</v>
      </c>
      <c r="B86" s="100"/>
      <c r="C86" s="195">
        <v>0.0</v>
      </c>
      <c r="D86" s="195">
        <v>0.0</v>
      </c>
      <c r="E86" s="195">
        <v>0.0</v>
      </c>
      <c r="F86" s="195">
        <v>0.0</v>
      </c>
      <c r="G86" s="195">
        <v>0.0</v>
      </c>
      <c r="H86" s="195">
        <v>0.0</v>
      </c>
      <c r="I86" s="195">
        <v>0.0</v>
      </c>
      <c r="J86" s="195">
        <v>0.0</v>
      </c>
      <c r="K86" s="195">
        <v>0.0</v>
      </c>
      <c r="L86" s="195">
        <v>0.0</v>
      </c>
      <c r="M86" s="195">
        <v>0.0</v>
      </c>
      <c r="N86" s="195">
        <v>0.0</v>
      </c>
      <c r="O86" s="195">
        <v>0.0</v>
      </c>
      <c r="P86" s="195">
        <v>0.0</v>
      </c>
      <c r="Q86" s="195">
        <v>0.0</v>
      </c>
      <c r="R86" s="195">
        <v>0.0</v>
      </c>
      <c r="S86" s="195">
        <v>0.0</v>
      </c>
      <c r="T86" s="195">
        <v>0.0</v>
      </c>
      <c r="U86" s="195">
        <v>0.0</v>
      </c>
      <c r="V86" s="195">
        <v>0.0</v>
      </c>
      <c r="W86" s="195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5" priority="1" stopIfTrue="1" operator="greaterThan">
      <formula>0</formula>
    </cfRule>
  </conditionalFormatting>
  <conditionalFormatting sqref="B27:W86">
    <cfRule type="cellIs" dxfId="5" priority="2" stopIfTrue="1" operator="greaterThan">
      <formula>0</formula>
    </cfRule>
  </conditionalFormatting>
  <conditionalFormatting sqref="A27:W86">
    <cfRule type="expression" dxfId="6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79" t="s">
        <v>217</v>
      </c>
      <c r="G1" s="201"/>
    </row>
    <row r="2" ht="19.5" customHeight="1">
      <c r="A2" s="112" t="s">
        <v>114</v>
      </c>
      <c r="B2" s="112"/>
      <c r="C2" s="112"/>
      <c r="D2" s="112"/>
      <c r="E2" s="112"/>
      <c r="F2" s="112"/>
      <c r="G2" s="20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</row>
    <row r="3">
      <c r="A3" s="145" t="s">
        <v>218</v>
      </c>
      <c r="B3" s="146">
        <v>5.0</v>
      </c>
      <c r="G3" s="201"/>
    </row>
    <row r="4">
      <c r="A4" s="145" t="s">
        <v>219</v>
      </c>
      <c r="B4" s="146">
        <v>3.0</v>
      </c>
      <c r="G4" s="201"/>
    </row>
    <row r="5">
      <c r="A5" s="145" t="s">
        <v>220</v>
      </c>
      <c r="B5" s="146">
        <v>1.0</v>
      </c>
      <c r="G5" s="201"/>
    </row>
    <row r="6">
      <c r="G6" s="201"/>
    </row>
    <row r="7" ht="19.5" customHeight="1">
      <c r="A7" s="203" t="s">
        <v>116</v>
      </c>
      <c r="B7" s="203"/>
      <c r="C7" s="203"/>
      <c r="D7" s="203"/>
      <c r="E7" s="203"/>
      <c r="F7" s="203"/>
      <c r="G7" s="204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  <c r="AC7" s="203"/>
    </row>
    <row r="8" ht="17.25" customHeight="1">
      <c r="A8" s="205" t="s">
        <v>56</v>
      </c>
      <c r="B8" s="206"/>
      <c r="C8" s="206"/>
      <c r="D8" s="206"/>
      <c r="E8" s="206"/>
      <c r="F8" s="206"/>
      <c r="G8" s="207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</row>
    <row r="9" ht="90.0" customHeight="1">
      <c r="A9" s="208" t="s">
        <v>143</v>
      </c>
      <c r="B9" s="208" t="s">
        <v>157</v>
      </c>
      <c r="C9" s="208" t="s">
        <v>221</v>
      </c>
      <c r="D9" s="209" t="s">
        <v>222</v>
      </c>
      <c r="E9" s="209" t="s">
        <v>223</v>
      </c>
      <c r="F9" s="208" t="s">
        <v>64</v>
      </c>
      <c r="G9" s="210" t="s">
        <v>224</v>
      </c>
      <c r="I9" s="211" t="s">
        <v>68</v>
      </c>
      <c r="J9" s="211" t="s">
        <v>69</v>
      </c>
      <c r="K9" s="211" t="s">
        <v>70</v>
      </c>
      <c r="L9" s="211" t="s">
        <v>71</v>
      </c>
      <c r="M9" s="211" t="s">
        <v>72</v>
      </c>
      <c r="N9" s="211" t="s">
        <v>73</v>
      </c>
      <c r="O9" s="211" t="s">
        <v>74</v>
      </c>
      <c r="P9" s="211" t="s">
        <v>75</v>
      </c>
      <c r="Q9" s="211" t="s">
        <v>76</v>
      </c>
      <c r="R9" s="211" t="s">
        <v>77</v>
      </c>
      <c r="S9" s="211" t="s">
        <v>78</v>
      </c>
      <c r="T9" s="212" t="s">
        <v>103</v>
      </c>
      <c r="U9" s="212" t="s">
        <v>118</v>
      </c>
      <c r="V9" s="212" t="s">
        <v>104</v>
      </c>
      <c r="W9" s="212" t="s">
        <v>105</v>
      </c>
      <c r="X9" s="212" t="s">
        <v>106</v>
      </c>
      <c r="Y9" s="212" t="s">
        <v>107</v>
      </c>
      <c r="Z9" s="212" t="s">
        <v>108</v>
      </c>
      <c r="AA9" s="212" t="s">
        <v>109</v>
      </c>
      <c r="AB9" s="212" t="s">
        <v>110</v>
      </c>
      <c r="AC9" s="208" t="s">
        <v>225</v>
      </c>
    </row>
    <row r="10">
      <c r="A10" s="121">
        <v>1.0</v>
      </c>
      <c r="B10" s="121">
        <v>1.0</v>
      </c>
      <c r="C10" s="121" t="s">
        <v>226</v>
      </c>
      <c r="D10" s="169">
        <v>2.0</v>
      </c>
      <c r="E10" s="169">
        <v>2.0</v>
      </c>
      <c r="F10" s="169">
        <v>0.0</v>
      </c>
      <c r="G10" s="213">
        <f t="shared" ref="G10:G12" si="1">IF(D10=0,0,F10/D10)</f>
        <v>0</v>
      </c>
      <c r="I10" s="169">
        <v>0.0</v>
      </c>
      <c r="J10" s="169">
        <v>0.0</v>
      </c>
      <c r="K10" s="169">
        <v>0.0</v>
      </c>
      <c r="L10" s="169">
        <v>0.0</v>
      </c>
      <c r="M10" s="169">
        <v>0.0</v>
      </c>
      <c r="N10" s="169">
        <v>0.0</v>
      </c>
      <c r="O10" s="169">
        <v>0.0</v>
      </c>
      <c r="P10" s="169">
        <v>20.0</v>
      </c>
      <c r="Q10" s="169">
        <v>0.0</v>
      </c>
      <c r="R10" s="169">
        <v>0.0</v>
      </c>
      <c r="S10" s="169">
        <v>0.0</v>
      </c>
      <c r="T10" s="121">
        <v>0.0</v>
      </c>
      <c r="U10" s="121">
        <v>0.0</v>
      </c>
      <c r="V10" s="121">
        <v>0.0</v>
      </c>
      <c r="W10" s="121">
        <v>0.0</v>
      </c>
      <c r="X10" s="121">
        <v>0.0</v>
      </c>
      <c r="Y10" s="121">
        <v>0.0</v>
      </c>
      <c r="Z10" s="121">
        <v>0.0</v>
      </c>
      <c r="AA10" s="121">
        <v>0.0</v>
      </c>
      <c r="AB10" s="121">
        <v>0.0</v>
      </c>
      <c r="AC10" s="121">
        <f t="shared" ref="AC10:AC12" si="2">SUMPRODUCT(I10:S10, {0,33,50,67,167,67,50,4.17,7.56,12.17,16.22})</f>
        <v>83.4</v>
      </c>
    </row>
    <row r="11">
      <c r="A11" s="121">
        <v>2.0</v>
      </c>
      <c r="B11" s="121">
        <v>1.0</v>
      </c>
      <c r="C11" s="121" t="s">
        <v>226</v>
      </c>
      <c r="D11" s="169">
        <v>3.0</v>
      </c>
      <c r="E11" s="169">
        <v>5.0</v>
      </c>
      <c r="F11" s="169">
        <v>10.0</v>
      </c>
      <c r="G11" s="213">
        <f t="shared" si="1"/>
        <v>3.333333333</v>
      </c>
      <c r="H11" s="190"/>
      <c r="I11" s="169">
        <v>0.0</v>
      </c>
      <c r="J11" s="169">
        <v>1.0</v>
      </c>
      <c r="K11" s="169">
        <v>0.0</v>
      </c>
      <c r="L11" s="169">
        <v>0.0</v>
      </c>
      <c r="M11" s="169">
        <v>0.0</v>
      </c>
      <c r="N11" s="169">
        <v>0.0</v>
      </c>
      <c r="O11" s="169">
        <v>0.0</v>
      </c>
      <c r="P11" s="169">
        <v>0.0</v>
      </c>
      <c r="Q11" s="169">
        <v>0.0</v>
      </c>
      <c r="R11" s="169">
        <v>0.0</v>
      </c>
      <c r="S11" s="169">
        <v>0.0</v>
      </c>
      <c r="T11" s="121">
        <v>0.0</v>
      </c>
      <c r="U11" s="121">
        <v>0.0</v>
      </c>
      <c r="V11" s="121">
        <v>0.0</v>
      </c>
      <c r="W11" s="121">
        <v>0.0</v>
      </c>
      <c r="X11" s="121">
        <v>0.0</v>
      </c>
      <c r="Y11" s="121">
        <v>0.0</v>
      </c>
      <c r="Z11" s="121">
        <v>0.0</v>
      </c>
      <c r="AA11" s="121">
        <v>0.0</v>
      </c>
      <c r="AB11" s="121">
        <v>0.0</v>
      </c>
      <c r="AC11" s="121">
        <f t="shared" si="2"/>
        <v>33</v>
      </c>
    </row>
    <row r="12">
      <c r="A12" s="121">
        <v>3.0</v>
      </c>
      <c r="B12" s="121">
        <v>1.0</v>
      </c>
      <c r="C12" s="121" t="s">
        <v>226</v>
      </c>
      <c r="D12" s="169">
        <v>5.0</v>
      </c>
      <c r="E12" s="169">
        <v>10.0</v>
      </c>
      <c r="F12" s="169">
        <v>15.0</v>
      </c>
      <c r="G12" s="213">
        <f t="shared" si="1"/>
        <v>3</v>
      </c>
      <c r="I12" s="169">
        <v>0.0</v>
      </c>
      <c r="J12" s="169">
        <v>0.0</v>
      </c>
      <c r="K12" s="169">
        <v>1.0</v>
      </c>
      <c r="L12" s="169">
        <v>0.0</v>
      </c>
      <c r="M12" s="169">
        <v>1.0</v>
      </c>
      <c r="N12" s="169">
        <v>0.0</v>
      </c>
      <c r="O12" s="169">
        <v>0.0</v>
      </c>
      <c r="P12" s="169">
        <v>0.0</v>
      </c>
      <c r="Q12" s="169">
        <v>0.0</v>
      </c>
      <c r="R12" s="169">
        <v>0.0</v>
      </c>
      <c r="S12" s="169">
        <v>0.0</v>
      </c>
      <c r="T12" s="121">
        <v>0.0</v>
      </c>
      <c r="U12" s="121">
        <v>0.0</v>
      </c>
      <c r="V12" s="121">
        <v>0.0</v>
      </c>
      <c r="W12" s="121">
        <v>0.0</v>
      </c>
      <c r="X12" s="121">
        <v>0.0</v>
      </c>
      <c r="Y12" s="121">
        <v>0.0</v>
      </c>
      <c r="Z12" s="121">
        <v>0.0</v>
      </c>
      <c r="AA12" s="121">
        <v>0.0</v>
      </c>
      <c r="AB12" s="121">
        <v>0.0</v>
      </c>
      <c r="AC12" s="121">
        <f t="shared" si="2"/>
        <v>217</v>
      </c>
    </row>
    <row r="13">
      <c r="G13" s="201"/>
    </row>
    <row r="14" ht="17.25" customHeight="1">
      <c r="A14" s="205" t="s">
        <v>57</v>
      </c>
      <c r="B14" s="206"/>
      <c r="C14" s="206"/>
      <c r="D14" s="206"/>
      <c r="E14" s="206"/>
      <c r="F14" s="206"/>
      <c r="G14" s="207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</row>
    <row r="15" ht="90.0" customHeight="1">
      <c r="A15" s="116" t="s">
        <v>143</v>
      </c>
      <c r="B15" s="116" t="s">
        <v>157</v>
      </c>
      <c r="C15" s="116" t="s">
        <v>221</v>
      </c>
      <c r="D15" s="214" t="s">
        <v>222</v>
      </c>
      <c r="E15" s="214" t="s">
        <v>223</v>
      </c>
      <c r="F15" s="116" t="s">
        <v>64</v>
      </c>
      <c r="G15" s="215" t="s">
        <v>224</v>
      </c>
      <c r="I15" s="136" t="s">
        <v>68</v>
      </c>
      <c r="J15" s="136" t="s">
        <v>69</v>
      </c>
      <c r="K15" s="136" t="s">
        <v>70</v>
      </c>
      <c r="L15" s="136" t="s">
        <v>71</v>
      </c>
      <c r="M15" s="136" t="s">
        <v>72</v>
      </c>
      <c r="N15" s="136" t="s">
        <v>73</v>
      </c>
      <c r="O15" s="136" t="s">
        <v>74</v>
      </c>
      <c r="P15" s="136" t="s">
        <v>75</v>
      </c>
      <c r="Q15" s="136" t="s">
        <v>76</v>
      </c>
      <c r="R15" s="136" t="s">
        <v>77</v>
      </c>
      <c r="S15" s="136" t="s">
        <v>78</v>
      </c>
      <c r="T15" s="119" t="s">
        <v>103</v>
      </c>
      <c r="U15" s="119" t="s">
        <v>118</v>
      </c>
      <c r="V15" s="119" t="s">
        <v>104</v>
      </c>
      <c r="W15" s="119" t="s">
        <v>105</v>
      </c>
      <c r="X15" s="119" t="s">
        <v>106</v>
      </c>
      <c r="Y15" s="119" t="s">
        <v>107</v>
      </c>
      <c r="Z15" s="119" t="s">
        <v>108</v>
      </c>
      <c r="AA15" s="119" t="s">
        <v>109</v>
      </c>
      <c r="AB15" s="119" t="s">
        <v>110</v>
      </c>
      <c r="AC15" s="116" t="s">
        <v>225</v>
      </c>
    </row>
    <row r="16">
      <c r="A16" s="121">
        <v>1.0</v>
      </c>
      <c r="B16" s="121">
        <v>1.0</v>
      </c>
      <c r="C16" s="121" t="s">
        <v>226</v>
      </c>
      <c r="D16" s="169">
        <v>6.0</v>
      </c>
      <c r="E16" s="169">
        <v>6.0</v>
      </c>
      <c r="F16" s="169">
        <v>10.0</v>
      </c>
      <c r="G16" s="213">
        <f t="shared" ref="G16:G18" si="3">IF(D16=0,0,F16/D16)</f>
        <v>1.666666667</v>
      </c>
      <c r="I16" s="169">
        <v>0.0</v>
      </c>
      <c r="J16" s="169">
        <v>0.0</v>
      </c>
      <c r="K16" s="169">
        <v>0.0</v>
      </c>
      <c r="L16" s="169">
        <v>0.0</v>
      </c>
      <c r="M16" s="169">
        <v>0.0</v>
      </c>
      <c r="N16" s="169">
        <v>0.0</v>
      </c>
      <c r="O16" s="169">
        <v>0.0</v>
      </c>
      <c r="P16" s="169">
        <v>20.0</v>
      </c>
      <c r="Q16" s="169">
        <v>0.0</v>
      </c>
      <c r="R16" s="169">
        <v>0.0</v>
      </c>
      <c r="S16" s="169">
        <v>0.0</v>
      </c>
      <c r="T16" s="121">
        <v>0.0</v>
      </c>
      <c r="U16" s="121">
        <v>0.0</v>
      </c>
      <c r="V16" s="121">
        <v>0.0</v>
      </c>
      <c r="W16" s="121">
        <v>0.0</v>
      </c>
      <c r="X16" s="121">
        <v>0.0</v>
      </c>
      <c r="Y16" s="121">
        <v>0.0</v>
      </c>
      <c r="Z16" s="121">
        <v>0.0</v>
      </c>
      <c r="AA16" s="121">
        <v>0.0</v>
      </c>
      <c r="AB16" s="121">
        <v>0.0</v>
      </c>
      <c r="AC16" s="121">
        <f t="shared" ref="AC16:AC18" si="4">SUMPRODUCT(I16:S16, {0,33,50,67,167,67,50,4.17,7.56,12.17,16.22})</f>
        <v>83.4</v>
      </c>
    </row>
    <row r="17">
      <c r="A17" s="121">
        <v>2.0</v>
      </c>
      <c r="B17" s="121">
        <v>1.0</v>
      </c>
      <c r="C17" s="121" t="s">
        <v>226</v>
      </c>
      <c r="D17" s="169">
        <v>7.0</v>
      </c>
      <c r="E17" s="169">
        <v>13.0</v>
      </c>
      <c r="F17" s="169">
        <v>30.0</v>
      </c>
      <c r="G17" s="213">
        <f t="shared" si="3"/>
        <v>4.285714286</v>
      </c>
      <c r="H17" s="190"/>
      <c r="I17" s="169">
        <v>0.0</v>
      </c>
      <c r="J17" s="169">
        <v>1.0</v>
      </c>
      <c r="K17" s="169">
        <v>0.0</v>
      </c>
      <c r="L17" s="169">
        <v>0.0</v>
      </c>
      <c r="M17" s="169">
        <v>0.0</v>
      </c>
      <c r="N17" s="169">
        <v>0.0</v>
      </c>
      <c r="O17" s="169">
        <v>0.0</v>
      </c>
      <c r="P17" s="169">
        <v>0.0</v>
      </c>
      <c r="Q17" s="169">
        <v>0.0</v>
      </c>
      <c r="R17" s="169">
        <v>0.0</v>
      </c>
      <c r="S17" s="169">
        <v>0.0</v>
      </c>
      <c r="T17" s="121">
        <v>0.0</v>
      </c>
      <c r="U17" s="121">
        <v>0.0</v>
      </c>
      <c r="V17" s="121">
        <v>0.0</v>
      </c>
      <c r="W17" s="121">
        <v>0.0</v>
      </c>
      <c r="X17" s="121">
        <v>0.0</v>
      </c>
      <c r="Y17" s="121">
        <v>0.0</v>
      </c>
      <c r="Z17" s="121">
        <v>0.0</v>
      </c>
      <c r="AA17" s="121">
        <v>0.0</v>
      </c>
      <c r="AB17" s="121">
        <v>0.0</v>
      </c>
      <c r="AC17" s="121">
        <f t="shared" si="4"/>
        <v>33</v>
      </c>
    </row>
    <row r="18">
      <c r="A18" s="121">
        <v>3.0</v>
      </c>
      <c r="B18" s="121">
        <v>1.0</v>
      </c>
      <c r="C18" s="121" t="s">
        <v>226</v>
      </c>
      <c r="D18" s="169">
        <v>13.0</v>
      </c>
      <c r="E18" s="169">
        <v>26.0</v>
      </c>
      <c r="F18" s="169">
        <v>60.0</v>
      </c>
      <c r="G18" s="213">
        <f t="shared" si="3"/>
        <v>4.615384615</v>
      </c>
      <c r="I18" s="169">
        <v>0.0</v>
      </c>
      <c r="J18" s="169">
        <v>0.0</v>
      </c>
      <c r="K18" s="169">
        <v>1.0</v>
      </c>
      <c r="L18" s="169">
        <v>0.0</v>
      </c>
      <c r="M18" s="169">
        <v>1.0</v>
      </c>
      <c r="N18" s="169">
        <v>0.0</v>
      </c>
      <c r="O18" s="169">
        <v>0.0</v>
      </c>
      <c r="P18" s="169">
        <v>0.0</v>
      </c>
      <c r="Q18" s="169">
        <v>0.0</v>
      </c>
      <c r="R18" s="169">
        <v>0.0</v>
      </c>
      <c r="S18" s="169">
        <v>0.0</v>
      </c>
      <c r="T18" s="121">
        <v>0.0</v>
      </c>
      <c r="U18" s="121">
        <v>0.0</v>
      </c>
      <c r="V18" s="121">
        <v>0.0</v>
      </c>
      <c r="W18" s="121">
        <v>0.0</v>
      </c>
      <c r="X18" s="121">
        <v>0.0</v>
      </c>
      <c r="Y18" s="121">
        <v>0.0</v>
      </c>
      <c r="Z18" s="121">
        <v>0.0</v>
      </c>
      <c r="AA18" s="121">
        <v>0.0</v>
      </c>
      <c r="AB18" s="121">
        <v>0.0</v>
      </c>
      <c r="AC18" s="121">
        <f t="shared" si="4"/>
        <v>217</v>
      </c>
    </row>
    <row r="19">
      <c r="G19" s="201"/>
    </row>
    <row r="20" ht="17.25" customHeight="1">
      <c r="A20" s="205" t="s">
        <v>58</v>
      </c>
      <c r="B20" s="206"/>
      <c r="C20" s="206"/>
      <c r="D20" s="206"/>
      <c r="E20" s="206"/>
      <c r="F20" s="206"/>
      <c r="G20" s="207"/>
      <c r="H20" s="206"/>
      <c r="I20" s="206"/>
      <c r="J20" s="206"/>
      <c r="K20" s="206"/>
      <c r="L20" s="206"/>
      <c r="M20" s="206"/>
      <c r="N20" s="206"/>
      <c r="O20" s="206"/>
      <c r="P20" s="206"/>
      <c r="Q20" s="206"/>
      <c r="R20" s="206"/>
      <c r="S20" s="206"/>
      <c r="T20" s="206"/>
      <c r="U20" s="206"/>
      <c r="V20" s="206"/>
      <c r="W20" s="206"/>
      <c r="X20" s="206"/>
      <c r="Y20" s="206"/>
      <c r="Z20" s="206"/>
      <c r="AA20" s="206"/>
      <c r="AB20" s="206"/>
      <c r="AC20" s="206"/>
    </row>
    <row r="21" ht="90.0" customHeight="1">
      <c r="A21" s="116" t="s">
        <v>143</v>
      </c>
      <c r="B21" s="116" t="s">
        <v>157</v>
      </c>
      <c r="C21" s="116" t="s">
        <v>221</v>
      </c>
      <c r="D21" s="214" t="s">
        <v>222</v>
      </c>
      <c r="E21" s="214" t="s">
        <v>223</v>
      </c>
      <c r="F21" s="116" t="s">
        <v>64</v>
      </c>
      <c r="G21" s="215" t="s">
        <v>224</v>
      </c>
      <c r="I21" s="136" t="s">
        <v>68</v>
      </c>
      <c r="J21" s="136" t="s">
        <v>69</v>
      </c>
      <c r="K21" s="136" t="s">
        <v>70</v>
      </c>
      <c r="L21" s="136" t="s">
        <v>71</v>
      </c>
      <c r="M21" s="136" t="s">
        <v>72</v>
      </c>
      <c r="N21" s="136" t="s">
        <v>73</v>
      </c>
      <c r="O21" s="136" t="s">
        <v>74</v>
      </c>
      <c r="P21" s="136" t="s">
        <v>75</v>
      </c>
      <c r="Q21" s="136" t="s">
        <v>76</v>
      </c>
      <c r="R21" s="136" t="s">
        <v>77</v>
      </c>
      <c r="S21" s="136" t="s">
        <v>78</v>
      </c>
      <c r="T21" s="119" t="s">
        <v>103</v>
      </c>
      <c r="U21" s="119" t="s">
        <v>118</v>
      </c>
      <c r="V21" s="119" t="s">
        <v>104</v>
      </c>
      <c r="W21" s="119" t="s">
        <v>105</v>
      </c>
      <c r="X21" s="119" t="s">
        <v>106</v>
      </c>
      <c r="Y21" s="119" t="s">
        <v>107</v>
      </c>
      <c r="Z21" s="119" t="s">
        <v>108</v>
      </c>
      <c r="AA21" s="119" t="s">
        <v>109</v>
      </c>
      <c r="AB21" s="119" t="s">
        <v>110</v>
      </c>
      <c r="AC21" s="116" t="s">
        <v>225</v>
      </c>
    </row>
    <row r="22" ht="15.75" customHeight="1">
      <c r="A22" s="121">
        <v>1.0</v>
      </c>
      <c r="B22" s="121">
        <v>1.0</v>
      </c>
      <c r="C22" s="121" t="s">
        <v>226</v>
      </c>
      <c r="D22" s="169">
        <v>11.0</v>
      </c>
      <c r="E22" s="169">
        <v>11.0</v>
      </c>
      <c r="F22" s="169">
        <v>15.0</v>
      </c>
      <c r="G22" s="213">
        <f t="shared" ref="G22:G24" si="5">IF(D22=0,0,F22/D22)</f>
        <v>1.363636364</v>
      </c>
      <c r="I22" s="169">
        <v>0.0</v>
      </c>
      <c r="J22" s="169">
        <v>0.0</v>
      </c>
      <c r="K22" s="169">
        <v>0.0</v>
      </c>
      <c r="L22" s="169">
        <v>0.0</v>
      </c>
      <c r="M22" s="169">
        <v>0.0</v>
      </c>
      <c r="N22" s="169">
        <v>0.0</v>
      </c>
      <c r="O22" s="169">
        <v>0.0</v>
      </c>
      <c r="P22" s="169">
        <v>20.0</v>
      </c>
      <c r="Q22" s="169">
        <v>0.0</v>
      </c>
      <c r="R22" s="169">
        <v>0.0</v>
      </c>
      <c r="S22" s="169">
        <v>0.0</v>
      </c>
      <c r="T22" s="121">
        <v>0.0</v>
      </c>
      <c r="U22" s="121">
        <v>0.0</v>
      </c>
      <c r="V22" s="121">
        <v>0.0</v>
      </c>
      <c r="W22" s="121">
        <v>0.0</v>
      </c>
      <c r="X22" s="121">
        <v>0.0</v>
      </c>
      <c r="Y22" s="121">
        <v>0.0</v>
      </c>
      <c r="Z22" s="121">
        <v>0.0</v>
      </c>
      <c r="AA22" s="121">
        <v>0.0</v>
      </c>
      <c r="AB22" s="121">
        <v>0.0</v>
      </c>
      <c r="AC22" s="121">
        <f t="shared" ref="AC22:AC24" si="6">SUMPRODUCT(I22:S22, {0,33,50,67,167,67,50,4.17,7.56,12.17,16.22})</f>
        <v>83.4</v>
      </c>
    </row>
    <row r="23" ht="15.75" customHeight="1">
      <c r="A23" s="121">
        <v>2.0</v>
      </c>
      <c r="B23" s="121">
        <v>1.0</v>
      </c>
      <c r="C23" s="121" t="s">
        <v>226</v>
      </c>
      <c r="D23" s="169">
        <v>15.0</v>
      </c>
      <c r="E23" s="169">
        <v>26.0</v>
      </c>
      <c r="F23" s="169">
        <v>50.0</v>
      </c>
      <c r="G23" s="213">
        <f t="shared" si="5"/>
        <v>3.333333333</v>
      </c>
      <c r="H23" s="190"/>
      <c r="I23" s="169">
        <v>0.0</v>
      </c>
      <c r="J23" s="169">
        <v>1.0</v>
      </c>
      <c r="K23" s="169">
        <v>0.0</v>
      </c>
      <c r="L23" s="169">
        <v>0.0</v>
      </c>
      <c r="M23" s="169">
        <v>0.0</v>
      </c>
      <c r="N23" s="169">
        <v>0.0</v>
      </c>
      <c r="O23" s="169">
        <v>0.0</v>
      </c>
      <c r="P23" s="169">
        <v>0.0</v>
      </c>
      <c r="Q23" s="169">
        <v>0.0</v>
      </c>
      <c r="R23" s="169">
        <v>0.0</v>
      </c>
      <c r="S23" s="169">
        <v>0.0</v>
      </c>
      <c r="T23" s="121">
        <v>0.0</v>
      </c>
      <c r="U23" s="121">
        <v>0.0</v>
      </c>
      <c r="V23" s="121">
        <v>0.0</v>
      </c>
      <c r="W23" s="121">
        <v>0.0</v>
      </c>
      <c r="X23" s="121">
        <v>0.0</v>
      </c>
      <c r="Y23" s="121">
        <v>0.0</v>
      </c>
      <c r="Z23" s="121">
        <v>0.0</v>
      </c>
      <c r="AA23" s="121">
        <v>0.0</v>
      </c>
      <c r="AB23" s="121">
        <v>0.0</v>
      </c>
      <c r="AC23" s="121">
        <f t="shared" si="6"/>
        <v>33</v>
      </c>
    </row>
    <row r="24" ht="15.75" customHeight="1">
      <c r="A24" s="121">
        <v>3.0</v>
      </c>
      <c r="B24" s="121">
        <v>1.0</v>
      </c>
      <c r="C24" s="121" t="s">
        <v>226</v>
      </c>
      <c r="D24" s="169">
        <v>16.0</v>
      </c>
      <c r="E24" s="169">
        <v>42.0</v>
      </c>
      <c r="F24" s="169">
        <v>100.0</v>
      </c>
      <c r="G24" s="213">
        <f t="shared" si="5"/>
        <v>6.25</v>
      </c>
      <c r="I24" s="169">
        <v>0.0</v>
      </c>
      <c r="J24" s="169">
        <v>0.0</v>
      </c>
      <c r="K24" s="169">
        <v>1.0</v>
      </c>
      <c r="L24" s="169">
        <v>0.0</v>
      </c>
      <c r="M24" s="169">
        <v>1.0</v>
      </c>
      <c r="N24" s="169">
        <v>0.0</v>
      </c>
      <c r="O24" s="169">
        <v>0.0</v>
      </c>
      <c r="P24" s="169">
        <v>0.0</v>
      </c>
      <c r="Q24" s="169">
        <v>0.0</v>
      </c>
      <c r="R24" s="169">
        <v>0.0</v>
      </c>
      <c r="S24" s="169">
        <v>0.0</v>
      </c>
      <c r="T24" s="121">
        <v>0.0</v>
      </c>
      <c r="U24" s="121">
        <v>0.0</v>
      </c>
      <c r="V24" s="121">
        <v>0.0</v>
      </c>
      <c r="W24" s="121">
        <v>0.0</v>
      </c>
      <c r="X24" s="121">
        <v>0.0</v>
      </c>
      <c r="Y24" s="121">
        <v>0.0</v>
      </c>
      <c r="Z24" s="121">
        <v>0.0</v>
      </c>
      <c r="AA24" s="121">
        <v>0.0</v>
      </c>
      <c r="AB24" s="121">
        <v>0.0</v>
      </c>
      <c r="AC24" s="121">
        <f t="shared" si="6"/>
        <v>217</v>
      </c>
    </row>
    <row r="25" ht="15.75" customHeight="1">
      <c r="G25" s="201"/>
    </row>
    <row r="26" ht="17.25" customHeight="1">
      <c r="A26" s="205" t="s">
        <v>59</v>
      </c>
      <c r="B26" s="206"/>
      <c r="C26" s="206"/>
      <c r="D26" s="206"/>
      <c r="E26" s="206"/>
      <c r="F26" s="206"/>
      <c r="G26" s="207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  <c r="AA26" s="206"/>
      <c r="AB26" s="206"/>
      <c r="AC26" s="206"/>
    </row>
    <row r="27" ht="90.0" customHeight="1">
      <c r="A27" s="116" t="s">
        <v>143</v>
      </c>
      <c r="B27" s="116" t="s">
        <v>157</v>
      </c>
      <c r="C27" s="116" t="s">
        <v>221</v>
      </c>
      <c r="D27" s="214" t="s">
        <v>222</v>
      </c>
      <c r="E27" s="214" t="s">
        <v>223</v>
      </c>
      <c r="F27" s="116" t="s">
        <v>64</v>
      </c>
      <c r="G27" s="215" t="s">
        <v>224</v>
      </c>
      <c r="I27" s="136" t="s">
        <v>68</v>
      </c>
      <c r="J27" s="136" t="s">
        <v>69</v>
      </c>
      <c r="K27" s="136" t="s">
        <v>70</v>
      </c>
      <c r="L27" s="136" t="s">
        <v>71</v>
      </c>
      <c r="M27" s="136" t="s">
        <v>72</v>
      </c>
      <c r="N27" s="136" t="s">
        <v>73</v>
      </c>
      <c r="O27" s="136" t="s">
        <v>74</v>
      </c>
      <c r="P27" s="136" t="s">
        <v>75</v>
      </c>
      <c r="Q27" s="136" t="s">
        <v>76</v>
      </c>
      <c r="R27" s="136" t="s">
        <v>77</v>
      </c>
      <c r="S27" s="136" t="s">
        <v>78</v>
      </c>
      <c r="T27" s="119" t="s">
        <v>103</v>
      </c>
      <c r="U27" s="119" t="s">
        <v>118</v>
      </c>
      <c r="V27" s="119" t="s">
        <v>104</v>
      </c>
      <c r="W27" s="119" t="s">
        <v>105</v>
      </c>
      <c r="X27" s="119" t="s">
        <v>106</v>
      </c>
      <c r="Y27" s="119" t="s">
        <v>107</v>
      </c>
      <c r="Z27" s="119" t="s">
        <v>108</v>
      </c>
      <c r="AA27" s="119" t="s">
        <v>109</v>
      </c>
      <c r="AB27" s="119" t="s">
        <v>110</v>
      </c>
      <c r="AC27" s="116" t="s">
        <v>225</v>
      </c>
    </row>
    <row r="28" ht="15.75" customHeight="1">
      <c r="A28" s="121">
        <v>1.0</v>
      </c>
      <c r="B28" s="121">
        <v>1.0</v>
      </c>
      <c r="C28" s="121" t="s">
        <v>226</v>
      </c>
      <c r="D28" s="169">
        <v>28.0</v>
      </c>
      <c r="E28" s="169">
        <v>28.0</v>
      </c>
      <c r="F28" s="169">
        <v>50.0</v>
      </c>
      <c r="G28" s="213">
        <f t="shared" ref="G28:G30" si="7">IF(D28=0,0,F28/D28)</f>
        <v>1.785714286</v>
      </c>
      <c r="I28" s="169">
        <v>0.0</v>
      </c>
      <c r="J28" s="169">
        <v>0.0</v>
      </c>
      <c r="K28" s="169">
        <v>0.0</v>
      </c>
      <c r="L28" s="169">
        <v>0.0</v>
      </c>
      <c r="M28" s="169">
        <v>0.0</v>
      </c>
      <c r="N28" s="169">
        <v>0.0</v>
      </c>
      <c r="O28" s="169">
        <v>0.0</v>
      </c>
      <c r="P28" s="169">
        <v>30.0</v>
      </c>
      <c r="Q28" s="169">
        <v>0.0</v>
      </c>
      <c r="R28" s="169">
        <v>0.0</v>
      </c>
      <c r="S28" s="169">
        <v>0.0</v>
      </c>
      <c r="T28" s="121">
        <v>0.0</v>
      </c>
      <c r="U28" s="121">
        <v>0.0</v>
      </c>
      <c r="V28" s="121">
        <v>0.0</v>
      </c>
      <c r="W28" s="121">
        <v>0.0</v>
      </c>
      <c r="X28" s="121">
        <v>0.0</v>
      </c>
      <c r="Y28" s="121">
        <v>0.0</v>
      </c>
      <c r="Z28" s="121">
        <v>0.0</v>
      </c>
      <c r="AA28" s="121">
        <v>0.0</v>
      </c>
      <c r="AB28" s="121">
        <v>0.0</v>
      </c>
      <c r="AC28" s="121">
        <f t="shared" ref="AC28:AC30" si="8">SUMPRODUCT(I28:S28, {0,33,50,67,167,67,50,4.17,7.56,12.17,16.22})</f>
        <v>125.1</v>
      </c>
    </row>
    <row r="29" ht="15.75" customHeight="1">
      <c r="A29" s="121">
        <v>2.0</v>
      </c>
      <c r="B29" s="121">
        <v>1.0</v>
      </c>
      <c r="C29" s="121" t="s">
        <v>226</v>
      </c>
      <c r="D29" s="169">
        <v>32.0</v>
      </c>
      <c r="E29" s="169">
        <v>60.0</v>
      </c>
      <c r="F29" s="169">
        <v>120.0</v>
      </c>
      <c r="G29" s="213">
        <f t="shared" si="7"/>
        <v>3.75</v>
      </c>
      <c r="H29" s="190"/>
      <c r="I29" s="169">
        <v>0.0</v>
      </c>
      <c r="J29" s="169">
        <v>1.0</v>
      </c>
      <c r="K29" s="169">
        <v>0.0</v>
      </c>
      <c r="L29" s="169">
        <v>0.0</v>
      </c>
      <c r="M29" s="169">
        <v>0.0</v>
      </c>
      <c r="N29" s="169">
        <v>0.0</v>
      </c>
      <c r="O29" s="169">
        <v>0.0</v>
      </c>
      <c r="P29" s="169">
        <v>0.0</v>
      </c>
      <c r="Q29" s="169">
        <v>0.0</v>
      </c>
      <c r="R29" s="169">
        <v>0.0</v>
      </c>
      <c r="S29" s="169">
        <v>0.0</v>
      </c>
      <c r="T29" s="121">
        <v>0.0</v>
      </c>
      <c r="U29" s="121">
        <v>0.0</v>
      </c>
      <c r="V29" s="121">
        <v>0.0</v>
      </c>
      <c r="W29" s="121">
        <v>0.0</v>
      </c>
      <c r="X29" s="121">
        <v>0.0</v>
      </c>
      <c r="Y29" s="121">
        <v>0.0</v>
      </c>
      <c r="Z29" s="121">
        <v>0.0</v>
      </c>
      <c r="AA29" s="121">
        <v>0.0</v>
      </c>
      <c r="AB29" s="121">
        <v>0.0</v>
      </c>
      <c r="AC29" s="121">
        <f t="shared" si="8"/>
        <v>33</v>
      </c>
    </row>
    <row r="30" ht="15.75" customHeight="1">
      <c r="A30" s="121">
        <v>3.0</v>
      </c>
      <c r="B30" s="121">
        <v>1.0</v>
      </c>
      <c r="C30" s="121" t="s">
        <v>226</v>
      </c>
      <c r="D30" s="169">
        <v>40.0</v>
      </c>
      <c r="E30" s="169">
        <v>100.0</v>
      </c>
      <c r="F30" s="169">
        <v>250.0</v>
      </c>
      <c r="G30" s="213">
        <f t="shared" si="7"/>
        <v>6.25</v>
      </c>
      <c r="I30" s="169">
        <v>0.0</v>
      </c>
      <c r="J30" s="169">
        <v>0.0</v>
      </c>
      <c r="K30" s="169">
        <v>0.0</v>
      </c>
      <c r="L30" s="169">
        <v>0.0</v>
      </c>
      <c r="M30" s="169">
        <v>1.0</v>
      </c>
      <c r="N30" s="169">
        <v>0.0</v>
      </c>
      <c r="O30" s="169">
        <v>1.0</v>
      </c>
      <c r="P30" s="169">
        <v>0.0</v>
      </c>
      <c r="Q30" s="169">
        <v>0.0</v>
      </c>
      <c r="R30" s="169">
        <v>0.0</v>
      </c>
      <c r="S30" s="169">
        <v>0.0</v>
      </c>
      <c r="T30" s="121">
        <v>0.0</v>
      </c>
      <c r="U30" s="121">
        <v>0.0</v>
      </c>
      <c r="V30" s="121">
        <v>0.0</v>
      </c>
      <c r="W30" s="121">
        <v>0.0</v>
      </c>
      <c r="X30" s="121">
        <v>0.0</v>
      </c>
      <c r="Y30" s="121">
        <v>0.0</v>
      </c>
      <c r="Z30" s="121">
        <v>0.0</v>
      </c>
      <c r="AA30" s="121">
        <v>0.0</v>
      </c>
      <c r="AB30" s="121">
        <v>0.0</v>
      </c>
      <c r="AC30" s="121">
        <f t="shared" si="8"/>
        <v>217</v>
      </c>
    </row>
    <row r="31" ht="15.75" customHeight="1">
      <c r="G31" s="201"/>
    </row>
    <row r="32" ht="17.25" customHeight="1">
      <c r="A32" s="205" t="s">
        <v>60</v>
      </c>
      <c r="B32" s="206"/>
      <c r="C32" s="206"/>
      <c r="D32" s="206"/>
      <c r="E32" s="206"/>
      <c r="F32" s="206"/>
      <c r="G32" s="207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  <c r="Z32" s="206"/>
      <c r="AA32" s="206"/>
      <c r="AB32" s="206"/>
      <c r="AC32" s="206"/>
    </row>
    <row r="33" ht="90.0" customHeight="1">
      <c r="A33" s="116" t="s">
        <v>143</v>
      </c>
      <c r="B33" s="116" t="s">
        <v>157</v>
      </c>
      <c r="C33" s="116" t="s">
        <v>221</v>
      </c>
      <c r="D33" s="214" t="s">
        <v>222</v>
      </c>
      <c r="E33" s="214" t="s">
        <v>223</v>
      </c>
      <c r="F33" s="116" t="s">
        <v>64</v>
      </c>
      <c r="G33" s="215" t="s">
        <v>224</v>
      </c>
      <c r="I33" s="136" t="s">
        <v>68</v>
      </c>
      <c r="J33" s="136" t="s">
        <v>69</v>
      </c>
      <c r="K33" s="136" t="s">
        <v>70</v>
      </c>
      <c r="L33" s="136" t="s">
        <v>71</v>
      </c>
      <c r="M33" s="136" t="s">
        <v>72</v>
      </c>
      <c r="N33" s="136" t="s">
        <v>73</v>
      </c>
      <c r="O33" s="136" t="s">
        <v>74</v>
      </c>
      <c r="P33" s="136" t="s">
        <v>75</v>
      </c>
      <c r="Q33" s="136" t="s">
        <v>76</v>
      </c>
      <c r="R33" s="136" t="s">
        <v>77</v>
      </c>
      <c r="S33" s="136" t="s">
        <v>78</v>
      </c>
      <c r="T33" s="119" t="s">
        <v>103</v>
      </c>
      <c r="U33" s="119" t="s">
        <v>118</v>
      </c>
      <c r="V33" s="119" t="s">
        <v>104</v>
      </c>
      <c r="W33" s="119" t="s">
        <v>105</v>
      </c>
      <c r="X33" s="119" t="s">
        <v>106</v>
      </c>
      <c r="Y33" s="119" t="s">
        <v>107</v>
      </c>
      <c r="Z33" s="119" t="s">
        <v>108</v>
      </c>
      <c r="AA33" s="119" t="s">
        <v>109</v>
      </c>
      <c r="AB33" s="119" t="s">
        <v>110</v>
      </c>
      <c r="AC33" s="116" t="s">
        <v>225</v>
      </c>
    </row>
    <row r="34" ht="15.75" customHeight="1">
      <c r="A34" s="121">
        <v>1.0</v>
      </c>
      <c r="B34" s="121">
        <v>1.0</v>
      </c>
      <c r="C34" s="121" t="s">
        <v>226</v>
      </c>
      <c r="D34" s="169">
        <v>80.0</v>
      </c>
      <c r="E34" s="169">
        <v>80.0</v>
      </c>
      <c r="F34" s="169">
        <v>100.0</v>
      </c>
      <c r="G34" s="213">
        <f t="shared" ref="G34:G36" si="9">IF(D34=0,0,F34/D34)</f>
        <v>1.25</v>
      </c>
      <c r="I34" s="169">
        <v>0.0</v>
      </c>
      <c r="J34" s="169">
        <v>0.0</v>
      </c>
      <c r="K34" s="169">
        <v>0.0</v>
      </c>
      <c r="L34" s="169">
        <v>0.0</v>
      </c>
      <c r="M34" s="169">
        <v>0.0</v>
      </c>
      <c r="N34" s="169">
        <v>0.0</v>
      </c>
      <c r="O34" s="169">
        <v>0.0</v>
      </c>
      <c r="P34" s="169">
        <v>60.0</v>
      </c>
      <c r="Q34" s="169">
        <v>0.0</v>
      </c>
      <c r="R34" s="169">
        <v>0.0</v>
      </c>
      <c r="S34" s="169">
        <v>0.0</v>
      </c>
      <c r="T34" s="121">
        <v>0.0</v>
      </c>
      <c r="U34" s="121">
        <v>0.0</v>
      </c>
      <c r="V34" s="121">
        <v>0.0</v>
      </c>
      <c r="W34" s="121">
        <v>0.0</v>
      </c>
      <c r="X34" s="121">
        <v>0.0</v>
      </c>
      <c r="Y34" s="121">
        <v>0.0</v>
      </c>
      <c r="Z34" s="121">
        <v>0.0</v>
      </c>
      <c r="AA34" s="121">
        <v>0.0</v>
      </c>
      <c r="AB34" s="121">
        <v>0.0</v>
      </c>
      <c r="AC34" s="121">
        <f t="shared" ref="AC34:AC36" si="10">SUMPRODUCT(I34:S34, {0,33,50,67,167,67,50,4.17,7.56,12.17,16.22})</f>
        <v>250.2</v>
      </c>
    </row>
    <row r="35" ht="15.75" customHeight="1">
      <c r="A35" s="121">
        <v>2.0</v>
      </c>
      <c r="B35" s="121">
        <v>1.0</v>
      </c>
      <c r="C35" s="121" t="s">
        <v>226</v>
      </c>
      <c r="D35" s="169">
        <v>95.0</v>
      </c>
      <c r="E35" s="169">
        <v>175.0</v>
      </c>
      <c r="F35" s="169">
        <v>300.0</v>
      </c>
      <c r="G35" s="213">
        <f t="shared" si="9"/>
        <v>3.157894737</v>
      </c>
      <c r="H35" s="190"/>
      <c r="I35" s="169">
        <v>0.0</v>
      </c>
      <c r="J35" s="169">
        <v>1.0</v>
      </c>
      <c r="K35" s="169">
        <v>0.0</v>
      </c>
      <c r="L35" s="169">
        <v>0.0</v>
      </c>
      <c r="M35" s="169">
        <v>0.0</v>
      </c>
      <c r="N35" s="169">
        <v>0.0</v>
      </c>
      <c r="O35" s="169">
        <v>0.0</v>
      </c>
      <c r="P35" s="169">
        <v>0.0</v>
      </c>
      <c r="Q35" s="169">
        <v>0.0</v>
      </c>
      <c r="R35" s="169">
        <v>0.0</v>
      </c>
      <c r="S35" s="169">
        <v>0.0</v>
      </c>
      <c r="T35" s="121">
        <v>0.0</v>
      </c>
      <c r="U35" s="121">
        <v>0.0</v>
      </c>
      <c r="V35" s="121">
        <v>0.0</v>
      </c>
      <c r="W35" s="121">
        <v>0.0</v>
      </c>
      <c r="X35" s="121">
        <v>0.0</v>
      </c>
      <c r="Y35" s="121">
        <v>0.0</v>
      </c>
      <c r="Z35" s="121">
        <v>0.0</v>
      </c>
      <c r="AA35" s="121">
        <v>0.0</v>
      </c>
      <c r="AB35" s="121">
        <v>0.0</v>
      </c>
      <c r="AC35" s="121">
        <f t="shared" si="10"/>
        <v>33</v>
      </c>
    </row>
    <row r="36" ht="15.75" customHeight="1">
      <c r="A36" s="121">
        <v>3.0</v>
      </c>
      <c r="B36" s="121">
        <v>1.0</v>
      </c>
      <c r="C36" s="121" t="s">
        <v>226</v>
      </c>
      <c r="D36" s="169">
        <v>105.0</v>
      </c>
      <c r="E36" s="169">
        <v>280.0</v>
      </c>
      <c r="F36" s="169">
        <v>400.0</v>
      </c>
      <c r="G36" s="213">
        <f t="shared" si="9"/>
        <v>3.80952381</v>
      </c>
      <c r="I36" s="169">
        <v>0.0</v>
      </c>
      <c r="J36" s="169">
        <v>0.0</v>
      </c>
      <c r="K36" s="169">
        <v>0.0</v>
      </c>
      <c r="L36" s="169">
        <v>0.0</v>
      </c>
      <c r="M36" s="169">
        <v>1.0</v>
      </c>
      <c r="N36" s="169">
        <v>0.0</v>
      </c>
      <c r="O36" s="169">
        <v>1.0</v>
      </c>
      <c r="P36" s="169">
        <v>0.0</v>
      </c>
      <c r="Q36" s="169">
        <v>0.0</v>
      </c>
      <c r="R36" s="169">
        <v>0.0</v>
      </c>
      <c r="S36" s="169">
        <v>0.0</v>
      </c>
      <c r="T36" s="121">
        <v>0.0</v>
      </c>
      <c r="U36" s="121">
        <v>0.0</v>
      </c>
      <c r="V36" s="121">
        <v>0.0</v>
      </c>
      <c r="W36" s="121">
        <v>0.0</v>
      </c>
      <c r="X36" s="121">
        <v>0.0</v>
      </c>
      <c r="Y36" s="121">
        <v>0.0</v>
      </c>
      <c r="Z36" s="121">
        <v>0.0</v>
      </c>
      <c r="AA36" s="121">
        <v>0.0</v>
      </c>
      <c r="AB36" s="121">
        <v>0.0</v>
      </c>
      <c r="AC36" s="121">
        <f t="shared" si="10"/>
        <v>217</v>
      </c>
    </row>
    <row r="37" ht="15.75" customHeight="1">
      <c r="G37" s="201"/>
    </row>
    <row r="38" ht="15.75" customHeight="1">
      <c r="G38" s="201"/>
    </row>
    <row r="39" ht="15.75" customHeight="1">
      <c r="G39" s="201"/>
    </row>
    <row r="40" ht="15.75" customHeight="1">
      <c r="G40" s="201"/>
    </row>
    <row r="41" ht="15.75" customHeight="1">
      <c r="G41" s="201"/>
    </row>
    <row r="42" ht="15.75" customHeight="1">
      <c r="G42" s="201"/>
    </row>
    <row r="43" ht="15.75" customHeight="1">
      <c r="G43" s="201"/>
    </row>
    <row r="44" ht="15.75" customHeight="1">
      <c r="G44" s="201"/>
    </row>
    <row r="45" ht="15.75" customHeight="1">
      <c r="G45" s="201"/>
    </row>
    <row r="46" ht="15.75" customHeight="1">
      <c r="G46" s="201"/>
    </row>
    <row r="47" ht="15.75" customHeight="1">
      <c r="G47" s="201"/>
    </row>
    <row r="48" ht="15.75" customHeight="1">
      <c r="G48" s="201"/>
    </row>
    <row r="49" ht="15.75" customHeight="1">
      <c r="G49" s="201"/>
    </row>
    <row r="50" ht="15.75" customHeight="1">
      <c r="G50" s="201"/>
    </row>
    <row r="51" ht="15.75" customHeight="1">
      <c r="G51" s="201"/>
    </row>
    <row r="52" ht="15.75" customHeight="1">
      <c r="G52" s="201"/>
    </row>
    <row r="53" ht="15.75" customHeight="1">
      <c r="G53" s="201"/>
    </row>
    <row r="54" ht="15.75" customHeight="1">
      <c r="G54" s="201"/>
    </row>
    <row r="55" ht="15.75" customHeight="1">
      <c r="G55" s="201"/>
    </row>
    <row r="56" ht="15.75" customHeight="1">
      <c r="G56" s="201"/>
    </row>
    <row r="57" ht="15.75" customHeight="1">
      <c r="G57" s="201"/>
    </row>
    <row r="58" ht="15.75" customHeight="1">
      <c r="G58" s="201"/>
    </row>
    <row r="59" ht="15.75" customHeight="1">
      <c r="G59" s="201"/>
    </row>
    <row r="60" ht="15.75" customHeight="1">
      <c r="G60" s="201"/>
    </row>
    <row r="61" ht="15.75" customHeight="1">
      <c r="G61" s="201"/>
    </row>
    <row r="62" ht="15.75" customHeight="1">
      <c r="G62" s="201"/>
    </row>
    <row r="63" ht="15.75" customHeight="1">
      <c r="G63" s="201"/>
    </row>
    <row r="64" ht="15.75" customHeight="1">
      <c r="G64" s="201"/>
    </row>
    <row r="65" ht="15.75" customHeight="1">
      <c r="G65" s="201"/>
    </row>
    <row r="66" ht="15.75" customHeight="1">
      <c r="G66" s="201"/>
    </row>
    <row r="67" ht="15.75" customHeight="1">
      <c r="G67" s="201"/>
    </row>
    <row r="68" ht="15.75" customHeight="1">
      <c r="G68" s="201"/>
    </row>
    <row r="69" ht="15.75" customHeight="1">
      <c r="G69" s="201"/>
    </row>
    <row r="70" ht="15.75" customHeight="1">
      <c r="G70" s="201"/>
    </row>
    <row r="71" ht="15.75" customHeight="1">
      <c r="G71" s="201"/>
    </row>
    <row r="72" ht="15.75" customHeight="1">
      <c r="G72" s="201"/>
    </row>
    <row r="73" ht="15.75" customHeight="1">
      <c r="G73" s="201"/>
    </row>
    <row r="74" ht="15.75" customHeight="1">
      <c r="G74" s="201"/>
    </row>
    <row r="75" ht="15.75" customHeight="1">
      <c r="G75" s="201"/>
    </row>
    <row r="76" ht="15.75" customHeight="1">
      <c r="G76" s="201"/>
    </row>
    <row r="77" ht="15.75" customHeight="1">
      <c r="G77" s="201"/>
    </row>
    <row r="78" ht="15.75" customHeight="1">
      <c r="G78" s="201"/>
    </row>
    <row r="79" ht="15.75" customHeight="1">
      <c r="G79" s="201"/>
    </row>
    <row r="80" ht="15.75" customHeight="1">
      <c r="G80" s="201"/>
    </row>
    <row r="81" ht="15.75" customHeight="1">
      <c r="G81" s="201"/>
    </row>
    <row r="82" ht="15.75" customHeight="1">
      <c r="G82" s="201"/>
    </row>
    <row r="83" ht="15.75" customHeight="1">
      <c r="G83" s="201"/>
    </row>
    <row r="84" ht="15.75" customHeight="1">
      <c r="G84" s="201"/>
    </row>
    <row r="85" ht="15.75" customHeight="1">
      <c r="G85" s="201"/>
    </row>
    <row r="86" ht="15.75" customHeight="1">
      <c r="G86" s="201"/>
    </row>
    <row r="87" ht="15.75" customHeight="1">
      <c r="G87" s="201"/>
    </row>
    <row r="88" ht="15.75" customHeight="1">
      <c r="G88" s="201"/>
    </row>
    <row r="89" ht="15.75" customHeight="1">
      <c r="G89" s="201"/>
    </row>
    <row r="90" ht="15.75" customHeight="1">
      <c r="G90" s="201"/>
    </row>
    <row r="91" ht="15.75" customHeight="1">
      <c r="G91" s="201"/>
    </row>
    <row r="92" ht="15.75" customHeight="1">
      <c r="G92" s="201"/>
    </row>
    <row r="93" ht="15.75" customHeight="1">
      <c r="G93" s="201"/>
    </row>
    <row r="94" ht="15.75" customHeight="1">
      <c r="G94" s="201"/>
    </row>
    <row r="95" ht="15.75" customHeight="1">
      <c r="G95" s="201"/>
    </row>
    <row r="96" ht="15.75" customHeight="1">
      <c r="G96" s="201"/>
    </row>
    <row r="97" ht="15.75" customHeight="1">
      <c r="G97" s="201"/>
    </row>
    <row r="98" ht="15.75" customHeight="1">
      <c r="G98" s="201"/>
    </row>
    <row r="99" ht="15.75" customHeight="1">
      <c r="G99" s="201"/>
    </row>
    <row r="100" ht="15.75" customHeight="1">
      <c r="G100" s="201"/>
    </row>
    <row r="101" ht="15.75" customHeight="1">
      <c r="G101" s="201"/>
    </row>
    <row r="102" ht="15.75" customHeight="1">
      <c r="G102" s="201"/>
    </row>
    <row r="103" ht="15.75" customHeight="1">
      <c r="G103" s="201"/>
    </row>
    <row r="104" ht="15.75" customHeight="1">
      <c r="G104" s="201"/>
    </row>
    <row r="105" ht="15.75" customHeight="1">
      <c r="G105" s="201"/>
    </row>
    <row r="106" ht="15.75" customHeight="1">
      <c r="G106" s="201"/>
    </row>
    <row r="107" ht="15.75" customHeight="1">
      <c r="G107" s="201"/>
    </row>
    <row r="108" ht="15.75" customHeight="1">
      <c r="G108" s="201"/>
    </row>
    <row r="109" ht="15.75" customHeight="1">
      <c r="G109" s="201"/>
    </row>
    <row r="110" ht="15.75" customHeight="1">
      <c r="G110" s="201"/>
    </row>
    <row r="111" ht="15.75" customHeight="1">
      <c r="G111" s="201"/>
    </row>
    <row r="112" ht="15.75" customHeight="1">
      <c r="G112" s="201"/>
    </row>
    <row r="113" ht="15.75" customHeight="1">
      <c r="G113" s="201"/>
    </row>
    <row r="114" ht="15.75" customHeight="1">
      <c r="G114" s="201"/>
    </row>
    <row r="115" ht="15.75" customHeight="1">
      <c r="G115" s="201"/>
    </row>
    <row r="116" ht="15.75" customHeight="1">
      <c r="G116" s="201"/>
    </row>
    <row r="117" ht="15.75" customHeight="1">
      <c r="G117" s="201"/>
    </row>
    <row r="118" ht="15.75" customHeight="1">
      <c r="G118" s="201"/>
    </row>
    <row r="119" ht="15.75" customHeight="1">
      <c r="G119" s="201"/>
    </row>
    <row r="120" ht="15.75" customHeight="1">
      <c r="G120" s="201"/>
    </row>
    <row r="121" ht="15.75" customHeight="1">
      <c r="G121" s="201"/>
    </row>
    <row r="122" ht="15.75" customHeight="1">
      <c r="G122" s="201"/>
    </row>
    <row r="123" ht="15.75" customHeight="1">
      <c r="G123" s="201"/>
    </row>
    <row r="124" ht="15.75" customHeight="1">
      <c r="G124" s="201"/>
    </row>
    <row r="125" ht="15.75" customHeight="1">
      <c r="G125" s="201"/>
    </row>
    <row r="126" ht="15.75" customHeight="1">
      <c r="G126" s="201"/>
    </row>
    <row r="127" ht="15.75" customHeight="1">
      <c r="G127" s="201"/>
    </row>
    <row r="128" ht="15.75" customHeight="1">
      <c r="G128" s="201"/>
    </row>
    <row r="129" ht="15.75" customHeight="1">
      <c r="G129" s="201"/>
    </row>
    <row r="130" ht="15.75" customHeight="1">
      <c r="G130" s="201"/>
    </row>
    <row r="131" ht="15.75" customHeight="1">
      <c r="G131" s="201"/>
    </row>
    <row r="132" ht="15.75" customHeight="1">
      <c r="G132" s="201"/>
    </row>
    <row r="133" ht="15.75" customHeight="1">
      <c r="G133" s="201"/>
    </row>
    <row r="134" ht="15.75" customHeight="1">
      <c r="G134" s="201"/>
    </row>
    <row r="135" ht="15.75" customHeight="1">
      <c r="G135" s="201"/>
    </row>
    <row r="136" ht="15.75" customHeight="1">
      <c r="G136" s="201"/>
    </row>
    <row r="137" ht="15.75" customHeight="1">
      <c r="G137" s="201"/>
    </row>
    <row r="138" ht="15.75" customHeight="1">
      <c r="G138" s="201"/>
    </row>
    <row r="139" ht="15.75" customHeight="1">
      <c r="G139" s="201"/>
    </row>
    <row r="140" ht="15.75" customHeight="1">
      <c r="G140" s="201"/>
    </row>
    <row r="141" ht="15.75" customHeight="1">
      <c r="G141" s="201"/>
    </row>
    <row r="142" ht="15.75" customHeight="1">
      <c r="G142" s="201"/>
    </row>
    <row r="143" ht="15.75" customHeight="1">
      <c r="G143" s="201"/>
    </row>
    <row r="144" ht="15.75" customHeight="1">
      <c r="G144" s="201"/>
    </row>
    <row r="145" ht="15.75" customHeight="1">
      <c r="G145" s="201"/>
    </row>
    <row r="146" ht="15.75" customHeight="1">
      <c r="G146" s="201"/>
    </row>
    <row r="147" ht="15.75" customHeight="1">
      <c r="G147" s="201"/>
    </row>
    <row r="148" ht="15.75" customHeight="1">
      <c r="G148" s="201"/>
    </row>
    <row r="149" ht="15.75" customHeight="1">
      <c r="G149" s="201"/>
    </row>
    <row r="150" ht="15.75" customHeight="1">
      <c r="G150" s="201"/>
    </row>
    <row r="151" ht="15.75" customHeight="1">
      <c r="G151" s="201"/>
    </row>
    <row r="152" ht="15.75" customHeight="1">
      <c r="G152" s="201"/>
    </row>
    <row r="153" ht="15.75" customHeight="1">
      <c r="G153" s="201"/>
    </row>
    <row r="154" ht="15.75" customHeight="1">
      <c r="G154" s="201"/>
    </row>
    <row r="155" ht="15.75" customHeight="1">
      <c r="G155" s="201"/>
    </row>
    <row r="156" ht="15.75" customHeight="1">
      <c r="G156" s="201"/>
    </row>
    <row r="157" ht="15.75" customHeight="1">
      <c r="G157" s="201"/>
    </row>
    <row r="158" ht="15.75" customHeight="1">
      <c r="G158" s="201"/>
    </row>
    <row r="159" ht="15.75" customHeight="1">
      <c r="G159" s="201"/>
    </row>
    <row r="160" ht="15.75" customHeight="1">
      <c r="G160" s="201"/>
    </row>
    <row r="161" ht="15.75" customHeight="1">
      <c r="G161" s="201"/>
    </row>
    <row r="162" ht="15.75" customHeight="1">
      <c r="G162" s="201"/>
    </row>
    <row r="163" ht="15.75" customHeight="1">
      <c r="G163" s="201"/>
    </row>
    <row r="164" ht="15.75" customHeight="1">
      <c r="G164" s="201"/>
    </row>
    <row r="165" ht="15.75" customHeight="1">
      <c r="G165" s="201"/>
    </row>
    <row r="166" ht="15.75" customHeight="1">
      <c r="G166" s="201"/>
    </row>
    <row r="167" ht="15.75" customHeight="1">
      <c r="G167" s="201"/>
    </row>
    <row r="168" ht="15.75" customHeight="1">
      <c r="G168" s="201"/>
    </row>
    <row r="169" ht="15.75" customHeight="1">
      <c r="G169" s="201"/>
    </row>
    <row r="170" ht="15.75" customHeight="1">
      <c r="G170" s="201"/>
    </row>
    <row r="171" ht="15.75" customHeight="1">
      <c r="G171" s="201"/>
    </row>
    <row r="172" ht="15.75" customHeight="1">
      <c r="G172" s="201"/>
    </row>
    <row r="173" ht="15.75" customHeight="1">
      <c r="G173" s="201"/>
    </row>
    <row r="174" ht="15.75" customHeight="1">
      <c r="G174" s="201"/>
    </row>
    <row r="175" ht="15.75" customHeight="1">
      <c r="G175" s="201"/>
    </row>
    <row r="176" ht="15.75" customHeight="1">
      <c r="G176" s="201"/>
    </row>
    <row r="177" ht="15.75" customHeight="1">
      <c r="G177" s="201"/>
    </row>
    <row r="178" ht="15.75" customHeight="1">
      <c r="G178" s="201"/>
    </row>
    <row r="179" ht="15.75" customHeight="1">
      <c r="G179" s="201"/>
    </row>
    <row r="180" ht="15.75" customHeight="1">
      <c r="G180" s="201"/>
    </row>
    <row r="181" ht="15.75" customHeight="1">
      <c r="G181" s="201"/>
    </row>
    <row r="182" ht="15.75" customHeight="1">
      <c r="G182" s="201"/>
    </row>
    <row r="183" ht="15.75" customHeight="1">
      <c r="G183" s="201"/>
    </row>
    <row r="184" ht="15.75" customHeight="1">
      <c r="G184" s="201"/>
    </row>
    <row r="185" ht="15.75" customHeight="1">
      <c r="G185" s="201"/>
    </row>
    <row r="186" ht="15.75" customHeight="1">
      <c r="G186" s="201"/>
    </row>
    <row r="187" ht="15.75" customHeight="1">
      <c r="G187" s="201"/>
    </row>
    <row r="188" ht="15.75" customHeight="1">
      <c r="G188" s="201"/>
    </row>
    <row r="189" ht="15.75" customHeight="1">
      <c r="G189" s="201"/>
    </row>
    <row r="190" ht="15.75" customHeight="1">
      <c r="G190" s="201"/>
    </row>
    <row r="191" ht="15.75" customHeight="1">
      <c r="G191" s="201"/>
    </row>
    <row r="192" ht="15.75" customHeight="1">
      <c r="G192" s="201"/>
    </row>
    <row r="193" ht="15.75" customHeight="1">
      <c r="G193" s="201"/>
    </row>
    <row r="194" ht="15.75" customHeight="1">
      <c r="G194" s="201"/>
    </row>
    <row r="195" ht="15.75" customHeight="1">
      <c r="G195" s="201"/>
    </row>
    <row r="196" ht="15.75" customHeight="1">
      <c r="G196" s="201"/>
    </row>
    <row r="197" ht="15.75" customHeight="1">
      <c r="G197" s="201"/>
    </row>
    <row r="198" ht="15.75" customHeight="1">
      <c r="G198" s="201"/>
    </row>
    <row r="199" ht="15.75" customHeight="1">
      <c r="G199" s="201"/>
    </row>
    <row r="200" ht="15.75" customHeight="1">
      <c r="G200" s="201"/>
    </row>
    <row r="201" ht="15.75" customHeight="1">
      <c r="G201" s="201"/>
    </row>
    <row r="202" ht="15.75" customHeight="1">
      <c r="G202" s="201"/>
    </row>
    <row r="203" ht="15.75" customHeight="1">
      <c r="G203" s="201"/>
    </row>
    <row r="204" ht="15.75" customHeight="1">
      <c r="G204" s="201"/>
    </row>
    <row r="205" ht="15.75" customHeight="1">
      <c r="G205" s="201"/>
    </row>
    <row r="206" ht="15.75" customHeight="1">
      <c r="G206" s="201"/>
    </row>
    <row r="207" ht="15.75" customHeight="1">
      <c r="G207" s="201"/>
    </row>
    <row r="208" ht="15.75" customHeight="1">
      <c r="G208" s="201"/>
    </row>
    <row r="209" ht="15.75" customHeight="1">
      <c r="G209" s="201"/>
    </row>
    <row r="210" ht="15.75" customHeight="1">
      <c r="G210" s="201"/>
    </row>
    <row r="211" ht="15.75" customHeight="1">
      <c r="G211" s="201"/>
    </row>
    <row r="212" ht="15.75" customHeight="1">
      <c r="G212" s="201"/>
    </row>
    <row r="213" ht="15.75" customHeight="1">
      <c r="G213" s="201"/>
    </row>
    <row r="214" ht="15.75" customHeight="1">
      <c r="G214" s="201"/>
    </row>
    <row r="215" ht="15.75" customHeight="1">
      <c r="G215" s="201"/>
    </row>
    <row r="216" ht="15.75" customHeight="1">
      <c r="G216" s="201"/>
    </row>
    <row r="217" ht="15.75" customHeight="1">
      <c r="G217" s="201"/>
    </row>
    <row r="218" ht="15.75" customHeight="1">
      <c r="G218" s="201"/>
    </row>
    <row r="219" ht="15.75" customHeight="1">
      <c r="G219" s="201"/>
    </row>
    <row r="220" ht="15.75" customHeight="1">
      <c r="G220" s="201"/>
    </row>
    <row r="221" ht="15.75" customHeight="1">
      <c r="G221" s="201"/>
    </row>
    <row r="222" ht="15.75" customHeight="1">
      <c r="G222" s="201"/>
    </row>
    <row r="223" ht="15.75" customHeight="1">
      <c r="G223" s="201"/>
    </row>
    <row r="224" ht="15.75" customHeight="1">
      <c r="G224" s="201"/>
    </row>
    <row r="225" ht="15.75" customHeight="1">
      <c r="G225" s="201"/>
    </row>
    <row r="226" ht="15.75" customHeight="1">
      <c r="G226" s="201"/>
    </row>
    <row r="227" ht="15.75" customHeight="1">
      <c r="G227" s="201"/>
    </row>
    <row r="228" ht="15.75" customHeight="1">
      <c r="G228" s="201"/>
    </row>
    <row r="229" ht="15.75" customHeight="1">
      <c r="G229" s="201"/>
    </row>
    <row r="230" ht="15.75" customHeight="1">
      <c r="G230" s="201"/>
    </row>
    <row r="231" ht="15.75" customHeight="1">
      <c r="G231" s="201"/>
    </row>
    <row r="232" ht="15.75" customHeight="1">
      <c r="G232" s="201"/>
    </row>
    <row r="233" ht="15.75" customHeight="1">
      <c r="G233" s="201"/>
    </row>
    <row r="234" ht="15.75" customHeight="1">
      <c r="G234" s="201"/>
    </row>
    <row r="235" ht="15.75" customHeight="1">
      <c r="G235" s="201"/>
    </row>
    <row r="236" ht="15.75" customHeight="1">
      <c r="G236" s="201"/>
    </row>
    <row r="237" ht="15.75" customHeight="1">
      <c r="G237" s="201"/>
    </row>
    <row r="238" ht="15.75" customHeight="1">
      <c r="G238" s="201"/>
    </row>
    <row r="239" ht="15.75" customHeight="1">
      <c r="G239" s="201"/>
    </row>
    <row r="240" ht="15.75" customHeight="1">
      <c r="G240" s="201"/>
    </row>
    <row r="241" ht="15.75" customHeight="1">
      <c r="G241" s="201"/>
    </row>
    <row r="242" ht="15.75" customHeight="1">
      <c r="G242" s="201"/>
    </row>
    <row r="243" ht="15.75" customHeight="1">
      <c r="G243" s="201"/>
    </row>
    <row r="244" ht="15.75" customHeight="1">
      <c r="G244" s="201"/>
    </row>
    <row r="245" ht="15.75" customHeight="1">
      <c r="G245" s="201"/>
    </row>
    <row r="246" ht="15.75" customHeight="1">
      <c r="G246" s="201"/>
    </row>
    <row r="247" ht="15.75" customHeight="1">
      <c r="G247" s="201"/>
    </row>
    <row r="248" ht="15.75" customHeight="1">
      <c r="G248" s="201"/>
    </row>
    <row r="249" ht="15.75" customHeight="1">
      <c r="G249" s="201"/>
    </row>
    <row r="250" ht="15.75" customHeight="1">
      <c r="G250" s="201"/>
    </row>
    <row r="251" ht="15.75" customHeight="1">
      <c r="G251" s="201"/>
    </row>
    <row r="252" ht="15.75" customHeight="1">
      <c r="G252" s="201"/>
    </row>
    <row r="253" ht="15.75" customHeight="1">
      <c r="G253" s="201"/>
    </row>
    <row r="254" ht="15.75" customHeight="1">
      <c r="G254" s="201"/>
    </row>
    <row r="255" ht="15.75" customHeight="1">
      <c r="G255" s="201"/>
    </row>
    <row r="256" ht="15.75" customHeight="1">
      <c r="G256" s="201"/>
    </row>
    <row r="257" ht="15.75" customHeight="1">
      <c r="G257" s="201"/>
    </row>
    <row r="258" ht="15.75" customHeight="1">
      <c r="G258" s="201"/>
    </row>
    <row r="259" ht="15.75" customHeight="1">
      <c r="G259" s="201"/>
    </row>
    <row r="260" ht="15.75" customHeight="1">
      <c r="G260" s="201"/>
    </row>
    <row r="261" ht="15.75" customHeight="1">
      <c r="G261" s="201"/>
    </row>
    <row r="262" ht="15.75" customHeight="1">
      <c r="G262" s="201"/>
    </row>
    <row r="263" ht="15.75" customHeight="1">
      <c r="G263" s="201"/>
    </row>
    <row r="264" ht="15.75" customHeight="1">
      <c r="G264" s="201"/>
    </row>
    <row r="265" ht="15.75" customHeight="1">
      <c r="G265" s="201"/>
    </row>
    <row r="266" ht="15.75" customHeight="1">
      <c r="G266" s="201"/>
    </row>
    <row r="267" ht="15.75" customHeight="1">
      <c r="G267" s="201"/>
    </row>
    <row r="268" ht="15.75" customHeight="1">
      <c r="G268" s="201"/>
    </row>
    <row r="269" ht="15.75" customHeight="1">
      <c r="G269" s="201"/>
    </row>
    <row r="270" ht="15.75" customHeight="1">
      <c r="G270" s="201"/>
    </row>
    <row r="271" ht="15.75" customHeight="1">
      <c r="G271" s="201"/>
    </row>
    <row r="272" ht="15.75" customHeight="1">
      <c r="G272" s="201"/>
    </row>
    <row r="273" ht="15.75" customHeight="1">
      <c r="G273" s="201"/>
    </row>
    <row r="274" ht="15.75" customHeight="1">
      <c r="G274" s="201"/>
    </row>
    <row r="275" ht="15.75" customHeight="1">
      <c r="G275" s="201"/>
    </row>
    <row r="276" ht="15.75" customHeight="1">
      <c r="G276" s="201"/>
    </row>
    <row r="277" ht="15.75" customHeight="1">
      <c r="G277" s="201"/>
    </row>
    <row r="278" ht="15.75" customHeight="1">
      <c r="G278" s="201"/>
    </row>
    <row r="279" ht="15.75" customHeight="1">
      <c r="G279" s="201"/>
    </row>
    <row r="280" ht="15.75" customHeight="1">
      <c r="G280" s="201"/>
    </row>
    <row r="281" ht="15.75" customHeight="1">
      <c r="G281" s="201"/>
    </row>
    <row r="282" ht="15.75" customHeight="1">
      <c r="G282" s="201"/>
    </row>
    <row r="283" ht="15.75" customHeight="1">
      <c r="G283" s="201"/>
    </row>
    <row r="284" ht="15.75" customHeight="1">
      <c r="G284" s="201"/>
    </row>
    <row r="285" ht="15.75" customHeight="1">
      <c r="G285" s="201"/>
    </row>
    <row r="286" ht="15.75" customHeight="1">
      <c r="G286" s="201"/>
    </row>
    <row r="287" ht="15.75" customHeight="1">
      <c r="G287" s="201"/>
    </row>
    <row r="288" ht="15.75" customHeight="1">
      <c r="G288" s="201"/>
    </row>
    <row r="289" ht="15.75" customHeight="1">
      <c r="G289" s="201"/>
    </row>
    <row r="290" ht="15.75" customHeight="1">
      <c r="G290" s="201"/>
    </row>
    <row r="291" ht="15.75" customHeight="1">
      <c r="G291" s="201"/>
    </row>
    <row r="292" ht="15.75" customHeight="1">
      <c r="G292" s="201"/>
    </row>
    <row r="293" ht="15.75" customHeight="1">
      <c r="G293" s="201"/>
    </row>
    <row r="294" ht="15.75" customHeight="1">
      <c r="G294" s="201"/>
    </row>
    <row r="295" ht="15.75" customHeight="1">
      <c r="G295" s="201"/>
    </row>
    <row r="296" ht="15.75" customHeight="1">
      <c r="G296" s="201"/>
    </row>
    <row r="297" ht="15.75" customHeight="1">
      <c r="G297" s="201"/>
    </row>
    <row r="298" ht="15.75" customHeight="1">
      <c r="G298" s="201"/>
    </row>
    <row r="299" ht="15.75" customHeight="1">
      <c r="G299" s="201"/>
    </row>
    <row r="300" ht="15.75" customHeight="1">
      <c r="G300" s="201"/>
    </row>
    <row r="301" ht="15.75" customHeight="1">
      <c r="G301" s="201"/>
    </row>
    <row r="302" ht="15.75" customHeight="1">
      <c r="G302" s="201"/>
    </row>
    <row r="303" ht="15.75" customHeight="1">
      <c r="G303" s="201"/>
    </row>
    <row r="304" ht="15.75" customHeight="1">
      <c r="G304" s="201"/>
    </row>
    <row r="305" ht="15.75" customHeight="1">
      <c r="G305" s="201"/>
    </row>
    <row r="306" ht="15.75" customHeight="1">
      <c r="G306" s="201"/>
    </row>
    <row r="307" ht="15.75" customHeight="1">
      <c r="G307" s="201"/>
    </row>
    <row r="308" ht="15.75" customHeight="1">
      <c r="G308" s="201"/>
    </row>
    <row r="309" ht="15.75" customHeight="1">
      <c r="G309" s="201"/>
    </row>
    <row r="310" ht="15.75" customHeight="1">
      <c r="G310" s="201"/>
    </row>
    <row r="311" ht="15.75" customHeight="1">
      <c r="G311" s="201"/>
    </row>
    <row r="312" ht="15.75" customHeight="1">
      <c r="G312" s="201"/>
    </row>
    <row r="313" ht="15.75" customHeight="1">
      <c r="G313" s="201"/>
    </row>
    <row r="314" ht="15.75" customHeight="1">
      <c r="G314" s="201"/>
    </row>
    <row r="315" ht="15.75" customHeight="1">
      <c r="G315" s="201"/>
    </row>
    <row r="316" ht="15.75" customHeight="1">
      <c r="G316" s="201"/>
    </row>
    <row r="317" ht="15.75" customHeight="1">
      <c r="G317" s="201"/>
    </row>
    <row r="318" ht="15.75" customHeight="1">
      <c r="G318" s="201"/>
    </row>
    <row r="319" ht="15.75" customHeight="1">
      <c r="G319" s="201"/>
    </row>
    <row r="320" ht="15.75" customHeight="1">
      <c r="G320" s="201"/>
    </row>
    <row r="321" ht="15.75" customHeight="1">
      <c r="G321" s="201"/>
    </row>
    <row r="322" ht="15.75" customHeight="1">
      <c r="G322" s="201"/>
    </row>
    <row r="323" ht="15.75" customHeight="1">
      <c r="G323" s="201"/>
    </row>
    <row r="324" ht="15.75" customHeight="1">
      <c r="G324" s="201"/>
    </row>
    <row r="325" ht="15.75" customHeight="1">
      <c r="G325" s="201"/>
    </row>
    <row r="326" ht="15.75" customHeight="1">
      <c r="G326" s="201"/>
    </row>
    <row r="327" ht="15.75" customHeight="1">
      <c r="G327" s="201"/>
    </row>
    <row r="328" ht="15.75" customHeight="1">
      <c r="G328" s="201"/>
    </row>
    <row r="329" ht="15.75" customHeight="1">
      <c r="G329" s="201"/>
    </row>
    <row r="330" ht="15.75" customHeight="1">
      <c r="G330" s="201"/>
    </row>
    <row r="331" ht="15.75" customHeight="1">
      <c r="G331" s="201"/>
    </row>
    <row r="332" ht="15.75" customHeight="1">
      <c r="G332" s="201"/>
    </row>
    <row r="333" ht="15.75" customHeight="1">
      <c r="G333" s="201"/>
    </row>
    <row r="334" ht="15.75" customHeight="1">
      <c r="G334" s="201"/>
    </row>
    <row r="335" ht="15.75" customHeight="1">
      <c r="G335" s="201"/>
    </row>
    <row r="336" ht="15.75" customHeight="1">
      <c r="G336" s="201"/>
    </row>
    <row r="337" ht="15.75" customHeight="1">
      <c r="G337" s="201"/>
    </row>
    <row r="338" ht="15.75" customHeight="1">
      <c r="G338" s="201"/>
    </row>
    <row r="339" ht="15.75" customHeight="1">
      <c r="G339" s="201"/>
    </row>
    <row r="340" ht="15.75" customHeight="1">
      <c r="G340" s="201"/>
    </row>
    <row r="341" ht="15.75" customHeight="1">
      <c r="G341" s="201"/>
    </row>
    <row r="342" ht="15.75" customHeight="1">
      <c r="G342" s="201"/>
    </row>
    <row r="343" ht="15.75" customHeight="1">
      <c r="G343" s="201"/>
    </row>
    <row r="344" ht="15.75" customHeight="1">
      <c r="G344" s="201"/>
    </row>
    <row r="345" ht="15.75" customHeight="1">
      <c r="G345" s="201"/>
    </row>
    <row r="346" ht="15.75" customHeight="1">
      <c r="G346" s="201"/>
    </row>
    <row r="347" ht="15.75" customHeight="1">
      <c r="G347" s="201"/>
    </row>
    <row r="348" ht="15.75" customHeight="1">
      <c r="G348" s="201"/>
    </row>
    <row r="349" ht="15.75" customHeight="1">
      <c r="G349" s="201"/>
    </row>
    <row r="350" ht="15.75" customHeight="1">
      <c r="G350" s="201"/>
    </row>
    <row r="351" ht="15.75" customHeight="1">
      <c r="G351" s="201"/>
    </row>
    <row r="352" ht="15.75" customHeight="1">
      <c r="G352" s="201"/>
    </row>
    <row r="353" ht="15.75" customHeight="1">
      <c r="G353" s="201"/>
    </row>
    <row r="354" ht="15.75" customHeight="1">
      <c r="G354" s="201"/>
    </row>
    <row r="355" ht="15.75" customHeight="1">
      <c r="G355" s="201"/>
    </row>
    <row r="356" ht="15.75" customHeight="1">
      <c r="G356" s="201"/>
    </row>
    <row r="357" ht="15.75" customHeight="1">
      <c r="G357" s="201"/>
    </row>
    <row r="358" ht="15.75" customHeight="1">
      <c r="G358" s="201"/>
    </row>
    <row r="359" ht="15.75" customHeight="1">
      <c r="G359" s="201"/>
    </row>
    <row r="360" ht="15.75" customHeight="1">
      <c r="G360" s="201"/>
    </row>
    <row r="361" ht="15.75" customHeight="1">
      <c r="G361" s="201"/>
    </row>
    <row r="362" ht="15.75" customHeight="1">
      <c r="G362" s="201"/>
    </row>
    <row r="363" ht="15.75" customHeight="1">
      <c r="G363" s="201"/>
    </row>
    <row r="364" ht="15.75" customHeight="1">
      <c r="G364" s="201"/>
    </row>
    <row r="365" ht="15.75" customHeight="1">
      <c r="G365" s="201"/>
    </row>
    <row r="366" ht="15.75" customHeight="1">
      <c r="G366" s="201"/>
    </row>
    <row r="367" ht="15.75" customHeight="1">
      <c r="G367" s="201"/>
    </row>
    <row r="368" ht="15.75" customHeight="1">
      <c r="G368" s="201"/>
    </row>
    <row r="369" ht="15.75" customHeight="1">
      <c r="G369" s="201"/>
    </row>
    <row r="370" ht="15.75" customHeight="1">
      <c r="G370" s="201"/>
    </row>
    <row r="371" ht="15.75" customHeight="1">
      <c r="G371" s="201"/>
    </row>
    <row r="372" ht="15.75" customHeight="1">
      <c r="G372" s="201"/>
    </row>
    <row r="373" ht="15.75" customHeight="1">
      <c r="G373" s="201"/>
    </row>
    <row r="374" ht="15.75" customHeight="1">
      <c r="G374" s="201"/>
    </row>
    <row r="375" ht="15.75" customHeight="1">
      <c r="G375" s="201"/>
    </row>
    <row r="376" ht="15.75" customHeight="1">
      <c r="G376" s="201"/>
    </row>
    <row r="377" ht="15.75" customHeight="1">
      <c r="G377" s="201"/>
    </row>
    <row r="378" ht="15.75" customHeight="1">
      <c r="G378" s="201"/>
    </row>
    <row r="379" ht="15.75" customHeight="1">
      <c r="G379" s="201"/>
    </row>
    <row r="380" ht="15.75" customHeight="1">
      <c r="G380" s="201"/>
    </row>
    <row r="381" ht="15.75" customHeight="1">
      <c r="G381" s="201"/>
    </row>
    <row r="382" ht="15.75" customHeight="1">
      <c r="G382" s="201"/>
    </row>
    <row r="383" ht="15.75" customHeight="1">
      <c r="G383" s="201"/>
    </row>
    <row r="384" ht="15.75" customHeight="1">
      <c r="G384" s="201"/>
    </row>
    <row r="385" ht="15.75" customHeight="1">
      <c r="G385" s="201"/>
    </row>
    <row r="386" ht="15.75" customHeight="1">
      <c r="G386" s="201"/>
    </row>
    <row r="387" ht="15.75" customHeight="1">
      <c r="G387" s="201"/>
    </row>
    <row r="388" ht="15.75" customHeight="1">
      <c r="G388" s="201"/>
    </row>
    <row r="389" ht="15.75" customHeight="1">
      <c r="G389" s="201"/>
    </row>
    <row r="390" ht="15.75" customHeight="1">
      <c r="G390" s="201"/>
    </row>
    <row r="391" ht="15.75" customHeight="1">
      <c r="G391" s="201"/>
    </row>
    <row r="392" ht="15.75" customHeight="1">
      <c r="G392" s="201"/>
    </row>
    <row r="393" ht="15.75" customHeight="1">
      <c r="G393" s="201"/>
    </row>
    <row r="394" ht="15.75" customHeight="1">
      <c r="G394" s="201"/>
    </row>
    <row r="395" ht="15.75" customHeight="1">
      <c r="G395" s="201"/>
    </row>
    <row r="396" ht="15.75" customHeight="1">
      <c r="G396" s="201"/>
    </row>
    <row r="397" ht="15.75" customHeight="1">
      <c r="G397" s="201"/>
    </row>
    <row r="398" ht="15.75" customHeight="1">
      <c r="G398" s="201"/>
    </row>
    <row r="399" ht="15.75" customHeight="1">
      <c r="G399" s="201"/>
    </row>
    <row r="400" ht="15.75" customHeight="1">
      <c r="G400" s="201"/>
    </row>
    <row r="401" ht="15.75" customHeight="1">
      <c r="G401" s="201"/>
    </row>
    <row r="402" ht="15.75" customHeight="1">
      <c r="G402" s="201"/>
    </row>
    <row r="403" ht="15.75" customHeight="1">
      <c r="G403" s="201"/>
    </row>
    <row r="404" ht="15.75" customHeight="1">
      <c r="G404" s="201"/>
    </row>
    <row r="405" ht="15.75" customHeight="1">
      <c r="G405" s="201"/>
    </row>
    <row r="406" ht="15.75" customHeight="1">
      <c r="G406" s="201"/>
    </row>
    <row r="407" ht="15.75" customHeight="1">
      <c r="G407" s="201"/>
    </row>
    <row r="408" ht="15.75" customHeight="1">
      <c r="G408" s="201"/>
    </row>
    <row r="409" ht="15.75" customHeight="1">
      <c r="G409" s="201"/>
    </row>
    <row r="410" ht="15.75" customHeight="1">
      <c r="G410" s="201"/>
    </row>
    <row r="411" ht="15.75" customHeight="1">
      <c r="G411" s="201"/>
    </row>
    <row r="412" ht="15.75" customHeight="1">
      <c r="G412" s="201"/>
    </row>
    <row r="413" ht="15.75" customHeight="1">
      <c r="G413" s="201"/>
    </row>
    <row r="414" ht="15.75" customHeight="1">
      <c r="G414" s="201"/>
    </row>
    <row r="415" ht="15.75" customHeight="1">
      <c r="G415" s="201"/>
    </row>
    <row r="416" ht="15.75" customHeight="1">
      <c r="G416" s="201"/>
    </row>
    <row r="417" ht="15.75" customHeight="1">
      <c r="G417" s="201"/>
    </row>
    <row r="418" ht="15.75" customHeight="1">
      <c r="G418" s="201"/>
    </row>
    <row r="419" ht="15.75" customHeight="1">
      <c r="G419" s="201"/>
    </row>
    <row r="420" ht="15.75" customHeight="1">
      <c r="G420" s="201"/>
    </row>
    <row r="421" ht="15.75" customHeight="1">
      <c r="G421" s="201"/>
    </row>
    <row r="422" ht="15.75" customHeight="1">
      <c r="G422" s="201"/>
    </row>
    <row r="423" ht="15.75" customHeight="1">
      <c r="G423" s="201"/>
    </row>
    <row r="424" ht="15.75" customHeight="1">
      <c r="G424" s="201"/>
    </row>
    <row r="425" ht="15.75" customHeight="1">
      <c r="G425" s="201"/>
    </row>
    <row r="426" ht="15.75" customHeight="1">
      <c r="G426" s="201"/>
    </row>
    <row r="427" ht="15.75" customHeight="1">
      <c r="G427" s="201"/>
    </row>
    <row r="428" ht="15.75" customHeight="1">
      <c r="G428" s="201"/>
    </row>
    <row r="429" ht="15.75" customHeight="1">
      <c r="G429" s="201"/>
    </row>
    <row r="430" ht="15.75" customHeight="1">
      <c r="G430" s="201"/>
    </row>
    <row r="431" ht="15.75" customHeight="1">
      <c r="G431" s="201"/>
    </row>
    <row r="432" ht="15.75" customHeight="1">
      <c r="G432" s="201"/>
    </row>
    <row r="433" ht="15.75" customHeight="1">
      <c r="G433" s="201"/>
    </row>
    <row r="434" ht="15.75" customHeight="1">
      <c r="G434" s="201"/>
    </row>
    <row r="435" ht="15.75" customHeight="1">
      <c r="G435" s="201"/>
    </row>
    <row r="436" ht="15.75" customHeight="1">
      <c r="G436" s="201"/>
    </row>
    <row r="437" ht="15.75" customHeight="1">
      <c r="G437" s="201"/>
    </row>
    <row r="438" ht="15.75" customHeight="1">
      <c r="G438" s="201"/>
    </row>
    <row r="439" ht="15.75" customHeight="1">
      <c r="G439" s="201"/>
    </row>
    <row r="440" ht="15.75" customHeight="1">
      <c r="G440" s="201"/>
    </row>
    <row r="441" ht="15.75" customHeight="1">
      <c r="G441" s="201"/>
    </row>
    <row r="442" ht="15.75" customHeight="1">
      <c r="G442" s="201"/>
    </row>
    <row r="443" ht="15.75" customHeight="1">
      <c r="G443" s="201"/>
    </row>
    <row r="444" ht="15.75" customHeight="1">
      <c r="G444" s="201"/>
    </row>
    <row r="445" ht="15.75" customHeight="1">
      <c r="G445" s="201"/>
    </row>
    <row r="446" ht="15.75" customHeight="1">
      <c r="G446" s="201"/>
    </row>
    <row r="447" ht="15.75" customHeight="1">
      <c r="G447" s="201"/>
    </row>
    <row r="448" ht="15.75" customHeight="1">
      <c r="G448" s="201"/>
    </row>
    <row r="449" ht="15.75" customHeight="1">
      <c r="G449" s="201"/>
    </row>
    <row r="450" ht="15.75" customHeight="1">
      <c r="G450" s="201"/>
    </row>
    <row r="451" ht="15.75" customHeight="1">
      <c r="G451" s="201"/>
    </row>
    <row r="452" ht="15.75" customHeight="1">
      <c r="G452" s="201"/>
    </row>
    <row r="453" ht="15.75" customHeight="1">
      <c r="G453" s="201"/>
    </row>
    <row r="454" ht="15.75" customHeight="1">
      <c r="G454" s="201"/>
    </row>
    <row r="455" ht="15.75" customHeight="1">
      <c r="G455" s="201"/>
    </row>
    <row r="456" ht="15.75" customHeight="1">
      <c r="G456" s="201"/>
    </row>
    <row r="457" ht="15.75" customHeight="1">
      <c r="G457" s="201"/>
    </row>
    <row r="458" ht="15.75" customHeight="1">
      <c r="G458" s="201"/>
    </row>
    <row r="459" ht="15.75" customHeight="1">
      <c r="G459" s="201"/>
    </row>
    <row r="460" ht="15.75" customHeight="1">
      <c r="G460" s="201"/>
    </row>
    <row r="461" ht="15.75" customHeight="1">
      <c r="G461" s="201"/>
    </row>
    <row r="462" ht="15.75" customHeight="1">
      <c r="G462" s="201"/>
    </row>
    <row r="463" ht="15.75" customHeight="1">
      <c r="G463" s="201"/>
    </row>
    <row r="464" ht="15.75" customHeight="1">
      <c r="G464" s="201"/>
    </row>
    <row r="465" ht="15.75" customHeight="1">
      <c r="G465" s="201"/>
    </row>
    <row r="466" ht="15.75" customHeight="1">
      <c r="G466" s="201"/>
    </row>
    <row r="467" ht="15.75" customHeight="1">
      <c r="G467" s="201"/>
    </row>
    <row r="468" ht="15.75" customHeight="1">
      <c r="G468" s="201"/>
    </row>
    <row r="469" ht="15.75" customHeight="1">
      <c r="G469" s="201"/>
    </row>
    <row r="470" ht="15.75" customHeight="1">
      <c r="G470" s="201"/>
    </row>
    <row r="471" ht="15.75" customHeight="1">
      <c r="G471" s="201"/>
    </row>
    <row r="472" ht="15.75" customHeight="1">
      <c r="G472" s="201"/>
    </row>
    <row r="473" ht="15.75" customHeight="1">
      <c r="G473" s="201"/>
    </row>
    <row r="474" ht="15.75" customHeight="1">
      <c r="G474" s="201"/>
    </row>
    <row r="475" ht="15.75" customHeight="1">
      <c r="G475" s="201"/>
    </row>
    <row r="476" ht="15.75" customHeight="1">
      <c r="G476" s="201"/>
    </row>
    <row r="477" ht="15.75" customHeight="1">
      <c r="G477" s="201"/>
    </row>
    <row r="478" ht="15.75" customHeight="1">
      <c r="G478" s="201"/>
    </row>
    <row r="479" ht="15.75" customHeight="1">
      <c r="G479" s="201"/>
    </row>
    <row r="480" ht="15.75" customHeight="1">
      <c r="G480" s="201"/>
    </row>
    <row r="481" ht="15.75" customHeight="1">
      <c r="G481" s="201"/>
    </row>
    <row r="482" ht="15.75" customHeight="1">
      <c r="G482" s="201"/>
    </row>
    <row r="483" ht="15.75" customHeight="1">
      <c r="G483" s="201"/>
    </row>
    <row r="484" ht="15.75" customHeight="1">
      <c r="G484" s="201"/>
    </row>
    <row r="485" ht="15.75" customHeight="1">
      <c r="G485" s="201"/>
    </row>
    <row r="486" ht="15.75" customHeight="1">
      <c r="G486" s="201"/>
    </row>
    <row r="487" ht="15.75" customHeight="1">
      <c r="G487" s="201"/>
    </row>
    <row r="488" ht="15.75" customHeight="1">
      <c r="G488" s="201"/>
    </row>
    <row r="489" ht="15.75" customHeight="1">
      <c r="G489" s="201"/>
    </row>
    <row r="490" ht="15.75" customHeight="1">
      <c r="G490" s="201"/>
    </row>
    <row r="491" ht="15.75" customHeight="1">
      <c r="G491" s="201"/>
    </row>
    <row r="492" ht="15.75" customHeight="1">
      <c r="G492" s="201"/>
    </row>
    <row r="493" ht="15.75" customHeight="1">
      <c r="G493" s="201"/>
    </row>
    <row r="494" ht="15.75" customHeight="1">
      <c r="G494" s="201"/>
    </row>
    <row r="495" ht="15.75" customHeight="1">
      <c r="G495" s="201"/>
    </row>
    <row r="496" ht="15.75" customHeight="1">
      <c r="G496" s="201"/>
    </row>
    <row r="497" ht="15.75" customHeight="1">
      <c r="G497" s="201"/>
    </row>
    <row r="498" ht="15.75" customHeight="1">
      <c r="G498" s="201"/>
    </row>
    <row r="499" ht="15.75" customHeight="1">
      <c r="G499" s="201"/>
    </row>
    <row r="500" ht="15.75" customHeight="1">
      <c r="G500" s="201"/>
    </row>
    <row r="501" ht="15.75" customHeight="1">
      <c r="G501" s="201"/>
    </row>
    <row r="502" ht="15.75" customHeight="1">
      <c r="G502" s="201"/>
    </row>
    <row r="503" ht="15.75" customHeight="1">
      <c r="G503" s="201"/>
    </row>
    <row r="504" ht="15.75" customHeight="1">
      <c r="G504" s="201"/>
    </row>
    <row r="505" ht="15.75" customHeight="1">
      <c r="G505" s="201"/>
    </row>
    <row r="506" ht="15.75" customHeight="1">
      <c r="G506" s="201"/>
    </row>
    <row r="507" ht="15.75" customHeight="1">
      <c r="G507" s="201"/>
    </row>
    <row r="508" ht="15.75" customHeight="1">
      <c r="G508" s="201"/>
    </row>
    <row r="509" ht="15.75" customHeight="1">
      <c r="G509" s="201"/>
    </row>
    <row r="510" ht="15.75" customHeight="1">
      <c r="G510" s="201"/>
    </row>
    <row r="511" ht="15.75" customHeight="1">
      <c r="G511" s="201"/>
    </row>
    <row r="512" ht="15.75" customHeight="1">
      <c r="G512" s="201"/>
    </row>
    <row r="513" ht="15.75" customHeight="1">
      <c r="G513" s="201"/>
    </row>
    <row r="514" ht="15.75" customHeight="1">
      <c r="G514" s="201"/>
    </row>
    <row r="515" ht="15.75" customHeight="1">
      <c r="G515" s="201"/>
    </row>
    <row r="516" ht="15.75" customHeight="1">
      <c r="G516" s="201"/>
    </row>
    <row r="517" ht="15.75" customHeight="1">
      <c r="G517" s="201"/>
    </row>
    <row r="518" ht="15.75" customHeight="1">
      <c r="G518" s="201"/>
    </row>
    <row r="519" ht="15.75" customHeight="1">
      <c r="G519" s="201"/>
    </row>
    <row r="520" ht="15.75" customHeight="1">
      <c r="G520" s="201"/>
    </row>
    <row r="521" ht="15.75" customHeight="1">
      <c r="G521" s="201"/>
    </row>
    <row r="522" ht="15.75" customHeight="1">
      <c r="G522" s="201"/>
    </row>
    <row r="523" ht="15.75" customHeight="1">
      <c r="G523" s="201"/>
    </row>
    <row r="524" ht="15.75" customHeight="1">
      <c r="G524" s="201"/>
    </row>
    <row r="525" ht="15.75" customHeight="1">
      <c r="G525" s="201"/>
    </row>
    <row r="526" ht="15.75" customHeight="1">
      <c r="G526" s="201"/>
    </row>
    <row r="527" ht="15.75" customHeight="1">
      <c r="G527" s="201"/>
    </row>
    <row r="528" ht="15.75" customHeight="1">
      <c r="G528" s="201"/>
    </row>
    <row r="529" ht="15.75" customHeight="1">
      <c r="G529" s="201"/>
    </row>
    <row r="530" ht="15.75" customHeight="1">
      <c r="G530" s="201"/>
    </row>
    <row r="531" ht="15.75" customHeight="1">
      <c r="G531" s="201"/>
    </row>
    <row r="532" ht="15.75" customHeight="1">
      <c r="G532" s="201"/>
    </row>
    <row r="533" ht="15.75" customHeight="1">
      <c r="G533" s="201"/>
    </row>
    <row r="534" ht="15.75" customHeight="1">
      <c r="G534" s="201"/>
    </row>
    <row r="535" ht="15.75" customHeight="1">
      <c r="G535" s="201"/>
    </row>
    <row r="536" ht="15.75" customHeight="1">
      <c r="G536" s="201"/>
    </row>
    <row r="537" ht="15.75" customHeight="1">
      <c r="G537" s="201"/>
    </row>
    <row r="538" ht="15.75" customHeight="1">
      <c r="G538" s="201"/>
    </row>
    <row r="539" ht="15.75" customHeight="1">
      <c r="G539" s="201"/>
    </row>
    <row r="540" ht="15.75" customHeight="1">
      <c r="G540" s="201"/>
    </row>
    <row r="541" ht="15.75" customHeight="1">
      <c r="G541" s="201"/>
    </row>
    <row r="542" ht="15.75" customHeight="1">
      <c r="G542" s="201"/>
    </row>
    <row r="543" ht="15.75" customHeight="1">
      <c r="G543" s="201"/>
    </row>
    <row r="544" ht="15.75" customHeight="1">
      <c r="G544" s="201"/>
    </row>
    <row r="545" ht="15.75" customHeight="1">
      <c r="G545" s="201"/>
    </row>
    <row r="546" ht="15.75" customHeight="1">
      <c r="G546" s="201"/>
    </row>
    <row r="547" ht="15.75" customHeight="1">
      <c r="G547" s="201"/>
    </row>
    <row r="548" ht="15.75" customHeight="1">
      <c r="G548" s="201"/>
    </row>
    <row r="549" ht="15.75" customHeight="1">
      <c r="G549" s="201"/>
    </row>
    <row r="550" ht="15.75" customHeight="1">
      <c r="G550" s="201"/>
    </row>
    <row r="551" ht="15.75" customHeight="1">
      <c r="G551" s="201"/>
    </row>
    <row r="552" ht="15.75" customHeight="1">
      <c r="G552" s="201"/>
    </row>
    <row r="553" ht="15.75" customHeight="1">
      <c r="G553" s="201"/>
    </row>
    <row r="554" ht="15.75" customHeight="1">
      <c r="G554" s="201"/>
    </row>
    <row r="555" ht="15.75" customHeight="1">
      <c r="G555" s="201"/>
    </row>
    <row r="556" ht="15.75" customHeight="1">
      <c r="G556" s="201"/>
    </row>
    <row r="557" ht="15.75" customHeight="1">
      <c r="G557" s="201"/>
    </row>
    <row r="558" ht="15.75" customHeight="1">
      <c r="G558" s="201"/>
    </row>
    <row r="559" ht="15.75" customHeight="1">
      <c r="G559" s="201"/>
    </row>
    <row r="560" ht="15.75" customHeight="1">
      <c r="G560" s="201"/>
    </row>
    <row r="561" ht="15.75" customHeight="1">
      <c r="G561" s="201"/>
    </row>
    <row r="562" ht="15.75" customHeight="1">
      <c r="G562" s="201"/>
    </row>
    <row r="563" ht="15.75" customHeight="1">
      <c r="G563" s="201"/>
    </row>
    <row r="564" ht="15.75" customHeight="1">
      <c r="G564" s="201"/>
    </row>
    <row r="565" ht="15.75" customHeight="1">
      <c r="G565" s="201"/>
    </row>
    <row r="566" ht="15.75" customHeight="1">
      <c r="G566" s="201"/>
    </row>
    <row r="567" ht="15.75" customHeight="1">
      <c r="G567" s="201"/>
    </row>
    <row r="568" ht="15.75" customHeight="1">
      <c r="G568" s="201"/>
    </row>
    <row r="569" ht="15.75" customHeight="1">
      <c r="G569" s="201"/>
    </row>
    <row r="570" ht="15.75" customHeight="1">
      <c r="G570" s="201"/>
    </row>
    <row r="571" ht="15.75" customHeight="1">
      <c r="G571" s="201"/>
    </row>
    <row r="572" ht="15.75" customHeight="1">
      <c r="G572" s="201"/>
    </row>
    <row r="573" ht="15.75" customHeight="1">
      <c r="G573" s="201"/>
    </row>
    <row r="574" ht="15.75" customHeight="1">
      <c r="G574" s="201"/>
    </row>
    <row r="575" ht="15.75" customHeight="1">
      <c r="G575" s="201"/>
    </row>
    <row r="576" ht="15.75" customHeight="1">
      <c r="G576" s="201"/>
    </row>
    <row r="577" ht="15.75" customHeight="1">
      <c r="G577" s="201"/>
    </row>
    <row r="578" ht="15.75" customHeight="1">
      <c r="G578" s="201"/>
    </row>
    <row r="579" ht="15.75" customHeight="1">
      <c r="G579" s="201"/>
    </row>
    <row r="580" ht="15.75" customHeight="1">
      <c r="G580" s="201"/>
    </row>
    <row r="581" ht="15.75" customHeight="1">
      <c r="G581" s="201"/>
    </row>
    <row r="582" ht="15.75" customHeight="1">
      <c r="G582" s="201"/>
    </row>
    <row r="583" ht="15.75" customHeight="1">
      <c r="G583" s="201"/>
    </row>
    <row r="584" ht="15.75" customHeight="1">
      <c r="G584" s="201"/>
    </row>
    <row r="585" ht="15.75" customHeight="1">
      <c r="G585" s="201"/>
    </row>
    <row r="586" ht="15.75" customHeight="1">
      <c r="G586" s="201"/>
    </row>
    <row r="587" ht="15.75" customHeight="1">
      <c r="G587" s="201"/>
    </row>
    <row r="588" ht="15.75" customHeight="1">
      <c r="G588" s="201"/>
    </row>
    <row r="589" ht="15.75" customHeight="1">
      <c r="G589" s="201"/>
    </row>
    <row r="590" ht="15.75" customHeight="1">
      <c r="G590" s="201"/>
    </row>
    <row r="591" ht="15.75" customHeight="1">
      <c r="G591" s="201"/>
    </row>
    <row r="592" ht="15.75" customHeight="1">
      <c r="G592" s="201"/>
    </row>
    <row r="593" ht="15.75" customHeight="1">
      <c r="G593" s="201"/>
    </row>
    <row r="594" ht="15.75" customHeight="1">
      <c r="G594" s="201"/>
    </row>
    <row r="595" ht="15.75" customHeight="1">
      <c r="G595" s="201"/>
    </row>
    <row r="596" ht="15.75" customHeight="1">
      <c r="G596" s="201"/>
    </row>
    <row r="597" ht="15.75" customHeight="1">
      <c r="G597" s="201"/>
    </row>
    <row r="598" ht="15.75" customHeight="1">
      <c r="G598" s="201"/>
    </row>
    <row r="599" ht="15.75" customHeight="1">
      <c r="G599" s="201"/>
    </row>
    <row r="600" ht="15.75" customHeight="1">
      <c r="G600" s="201"/>
    </row>
    <row r="601" ht="15.75" customHeight="1">
      <c r="G601" s="201"/>
    </row>
    <row r="602" ht="15.75" customHeight="1">
      <c r="G602" s="201"/>
    </row>
    <row r="603" ht="15.75" customHeight="1">
      <c r="G603" s="201"/>
    </row>
    <row r="604" ht="15.75" customHeight="1">
      <c r="G604" s="201"/>
    </row>
    <row r="605" ht="15.75" customHeight="1">
      <c r="G605" s="201"/>
    </row>
    <row r="606" ht="15.75" customHeight="1">
      <c r="G606" s="201"/>
    </row>
    <row r="607" ht="15.75" customHeight="1">
      <c r="G607" s="201"/>
    </row>
    <row r="608" ht="15.75" customHeight="1">
      <c r="G608" s="201"/>
    </row>
    <row r="609" ht="15.75" customHeight="1">
      <c r="G609" s="201"/>
    </row>
    <row r="610" ht="15.75" customHeight="1">
      <c r="G610" s="201"/>
    </row>
    <row r="611" ht="15.75" customHeight="1">
      <c r="G611" s="201"/>
    </row>
    <row r="612" ht="15.75" customHeight="1">
      <c r="G612" s="201"/>
    </row>
    <row r="613" ht="15.75" customHeight="1">
      <c r="G613" s="201"/>
    </row>
    <row r="614" ht="15.75" customHeight="1">
      <c r="G614" s="201"/>
    </row>
    <row r="615" ht="15.75" customHeight="1">
      <c r="G615" s="201"/>
    </row>
    <row r="616" ht="15.75" customHeight="1">
      <c r="G616" s="201"/>
    </row>
    <row r="617" ht="15.75" customHeight="1">
      <c r="G617" s="201"/>
    </row>
    <row r="618" ht="15.75" customHeight="1">
      <c r="G618" s="201"/>
    </row>
    <row r="619" ht="15.75" customHeight="1">
      <c r="G619" s="201"/>
    </row>
    <row r="620" ht="15.75" customHeight="1">
      <c r="G620" s="201"/>
    </row>
    <row r="621" ht="15.75" customHeight="1">
      <c r="G621" s="201"/>
    </row>
    <row r="622" ht="15.75" customHeight="1">
      <c r="G622" s="201"/>
    </row>
    <row r="623" ht="15.75" customHeight="1">
      <c r="G623" s="201"/>
    </row>
    <row r="624" ht="15.75" customHeight="1">
      <c r="G624" s="201"/>
    </row>
    <row r="625" ht="15.75" customHeight="1">
      <c r="G625" s="201"/>
    </row>
    <row r="626" ht="15.75" customHeight="1">
      <c r="G626" s="201"/>
    </row>
    <row r="627" ht="15.75" customHeight="1">
      <c r="G627" s="201"/>
    </row>
    <row r="628" ht="15.75" customHeight="1">
      <c r="G628" s="201"/>
    </row>
    <row r="629" ht="15.75" customHeight="1">
      <c r="G629" s="201"/>
    </row>
    <row r="630" ht="15.75" customHeight="1">
      <c r="G630" s="201"/>
    </row>
    <row r="631" ht="15.75" customHeight="1">
      <c r="G631" s="201"/>
    </row>
    <row r="632" ht="15.75" customHeight="1">
      <c r="G632" s="201"/>
    </row>
    <row r="633" ht="15.75" customHeight="1">
      <c r="G633" s="201"/>
    </row>
    <row r="634" ht="15.75" customHeight="1">
      <c r="G634" s="201"/>
    </row>
    <row r="635" ht="15.75" customHeight="1">
      <c r="G635" s="201"/>
    </row>
    <row r="636" ht="15.75" customHeight="1">
      <c r="G636" s="201"/>
    </row>
    <row r="637" ht="15.75" customHeight="1">
      <c r="G637" s="201"/>
    </row>
    <row r="638" ht="15.75" customHeight="1">
      <c r="G638" s="201"/>
    </row>
    <row r="639" ht="15.75" customHeight="1">
      <c r="G639" s="201"/>
    </row>
    <row r="640" ht="15.75" customHeight="1">
      <c r="G640" s="201"/>
    </row>
    <row r="641" ht="15.75" customHeight="1">
      <c r="G641" s="201"/>
    </row>
    <row r="642" ht="15.75" customHeight="1">
      <c r="G642" s="201"/>
    </row>
    <row r="643" ht="15.75" customHeight="1">
      <c r="G643" s="201"/>
    </row>
    <row r="644" ht="15.75" customHeight="1">
      <c r="G644" s="201"/>
    </row>
    <row r="645" ht="15.75" customHeight="1">
      <c r="G645" s="201"/>
    </row>
    <row r="646" ht="15.75" customHeight="1">
      <c r="G646" s="201"/>
    </row>
    <row r="647" ht="15.75" customHeight="1">
      <c r="G647" s="201"/>
    </row>
    <row r="648" ht="15.75" customHeight="1">
      <c r="G648" s="201"/>
    </row>
    <row r="649" ht="15.75" customHeight="1">
      <c r="G649" s="201"/>
    </row>
    <row r="650" ht="15.75" customHeight="1">
      <c r="G650" s="201"/>
    </row>
    <row r="651" ht="15.75" customHeight="1">
      <c r="G651" s="201"/>
    </row>
    <row r="652" ht="15.75" customHeight="1">
      <c r="G652" s="201"/>
    </row>
    <row r="653" ht="15.75" customHeight="1">
      <c r="G653" s="201"/>
    </row>
    <row r="654" ht="15.75" customHeight="1">
      <c r="G654" s="201"/>
    </row>
    <row r="655" ht="15.75" customHeight="1">
      <c r="G655" s="201"/>
    </row>
    <row r="656" ht="15.75" customHeight="1">
      <c r="G656" s="201"/>
    </row>
    <row r="657" ht="15.75" customHeight="1">
      <c r="G657" s="201"/>
    </row>
    <row r="658" ht="15.75" customHeight="1">
      <c r="G658" s="201"/>
    </row>
    <row r="659" ht="15.75" customHeight="1">
      <c r="G659" s="201"/>
    </row>
    <row r="660" ht="15.75" customHeight="1">
      <c r="G660" s="201"/>
    </row>
    <row r="661" ht="15.75" customHeight="1">
      <c r="G661" s="201"/>
    </row>
    <row r="662" ht="15.75" customHeight="1">
      <c r="G662" s="201"/>
    </row>
    <row r="663" ht="15.75" customHeight="1">
      <c r="G663" s="201"/>
    </row>
    <row r="664" ht="15.75" customHeight="1">
      <c r="G664" s="201"/>
    </row>
    <row r="665" ht="15.75" customHeight="1">
      <c r="G665" s="201"/>
    </row>
    <row r="666" ht="15.75" customHeight="1">
      <c r="G666" s="201"/>
    </row>
    <row r="667" ht="15.75" customHeight="1">
      <c r="G667" s="201"/>
    </row>
    <row r="668" ht="15.75" customHeight="1">
      <c r="G668" s="201"/>
    </row>
    <row r="669" ht="15.75" customHeight="1">
      <c r="G669" s="201"/>
    </row>
    <row r="670" ht="15.75" customHeight="1">
      <c r="G670" s="201"/>
    </row>
    <row r="671" ht="15.75" customHeight="1">
      <c r="G671" s="201"/>
    </row>
    <row r="672" ht="15.75" customHeight="1">
      <c r="G672" s="201"/>
    </row>
    <row r="673" ht="15.75" customHeight="1">
      <c r="G673" s="201"/>
    </row>
    <row r="674" ht="15.75" customHeight="1">
      <c r="G674" s="201"/>
    </row>
    <row r="675" ht="15.75" customHeight="1">
      <c r="G675" s="201"/>
    </row>
    <row r="676" ht="15.75" customHeight="1">
      <c r="G676" s="201"/>
    </row>
    <row r="677" ht="15.75" customHeight="1">
      <c r="G677" s="201"/>
    </row>
    <row r="678" ht="15.75" customHeight="1">
      <c r="G678" s="201"/>
    </row>
    <row r="679" ht="15.75" customHeight="1">
      <c r="G679" s="201"/>
    </row>
    <row r="680" ht="15.75" customHeight="1">
      <c r="G680" s="201"/>
    </row>
    <row r="681" ht="15.75" customHeight="1">
      <c r="G681" s="201"/>
    </row>
    <row r="682" ht="15.75" customHeight="1">
      <c r="G682" s="201"/>
    </row>
    <row r="683" ht="15.75" customHeight="1">
      <c r="G683" s="201"/>
    </row>
    <row r="684" ht="15.75" customHeight="1">
      <c r="G684" s="201"/>
    </row>
    <row r="685" ht="15.75" customHeight="1">
      <c r="G685" s="201"/>
    </row>
    <row r="686" ht="15.75" customHeight="1">
      <c r="G686" s="201"/>
    </row>
    <row r="687" ht="15.75" customHeight="1">
      <c r="G687" s="201"/>
    </row>
    <row r="688" ht="15.75" customHeight="1">
      <c r="G688" s="201"/>
    </row>
    <row r="689" ht="15.75" customHeight="1">
      <c r="G689" s="201"/>
    </row>
    <row r="690" ht="15.75" customHeight="1">
      <c r="G690" s="201"/>
    </row>
    <row r="691" ht="15.75" customHeight="1">
      <c r="G691" s="201"/>
    </row>
    <row r="692" ht="15.75" customHeight="1">
      <c r="G692" s="201"/>
    </row>
    <row r="693" ht="15.75" customHeight="1">
      <c r="G693" s="201"/>
    </row>
    <row r="694" ht="15.75" customHeight="1">
      <c r="G694" s="201"/>
    </row>
    <row r="695" ht="15.75" customHeight="1">
      <c r="G695" s="201"/>
    </row>
    <row r="696" ht="15.75" customHeight="1">
      <c r="G696" s="201"/>
    </row>
    <row r="697" ht="15.75" customHeight="1">
      <c r="G697" s="201"/>
    </row>
    <row r="698" ht="15.75" customHeight="1">
      <c r="G698" s="201"/>
    </row>
    <row r="699" ht="15.75" customHeight="1">
      <c r="G699" s="201"/>
    </row>
    <row r="700" ht="15.75" customHeight="1">
      <c r="G700" s="201"/>
    </row>
    <row r="701" ht="15.75" customHeight="1">
      <c r="G701" s="201"/>
    </row>
    <row r="702" ht="15.75" customHeight="1">
      <c r="G702" s="201"/>
    </row>
    <row r="703" ht="15.75" customHeight="1">
      <c r="G703" s="201"/>
    </row>
    <row r="704" ht="15.75" customHeight="1">
      <c r="G704" s="201"/>
    </row>
    <row r="705" ht="15.75" customHeight="1">
      <c r="G705" s="201"/>
    </row>
    <row r="706" ht="15.75" customHeight="1">
      <c r="G706" s="201"/>
    </row>
    <row r="707" ht="15.75" customHeight="1">
      <c r="G707" s="201"/>
    </row>
    <row r="708" ht="15.75" customHeight="1">
      <c r="G708" s="201"/>
    </row>
    <row r="709" ht="15.75" customHeight="1">
      <c r="G709" s="201"/>
    </row>
    <row r="710" ht="15.75" customHeight="1">
      <c r="G710" s="201"/>
    </row>
    <row r="711" ht="15.75" customHeight="1">
      <c r="G711" s="201"/>
    </row>
    <row r="712" ht="15.75" customHeight="1">
      <c r="G712" s="201"/>
    </row>
    <row r="713" ht="15.75" customHeight="1">
      <c r="G713" s="201"/>
    </row>
    <row r="714" ht="15.75" customHeight="1">
      <c r="G714" s="201"/>
    </row>
    <row r="715" ht="15.75" customHeight="1">
      <c r="G715" s="201"/>
    </row>
    <row r="716" ht="15.75" customHeight="1">
      <c r="G716" s="201"/>
    </row>
    <row r="717" ht="15.75" customHeight="1">
      <c r="G717" s="201"/>
    </row>
    <row r="718" ht="15.75" customHeight="1">
      <c r="G718" s="201"/>
    </row>
    <row r="719" ht="15.75" customHeight="1">
      <c r="G719" s="201"/>
    </row>
    <row r="720" ht="15.75" customHeight="1">
      <c r="G720" s="201"/>
    </row>
    <row r="721" ht="15.75" customHeight="1">
      <c r="G721" s="201"/>
    </row>
    <row r="722" ht="15.75" customHeight="1">
      <c r="G722" s="201"/>
    </row>
    <row r="723" ht="15.75" customHeight="1">
      <c r="G723" s="201"/>
    </row>
    <row r="724" ht="15.75" customHeight="1">
      <c r="G724" s="201"/>
    </row>
    <row r="725" ht="15.75" customHeight="1">
      <c r="G725" s="201"/>
    </row>
    <row r="726" ht="15.75" customHeight="1">
      <c r="G726" s="201"/>
    </row>
    <row r="727" ht="15.75" customHeight="1">
      <c r="G727" s="201"/>
    </row>
    <row r="728" ht="15.75" customHeight="1">
      <c r="G728" s="201"/>
    </row>
    <row r="729" ht="15.75" customHeight="1">
      <c r="G729" s="201"/>
    </row>
    <row r="730" ht="15.75" customHeight="1">
      <c r="G730" s="201"/>
    </row>
    <row r="731" ht="15.75" customHeight="1">
      <c r="G731" s="201"/>
    </row>
    <row r="732" ht="15.75" customHeight="1">
      <c r="G732" s="201"/>
    </row>
    <row r="733" ht="15.75" customHeight="1">
      <c r="G733" s="201"/>
    </row>
    <row r="734" ht="15.75" customHeight="1">
      <c r="G734" s="201"/>
    </row>
    <row r="735" ht="15.75" customHeight="1">
      <c r="G735" s="201"/>
    </row>
    <row r="736" ht="15.75" customHeight="1">
      <c r="G736" s="201"/>
    </row>
    <row r="737" ht="15.75" customHeight="1">
      <c r="G737" s="201"/>
    </row>
    <row r="738" ht="15.75" customHeight="1">
      <c r="G738" s="201"/>
    </row>
    <row r="739" ht="15.75" customHeight="1">
      <c r="G739" s="201"/>
    </row>
    <row r="740" ht="15.75" customHeight="1">
      <c r="G740" s="201"/>
    </row>
    <row r="741" ht="15.75" customHeight="1">
      <c r="G741" s="201"/>
    </row>
    <row r="742" ht="15.75" customHeight="1">
      <c r="G742" s="201"/>
    </row>
    <row r="743" ht="15.75" customHeight="1">
      <c r="G743" s="201"/>
    </row>
    <row r="744" ht="15.75" customHeight="1">
      <c r="G744" s="201"/>
    </row>
    <row r="745" ht="15.75" customHeight="1">
      <c r="G745" s="201"/>
    </row>
    <row r="746" ht="15.75" customHeight="1">
      <c r="G746" s="201"/>
    </row>
    <row r="747" ht="15.75" customHeight="1">
      <c r="G747" s="201"/>
    </row>
    <row r="748" ht="15.75" customHeight="1">
      <c r="G748" s="201"/>
    </row>
    <row r="749" ht="15.75" customHeight="1">
      <c r="G749" s="201"/>
    </row>
    <row r="750" ht="15.75" customHeight="1">
      <c r="G750" s="201"/>
    </row>
    <row r="751" ht="15.75" customHeight="1">
      <c r="G751" s="201"/>
    </row>
    <row r="752" ht="15.75" customHeight="1">
      <c r="G752" s="201"/>
    </row>
    <row r="753" ht="15.75" customHeight="1">
      <c r="G753" s="201"/>
    </row>
    <row r="754" ht="15.75" customHeight="1">
      <c r="G754" s="201"/>
    </row>
    <row r="755" ht="15.75" customHeight="1">
      <c r="G755" s="201"/>
    </row>
    <row r="756" ht="15.75" customHeight="1">
      <c r="G756" s="201"/>
    </row>
    <row r="757" ht="15.75" customHeight="1">
      <c r="G757" s="201"/>
    </row>
    <row r="758" ht="15.75" customHeight="1">
      <c r="G758" s="201"/>
    </row>
    <row r="759" ht="15.75" customHeight="1">
      <c r="G759" s="201"/>
    </row>
    <row r="760" ht="15.75" customHeight="1">
      <c r="G760" s="201"/>
    </row>
    <row r="761" ht="15.75" customHeight="1">
      <c r="G761" s="201"/>
    </row>
    <row r="762" ht="15.75" customHeight="1">
      <c r="G762" s="201"/>
    </row>
    <row r="763" ht="15.75" customHeight="1">
      <c r="G763" s="201"/>
    </row>
    <row r="764" ht="15.75" customHeight="1">
      <c r="G764" s="201"/>
    </row>
    <row r="765" ht="15.75" customHeight="1">
      <c r="G765" s="201"/>
    </row>
    <row r="766" ht="15.75" customHeight="1">
      <c r="G766" s="201"/>
    </row>
    <row r="767" ht="15.75" customHeight="1">
      <c r="G767" s="201"/>
    </row>
    <row r="768" ht="15.75" customHeight="1">
      <c r="G768" s="201"/>
    </row>
    <row r="769" ht="15.75" customHeight="1">
      <c r="G769" s="201"/>
    </row>
    <row r="770" ht="15.75" customHeight="1">
      <c r="G770" s="201"/>
    </row>
    <row r="771" ht="15.75" customHeight="1">
      <c r="G771" s="201"/>
    </row>
    <row r="772" ht="15.75" customHeight="1">
      <c r="G772" s="201"/>
    </row>
    <row r="773" ht="15.75" customHeight="1">
      <c r="G773" s="201"/>
    </row>
    <row r="774" ht="15.75" customHeight="1">
      <c r="G774" s="201"/>
    </row>
    <row r="775" ht="15.75" customHeight="1">
      <c r="G775" s="201"/>
    </row>
    <row r="776" ht="15.75" customHeight="1">
      <c r="G776" s="201"/>
    </row>
    <row r="777" ht="15.75" customHeight="1">
      <c r="G777" s="201"/>
    </row>
    <row r="778" ht="15.75" customHeight="1">
      <c r="G778" s="201"/>
    </row>
    <row r="779" ht="15.75" customHeight="1">
      <c r="G779" s="201"/>
    </row>
    <row r="780" ht="15.75" customHeight="1">
      <c r="G780" s="201"/>
    </row>
    <row r="781" ht="15.75" customHeight="1">
      <c r="G781" s="201"/>
    </row>
    <row r="782" ht="15.75" customHeight="1">
      <c r="G782" s="201"/>
    </row>
    <row r="783" ht="15.75" customHeight="1">
      <c r="G783" s="201"/>
    </row>
    <row r="784" ht="15.75" customHeight="1">
      <c r="G784" s="201"/>
    </row>
    <row r="785" ht="15.75" customHeight="1">
      <c r="G785" s="201"/>
    </row>
    <row r="786" ht="15.75" customHeight="1">
      <c r="G786" s="201"/>
    </row>
    <row r="787" ht="15.75" customHeight="1">
      <c r="G787" s="201"/>
    </row>
    <row r="788" ht="15.75" customHeight="1">
      <c r="G788" s="201"/>
    </row>
    <row r="789" ht="15.75" customHeight="1">
      <c r="G789" s="201"/>
    </row>
    <row r="790" ht="15.75" customHeight="1">
      <c r="G790" s="201"/>
    </row>
    <row r="791" ht="15.75" customHeight="1">
      <c r="G791" s="201"/>
    </row>
    <row r="792" ht="15.75" customHeight="1">
      <c r="G792" s="201"/>
    </row>
    <row r="793" ht="15.75" customHeight="1">
      <c r="G793" s="201"/>
    </row>
    <row r="794" ht="15.75" customHeight="1">
      <c r="G794" s="201"/>
    </row>
    <row r="795" ht="15.75" customHeight="1">
      <c r="G795" s="201"/>
    </row>
    <row r="796" ht="15.75" customHeight="1">
      <c r="G796" s="201"/>
    </row>
    <row r="797" ht="15.75" customHeight="1">
      <c r="G797" s="201"/>
    </row>
    <row r="798" ht="15.75" customHeight="1">
      <c r="G798" s="201"/>
    </row>
    <row r="799" ht="15.75" customHeight="1">
      <c r="G799" s="201"/>
    </row>
    <row r="800" ht="15.75" customHeight="1">
      <c r="G800" s="201"/>
    </row>
    <row r="801" ht="15.75" customHeight="1">
      <c r="G801" s="201"/>
    </row>
    <row r="802" ht="15.75" customHeight="1">
      <c r="G802" s="201"/>
    </row>
    <row r="803" ht="15.75" customHeight="1">
      <c r="G803" s="201"/>
    </row>
    <row r="804" ht="15.75" customHeight="1">
      <c r="G804" s="201"/>
    </row>
    <row r="805" ht="15.75" customHeight="1">
      <c r="G805" s="201"/>
    </row>
    <row r="806" ht="15.75" customHeight="1">
      <c r="G806" s="201"/>
    </row>
    <row r="807" ht="15.75" customHeight="1">
      <c r="G807" s="201"/>
    </row>
    <row r="808" ht="15.75" customHeight="1">
      <c r="G808" s="201"/>
    </row>
    <row r="809" ht="15.75" customHeight="1">
      <c r="G809" s="201"/>
    </row>
    <row r="810" ht="15.75" customHeight="1">
      <c r="G810" s="201"/>
    </row>
    <row r="811" ht="15.75" customHeight="1">
      <c r="G811" s="201"/>
    </row>
    <row r="812" ht="15.75" customHeight="1">
      <c r="G812" s="201"/>
    </row>
    <row r="813" ht="15.75" customHeight="1">
      <c r="G813" s="201"/>
    </row>
    <row r="814" ht="15.75" customHeight="1">
      <c r="G814" s="201"/>
    </row>
    <row r="815" ht="15.75" customHeight="1">
      <c r="G815" s="201"/>
    </row>
    <row r="816" ht="15.75" customHeight="1">
      <c r="G816" s="201"/>
    </row>
    <row r="817" ht="15.75" customHeight="1">
      <c r="G817" s="201"/>
    </row>
    <row r="818" ht="15.75" customHeight="1">
      <c r="G818" s="201"/>
    </row>
    <row r="819" ht="15.75" customHeight="1">
      <c r="G819" s="201"/>
    </row>
    <row r="820" ht="15.75" customHeight="1">
      <c r="G820" s="201"/>
    </row>
    <row r="821" ht="15.75" customHeight="1">
      <c r="G821" s="201"/>
    </row>
    <row r="822" ht="15.75" customHeight="1">
      <c r="G822" s="201"/>
    </row>
    <row r="823" ht="15.75" customHeight="1">
      <c r="G823" s="201"/>
    </row>
    <row r="824" ht="15.75" customHeight="1">
      <c r="G824" s="201"/>
    </row>
    <row r="825" ht="15.75" customHeight="1">
      <c r="G825" s="201"/>
    </row>
    <row r="826" ht="15.75" customHeight="1">
      <c r="G826" s="201"/>
    </row>
    <row r="827" ht="15.75" customHeight="1">
      <c r="G827" s="201"/>
    </row>
    <row r="828" ht="15.75" customHeight="1">
      <c r="G828" s="201"/>
    </row>
    <row r="829" ht="15.75" customHeight="1">
      <c r="G829" s="201"/>
    </row>
    <row r="830" ht="15.75" customHeight="1">
      <c r="G830" s="201"/>
    </row>
    <row r="831" ht="15.75" customHeight="1">
      <c r="G831" s="201"/>
    </row>
    <row r="832" ht="15.75" customHeight="1">
      <c r="G832" s="201"/>
    </row>
    <row r="833" ht="15.75" customHeight="1">
      <c r="G833" s="201"/>
    </row>
    <row r="834" ht="15.75" customHeight="1">
      <c r="G834" s="201"/>
    </row>
    <row r="835" ht="15.75" customHeight="1">
      <c r="G835" s="201"/>
    </row>
    <row r="836" ht="15.75" customHeight="1">
      <c r="G836" s="201"/>
    </row>
    <row r="837" ht="15.75" customHeight="1">
      <c r="G837" s="201"/>
    </row>
    <row r="838" ht="15.75" customHeight="1">
      <c r="G838" s="201"/>
    </row>
    <row r="839" ht="15.75" customHeight="1">
      <c r="G839" s="201"/>
    </row>
    <row r="840" ht="15.75" customHeight="1">
      <c r="G840" s="201"/>
    </row>
    <row r="841" ht="15.75" customHeight="1">
      <c r="G841" s="201"/>
    </row>
    <row r="842" ht="15.75" customHeight="1">
      <c r="G842" s="201"/>
    </row>
    <row r="843" ht="15.75" customHeight="1">
      <c r="G843" s="201"/>
    </row>
    <row r="844" ht="15.75" customHeight="1">
      <c r="G844" s="201"/>
    </row>
    <row r="845" ht="15.75" customHeight="1">
      <c r="G845" s="201"/>
    </row>
    <row r="846" ht="15.75" customHeight="1">
      <c r="G846" s="201"/>
    </row>
    <row r="847" ht="15.75" customHeight="1">
      <c r="G847" s="201"/>
    </row>
    <row r="848" ht="15.75" customHeight="1">
      <c r="G848" s="201"/>
    </row>
    <row r="849" ht="15.75" customHeight="1">
      <c r="G849" s="201"/>
    </row>
    <row r="850" ht="15.75" customHeight="1">
      <c r="G850" s="201"/>
    </row>
    <row r="851" ht="15.75" customHeight="1">
      <c r="G851" s="201"/>
    </row>
    <row r="852" ht="15.75" customHeight="1">
      <c r="G852" s="201"/>
    </row>
    <row r="853" ht="15.75" customHeight="1">
      <c r="G853" s="201"/>
    </row>
    <row r="854" ht="15.75" customHeight="1">
      <c r="G854" s="201"/>
    </row>
    <row r="855" ht="15.75" customHeight="1">
      <c r="G855" s="201"/>
    </row>
    <row r="856" ht="15.75" customHeight="1">
      <c r="G856" s="201"/>
    </row>
    <row r="857" ht="15.75" customHeight="1">
      <c r="G857" s="201"/>
    </row>
    <row r="858" ht="15.75" customHeight="1">
      <c r="G858" s="201"/>
    </row>
    <row r="859" ht="15.75" customHeight="1">
      <c r="G859" s="201"/>
    </row>
    <row r="860" ht="15.75" customHeight="1">
      <c r="G860" s="201"/>
    </row>
    <row r="861" ht="15.75" customHeight="1">
      <c r="G861" s="201"/>
    </row>
    <row r="862" ht="15.75" customHeight="1">
      <c r="G862" s="201"/>
    </row>
    <row r="863" ht="15.75" customHeight="1">
      <c r="G863" s="201"/>
    </row>
    <row r="864" ht="15.75" customHeight="1">
      <c r="G864" s="201"/>
    </row>
    <row r="865" ht="15.75" customHeight="1">
      <c r="G865" s="201"/>
    </row>
    <row r="866" ht="15.75" customHeight="1">
      <c r="G866" s="201"/>
    </row>
    <row r="867" ht="15.75" customHeight="1">
      <c r="G867" s="201"/>
    </row>
    <row r="868" ht="15.75" customHeight="1">
      <c r="G868" s="201"/>
    </row>
    <row r="869" ht="15.75" customHeight="1">
      <c r="G869" s="201"/>
    </row>
    <row r="870" ht="15.75" customHeight="1">
      <c r="G870" s="201"/>
    </row>
    <row r="871" ht="15.75" customHeight="1">
      <c r="G871" s="201"/>
    </row>
    <row r="872" ht="15.75" customHeight="1">
      <c r="G872" s="201"/>
    </row>
    <row r="873" ht="15.75" customHeight="1">
      <c r="G873" s="201"/>
    </row>
    <row r="874" ht="15.75" customHeight="1">
      <c r="G874" s="201"/>
    </row>
    <row r="875" ht="15.75" customHeight="1">
      <c r="G875" s="201"/>
    </row>
    <row r="876" ht="15.75" customHeight="1">
      <c r="G876" s="201"/>
    </row>
    <row r="877" ht="15.75" customHeight="1">
      <c r="G877" s="201"/>
    </row>
    <row r="878" ht="15.75" customHeight="1">
      <c r="G878" s="201"/>
    </row>
    <row r="879" ht="15.75" customHeight="1">
      <c r="G879" s="201"/>
    </row>
    <row r="880" ht="15.75" customHeight="1">
      <c r="G880" s="201"/>
    </row>
    <row r="881" ht="15.75" customHeight="1">
      <c r="G881" s="201"/>
    </row>
    <row r="882" ht="15.75" customHeight="1">
      <c r="G882" s="201"/>
    </row>
    <row r="883" ht="15.75" customHeight="1">
      <c r="G883" s="201"/>
    </row>
    <row r="884" ht="15.75" customHeight="1">
      <c r="G884" s="201"/>
    </row>
    <row r="885" ht="15.75" customHeight="1">
      <c r="G885" s="201"/>
    </row>
    <row r="886" ht="15.75" customHeight="1">
      <c r="G886" s="201"/>
    </row>
    <row r="887" ht="15.75" customHeight="1">
      <c r="G887" s="201"/>
    </row>
    <row r="888" ht="15.75" customHeight="1">
      <c r="G888" s="201"/>
    </row>
    <row r="889" ht="15.75" customHeight="1">
      <c r="G889" s="201"/>
    </row>
    <row r="890" ht="15.75" customHeight="1">
      <c r="G890" s="201"/>
    </row>
    <row r="891" ht="15.75" customHeight="1">
      <c r="G891" s="201"/>
    </row>
    <row r="892" ht="15.75" customHeight="1">
      <c r="G892" s="201"/>
    </row>
    <row r="893" ht="15.75" customHeight="1">
      <c r="G893" s="201"/>
    </row>
    <row r="894" ht="15.75" customHeight="1">
      <c r="G894" s="201"/>
    </row>
    <row r="895" ht="15.75" customHeight="1">
      <c r="G895" s="201"/>
    </row>
    <row r="896" ht="15.75" customHeight="1">
      <c r="G896" s="201"/>
    </row>
    <row r="897" ht="15.75" customHeight="1">
      <c r="G897" s="201"/>
    </row>
    <row r="898" ht="15.75" customHeight="1">
      <c r="G898" s="201"/>
    </row>
    <row r="899" ht="15.75" customHeight="1">
      <c r="G899" s="201"/>
    </row>
    <row r="900" ht="15.75" customHeight="1">
      <c r="G900" s="201"/>
    </row>
    <row r="901" ht="15.75" customHeight="1">
      <c r="G901" s="201"/>
    </row>
    <row r="902" ht="15.75" customHeight="1">
      <c r="G902" s="201"/>
    </row>
    <row r="903" ht="15.75" customHeight="1">
      <c r="G903" s="201"/>
    </row>
    <row r="904" ht="15.75" customHeight="1">
      <c r="G904" s="201"/>
    </row>
    <row r="905" ht="15.75" customHeight="1">
      <c r="G905" s="201"/>
    </row>
    <row r="906" ht="15.75" customHeight="1">
      <c r="G906" s="201"/>
    </row>
    <row r="907" ht="15.75" customHeight="1">
      <c r="G907" s="201"/>
    </row>
    <row r="908" ht="15.75" customHeight="1">
      <c r="G908" s="201"/>
    </row>
    <row r="909" ht="15.75" customHeight="1">
      <c r="G909" s="201"/>
    </row>
    <row r="910" ht="15.75" customHeight="1">
      <c r="G910" s="201"/>
    </row>
    <row r="911" ht="15.75" customHeight="1">
      <c r="G911" s="201"/>
    </row>
    <row r="912" ht="15.75" customHeight="1">
      <c r="G912" s="201"/>
    </row>
    <row r="913" ht="15.75" customHeight="1">
      <c r="G913" s="201"/>
    </row>
    <row r="914" ht="15.75" customHeight="1">
      <c r="G914" s="201"/>
    </row>
    <row r="915" ht="15.75" customHeight="1">
      <c r="G915" s="201"/>
    </row>
    <row r="916" ht="15.75" customHeight="1">
      <c r="G916" s="201"/>
    </row>
    <row r="917" ht="15.75" customHeight="1">
      <c r="G917" s="201"/>
    </row>
    <row r="918" ht="15.75" customHeight="1">
      <c r="G918" s="201"/>
    </row>
    <row r="919" ht="15.75" customHeight="1">
      <c r="G919" s="201"/>
    </row>
    <row r="920" ht="15.75" customHeight="1">
      <c r="G920" s="201"/>
    </row>
    <row r="921" ht="15.75" customHeight="1">
      <c r="G921" s="201"/>
    </row>
    <row r="922" ht="15.75" customHeight="1">
      <c r="G922" s="201"/>
    </row>
    <row r="923" ht="15.75" customHeight="1">
      <c r="G923" s="201"/>
    </row>
    <row r="924" ht="15.75" customHeight="1">
      <c r="G924" s="201"/>
    </row>
    <row r="925" ht="15.75" customHeight="1">
      <c r="G925" s="201"/>
    </row>
    <row r="926" ht="15.75" customHeight="1">
      <c r="G926" s="201"/>
    </row>
    <row r="927" ht="15.75" customHeight="1">
      <c r="G927" s="201"/>
    </row>
    <row r="928" ht="15.75" customHeight="1">
      <c r="G928" s="201"/>
    </row>
    <row r="929" ht="15.75" customHeight="1">
      <c r="G929" s="201"/>
    </row>
    <row r="930" ht="15.75" customHeight="1">
      <c r="G930" s="201"/>
    </row>
    <row r="931" ht="15.75" customHeight="1">
      <c r="G931" s="201"/>
    </row>
    <row r="932" ht="15.75" customHeight="1">
      <c r="G932" s="201"/>
    </row>
    <row r="933" ht="15.75" customHeight="1">
      <c r="G933" s="201"/>
    </row>
    <row r="934" ht="15.75" customHeight="1">
      <c r="G934" s="201"/>
    </row>
    <row r="935" ht="15.75" customHeight="1">
      <c r="G935" s="201"/>
    </row>
    <row r="936" ht="15.75" customHeight="1">
      <c r="G936" s="201"/>
    </row>
    <row r="937" ht="15.75" customHeight="1">
      <c r="G937" s="201"/>
    </row>
    <row r="938" ht="15.75" customHeight="1">
      <c r="G938" s="201"/>
    </row>
    <row r="939" ht="15.75" customHeight="1">
      <c r="G939" s="201"/>
    </row>
    <row r="940" ht="15.75" customHeight="1">
      <c r="G940" s="201"/>
    </row>
    <row r="941" ht="15.75" customHeight="1">
      <c r="G941" s="201"/>
    </row>
    <row r="942" ht="15.75" customHeight="1">
      <c r="G942" s="201"/>
    </row>
    <row r="943" ht="15.75" customHeight="1">
      <c r="G943" s="201"/>
    </row>
    <row r="944" ht="15.75" customHeight="1">
      <c r="G944" s="201"/>
    </row>
    <row r="945" ht="15.75" customHeight="1">
      <c r="G945" s="201"/>
    </row>
    <row r="946" ht="15.75" customHeight="1">
      <c r="G946" s="201"/>
    </row>
    <row r="947" ht="15.75" customHeight="1">
      <c r="G947" s="201"/>
    </row>
    <row r="948" ht="15.75" customHeight="1">
      <c r="G948" s="201"/>
    </row>
    <row r="949" ht="15.75" customHeight="1">
      <c r="G949" s="201"/>
    </row>
    <row r="950" ht="15.75" customHeight="1">
      <c r="G950" s="201"/>
    </row>
    <row r="951" ht="15.75" customHeight="1">
      <c r="G951" s="201"/>
    </row>
    <row r="952" ht="15.75" customHeight="1">
      <c r="G952" s="201"/>
    </row>
    <row r="953" ht="15.75" customHeight="1">
      <c r="G953" s="201"/>
    </row>
    <row r="954" ht="15.75" customHeight="1">
      <c r="G954" s="201"/>
    </row>
    <row r="955" ht="15.75" customHeight="1">
      <c r="G955" s="201"/>
    </row>
    <row r="956" ht="15.75" customHeight="1">
      <c r="G956" s="201"/>
    </row>
    <row r="957" ht="15.75" customHeight="1">
      <c r="G957" s="201"/>
    </row>
    <row r="958" ht="15.75" customHeight="1">
      <c r="G958" s="201"/>
    </row>
    <row r="959" ht="15.75" customHeight="1">
      <c r="G959" s="201"/>
    </row>
    <row r="960" ht="15.75" customHeight="1">
      <c r="G960" s="201"/>
    </row>
    <row r="961" ht="15.75" customHeight="1">
      <c r="G961" s="201"/>
    </row>
    <row r="962" ht="15.75" customHeight="1">
      <c r="G962" s="201"/>
    </row>
    <row r="963" ht="15.75" customHeight="1">
      <c r="G963" s="201"/>
    </row>
    <row r="964" ht="15.75" customHeight="1">
      <c r="G964" s="201"/>
    </row>
    <row r="965" ht="15.75" customHeight="1">
      <c r="G965" s="201"/>
    </row>
    <row r="966" ht="15.75" customHeight="1">
      <c r="G966" s="201"/>
    </row>
    <row r="967" ht="15.75" customHeight="1">
      <c r="G967" s="201"/>
    </row>
    <row r="968" ht="15.75" customHeight="1">
      <c r="G968" s="201"/>
    </row>
    <row r="969" ht="15.75" customHeight="1">
      <c r="G969" s="201"/>
    </row>
    <row r="970" ht="15.75" customHeight="1">
      <c r="G970" s="201"/>
    </row>
    <row r="971" ht="15.75" customHeight="1">
      <c r="G971" s="201"/>
    </row>
    <row r="972" ht="15.75" customHeight="1">
      <c r="G972" s="201"/>
    </row>
    <row r="973" ht="15.75" customHeight="1">
      <c r="G973" s="201"/>
    </row>
    <row r="974" ht="15.75" customHeight="1">
      <c r="G974" s="201"/>
    </row>
    <row r="975" ht="15.75" customHeight="1">
      <c r="G975" s="201"/>
    </row>
    <row r="976" ht="15.75" customHeight="1">
      <c r="G976" s="201"/>
    </row>
    <row r="977" ht="15.75" customHeight="1">
      <c r="G977" s="201"/>
    </row>
    <row r="978" ht="15.75" customHeight="1">
      <c r="G978" s="201"/>
    </row>
    <row r="979" ht="15.75" customHeight="1">
      <c r="G979" s="201"/>
    </row>
    <row r="980" ht="15.75" customHeight="1">
      <c r="G980" s="201"/>
    </row>
    <row r="981" ht="15.75" customHeight="1">
      <c r="G981" s="201"/>
    </row>
    <row r="982" ht="15.75" customHeight="1">
      <c r="G982" s="201"/>
    </row>
    <row r="983" ht="15.75" customHeight="1">
      <c r="G983" s="201"/>
    </row>
    <row r="984" ht="15.75" customHeight="1">
      <c r="G984" s="201"/>
    </row>
    <row r="985" ht="15.75" customHeight="1">
      <c r="G985" s="201"/>
    </row>
    <row r="986" ht="15.75" customHeight="1">
      <c r="G986" s="201"/>
    </row>
    <row r="987" ht="15.75" customHeight="1">
      <c r="G987" s="201"/>
    </row>
    <row r="988" ht="15.75" customHeight="1">
      <c r="G988" s="201"/>
    </row>
    <row r="989" ht="15.75" customHeight="1">
      <c r="G989" s="201"/>
    </row>
    <row r="990" ht="15.75" customHeight="1">
      <c r="G990" s="201"/>
    </row>
    <row r="991" ht="15.75" customHeight="1">
      <c r="G991" s="201"/>
    </row>
    <row r="992" ht="15.75" customHeight="1">
      <c r="G992" s="201"/>
    </row>
    <row r="993" ht="15.75" customHeight="1">
      <c r="G993" s="201"/>
    </row>
    <row r="994" ht="15.75" customHeight="1">
      <c r="G994" s="201"/>
    </row>
    <row r="995" ht="15.75" customHeight="1">
      <c r="G995" s="201"/>
    </row>
    <row r="996" ht="15.75" customHeight="1">
      <c r="G996" s="201"/>
    </row>
    <row r="997" ht="15.75" customHeight="1">
      <c r="G997" s="201"/>
    </row>
    <row r="998" ht="15.75" customHeight="1">
      <c r="G998" s="201"/>
    </row>
    <row r="999" ht="15.75" customHeight="1">
      <c r="G999" s="201"/>
    </row>
    <row r="1000" ht="15.75" customHeight="1">
      <c r="G1000" s="201"/>
    </row>
  </sheetData>
  <conditionalFormatting sqref="I10:S12">
    <cfRule type="cellIs" dxfId="5" priority="1" operator="greaterThan">
      <formula>0</formula>
    </cfRule>
  </conditionalFormatting>
  <conditionalFormatting sqref="T10:AB12">
    <cfRule type="cellIs" dxfId="5" priority="2" operator="greaterThan">
      <formula>0</formula>
    </cfRule>
  </conditionalFormatting>
  <conditionalFormatting sqref="A1:G1000">
    <cfRule type="expression" dxfId="7" priority="3">
      <formula>ISFORMULA(A1)</formula>
    </cfRule>
  </conditionalFormatting>
  <conditionalFormatting sqref="A10:AC12">
    <cfRule type="expression" dxfId="6" priority="4">
      <formula>ISEVEN($A10)</formula>
    </cfRule>
  </conditionalFormatting>
  <conditionalFormatting sqref="I16:S18">
    <cfRule type="cellIs" dxfId="5" priority="5" operator="greaterThan">
      <formula>0</formula>
    </cfRule>
  </conditionalFormatting>
  <conditionalFormatting sqref="T16:AB18">
    <cfRule type="cellIs" dxfId="5" priority="6" operator="greaterThan">
      <formula>0</formula>
    </cfRule>
  </conditionalFormatting>
  <conditionalFormatting sqref="A16:AC18">
    <cfRule type="expression" dxfId="6" priority="7">
      <formula>ISEVEN($A16)</formula>
    </cfRule>
  </conditionalFormatting>
  <conditionalFormatting sqref="I22:S24">
    <cfRule type="cellIs" dxfId="5" priority="8" operator="greaterThan">
      <formula>0</formula>
    </cfRule>
  </conditionalFormatting>
  <conditionalFormatting sqref="T22:AB24">
    <cfRule type="cellIs" dxfId="5" priority="9" operator="greaterThan">
      <formula>0</formula>
    </cfRule>
  </conditionalFormatting>
  <conditionalFormatting sqref="A22:AC24">
    <cfRule type="expression" dxfId="6" priority="10">
      <formula>ISEVEN($A22)</formula>
    </cfRule>
  </conditionalFormatting>
  <conditionalFormatting sqref="I28:S30">
    <cfRule type="cellIs" dxfId="5" priority="11" operator="greaterThan">
      <formula>0</formula>
    </cfRule>
  </conditionalFormatting>
  <conditionalFormatting sqref="T28:AB30">
    <cfRule type="cellIs" dxfId="5" priority="12" operator="greaterThan">
      <formula>0</formula>
    </cfRule>
  </conditionalFormatting>
  <conditionalFormatting sqref="A28:AC30">
    <cfRule type="expression" dxfId="6" priority="13">
      <formula>ISEVEN($A28)</formula>
    </cfRule>
  </conditionalFormatting>
  <conditionalFormatting sqref="I34:S36">
    <cfRule type="cellIs" dxfId="5" priority="14" operator="greaterThan">
      <formula>0</formula>
    </cfRule>
  </conditionalFormatting>
  <conditionalFormatting sqref="T34:AB36">
    <cfRule type="cellIs" dxfId="5" priority="15" operator="greaterThan">
      <formula>0</formula>
    </cfRule>
  </conditionalFormatting>
  <conditionalFormatting sqref="A34:AC36">
    <cfRule type="expression" dxfId="6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79" t="s">
        <v>217</v>
      </c>
      <c r="G1" s="201"/>
    </row>
    <row r="2" ht="19.5" customHeight="1">
      <c r="A2" s="112" t="s">
        <v>114</v>
      </c>
      <c r="B2" s="112"/>
      <c r="C2" s="112"/>
      <c r="D2" s="112"/>
      <c r="E2" s="112"/>
      <c r="F2" s="112"/>
      <c r="G2" s="20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</row>
    <row r="3">
      <c r="A3" s="145" t="s">
        <v>218</v>
      </c>
      <c r="B3" s="146">
        <v>5.0</v>
      </c>
      <c r="G3" s="201"/>
    </row>
    <row r="4">
      <c r="A4" s="145" t="s">
        <v>219</v>
      </c>
      <c r="B4" s="146">
        <v>3.0</v>
      </c>
      <c r="G4" s="201"/>
    </row>
    <row r="5">
      <c r="A5" s="145" t="s">
        <v>220</v>
      </c>
      <c r="B5" s="146">
        <v>1.0</v>
      </c>
      <c r="G5" s="201"/>
    </row>
    <row r="6">
      <c r="G6" s="201"/>
    </row>
    <row r="7" ht="19.5" customHeight="1">
      <c r="A7" s="203" t="s">
        <v>116</v>
      </c>
      <c r="B7" s="203"/>
      <c r="C7" s="203"/>
      <c r="D7" s="203"/>
      <c r="E7" s="203"/>
      <c r="F7" s="203"/>
      <c r="G7" s="204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  <c r="AC7" s="203"/>
    </row>
    <row r="8" ht="17.25" customHeight="1">
      <c r="A8" s="205" t="s">
        <v>56</v>
      </c>
      <c r="B8" s="206"/>
      <c r="C8" s="206"/>
      <c r="D8" s="206"/>
      <c r="E8" s="206"/>
      <c r="F8" s="206"/>
      <c r="G8" s="207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</row>
    <row r="9" ht="90.0" customHeight="1">
      <c r="A9" s="208" t="s">
        <v>143</v>
      </c>
      <c r="B9" s="208" t="s">
        <v>157</v>
      </c>
      <c r="C9" s="208" t="s">
        <v>221</v>
      </c>
      <c r="D9" s="209" t="s">
        <v>222</v>
      </c>
      <c r="E9" s="209" t="s">
        <v>223</v>
      </c>
      <c r="F9" s="208" t="s">
        <v>64</v>
      </c>
      <c r="G9" s="210" t="s">
        <v>224</v>
      </c>
      <c r="I9" s="211" t="s">
        <v>68</v>
      </c>
      <c r="J9" s="211" t="s">
        <v>69</v>
      </c>
      <c r="K9" s="211" t="s">
        <v>70</v>
      </c>
      <c r="L9" s="211" t="s">
        <v>71</v>
      </c>
      <c r="M9" s="211" t="s">
        <v>72</v>
      </c>
      <c r="N9" s="211" t="s">
        <v>73</v>
      </c>
      <c r="O9" s="211" t="s">
        <v>74</v>
      </c>
      <c r="P9" s="211" t="s">
        <v>75</v>
      </c>
      <c r="Q9" s="211" t="s">
        <v>76</v>
      </c>
      <c r="R9" s="211" t="s">
        <v>77</v>
      </c>
      <c r="S9" s="211" t="s">
        <v>78</v>
      </c>
      <c r="T9" s="212" t="s">
        <v>103</v>
      </c>
      <c r="U9" s="212" t="s">
        <v>118</v>
      </c>
      <c r="V9" s="212" t="s">
        <v>104</v>
      </c>
      <c r="W9" s="212" t="s">
        <v>105</v>
      </c>
      <c r="X9" s="212" t="s">
        <v>106</v>
      </c>
      <c r="Y9" s="212" t="s">
        <v>107</v>
      </c>
      <c r="Z9" s="212" t="s">
        <v>108</v>
      </c>
      <c r="AA9" s="212" t="s">
        <v>109</v>
      </c>
      <c r="AB9" s="212" t="s">
        <v>110</v>
      </c>
      <c r="AC9" s="208" t="s">
        <v>225</v>
      </c>
    </row>
    <row r="10">
      <c r="A10" s="121">
        <v>1.0</v>
      </c>
      <c r="B10" s="121">
        <v>1.0</v>
      </c>
      <c r="C10" s="121" t="s">
        <v>226</v>
      </c>
      <c r="D10" s="169">
        <v>2.0</v>
      </c>
      <c r="E10" s="169">
        <v>2.0</v>
      </c>
      <c r="F10" s="169">
        <v>0.0</v>
      </c>
      <c r="G10" s="213">
        <f t="shared" ref="G10:G12" si="1">IF(D10=0,0,F10/D10)</f>
        <v>0</v>
      </c>
      <c r="I10" s="169">
        <v>0.0</v>
      </c>
      <c r="J10" s="169">
        <v>0.0</v>
      </c>
      <c r="K10" s="169">
        <v>0.0</v>
      </c>
      <c r="L10" s="169">
        <v>0.0</v>
      </c>
      <c r="M10" s="169">
        <v>0.0</v>
      </c>
      <c r="N10" s="169">
        <v>0.0</v>
      </c>
      <c r="O10" s="169">
        <v>0.0</v>
      </c>
      <c r="P10" s="169">
        <v>20.0</v>
      </c>
      <c r="Q10" s="169">
        <v>0.0</v>
      </c>
      <c r="R10" s="169">
        <v>0.0</v>
      </c>
      <c r="S10" s="169">
        <v>0.0</v>
      </c>
      <c r="T10" s="121">
        <v>0.0</v>
      </c>
      <c r="U10" s="121">
        <v>0.0</v>
      </c>
      <c r="V10" s="121">
        <v>0.0</v>
      </c>
      <c r="W10" s="121">
        <v>0.0</v>
      </c>
      <c r="X10" s="121">
        <v>0.0</v>
      </c>
      <c r="Y10" s="121">
        <v>0.0</v>
      </c>
      <c r="Z10" s="121">
        <v>0.0</v>
      </c>
      <c r="AA10" s="121">
        <v>0.0</v>
      </c>
      <c r="AB10" s="121">
        <v>0.0</v>
      </c>
      <c r="AC10" s="121">
        <f t="shared" ref="AC10:AC12" si="2">SUMPRODUCT(I10:S10, {0,33,50,67,167,67,50,4.17,7.56,12.17,16.22})</f>
        <v>83.4</v>
      </c>
    </row>
    <row r="11">
      <c r="A11" s="121">
        <v>2.0</v>
      </c>
      <c r="B11" s="121">
        <v>1.0</v>
      </c>
      <c r="C11" s="121" t="s">
        <v>226</v>
      </c>
      <c r="D11" s="169">
        <v>3.0</v>
      </c>
      <c r="E11" s="169">
        <v>5.0</v>
      </c>
      <c r="F11" s="169">
        <v>10.0</v>
      </c>
      <c r="G11" s="213">
        <f t="shared" si="1"/>
        <v>3.333333333</v>
      </c>
      <c r="H11" s="190"/>
      <c r="I11" s="169">
        <v>0.0</v>
      </c>
      <c r="J11" s="169">
        <v>1.0</v>
      </c>
      <c r="K11" s="169">
        <v>0.0</v>
      </c>
      <c r="L11" s="169">
        <v>0.0</v>
      </c>
      <c r="M11" s="169">
        <v>0.0</v>
      </c>
      <c r="N11" s="169">
        <v>0.0</v>
      </c>
      <c r="O11" s="169">
        <v>0.0</v>
      </c>
      <c r="P11" s="169">
        <v>0.0</v>
      </c>
      <c r="Q11" s="169">
        <v>0.0</v>
      </c>
      <c r="R11" s="169">
        <v>0.0</v>
      </c>
      <c r="S11" s="169">
        <v>0.0</v>
      </c>
      <c r="T11" s="121">
        <v>0.0</v>
      </c>
      <c r="U11" s="121">
        <v>0.0</v>
      </c>
      <c r="V11" s="121">
        <v>0.0</v>
      </c>
      <c r="W11" s="121">
        <v>0.0</v>
      </c>
      <c r="X11" s="121">
        <v>0.0</v>
      </c>
      <c r="Y11" s="121">
        <v>0.0</v>
      </c>
      <c r="Z11" s="121">
        <v>0.0</v>
      </c>
      <c r="AA11" s="121">
        <v>0.0</v>
      </c>
      <c r="AB11" s="121">
        <v>0.0</v>
      </c>
      <c r="AC11" s="121">
        <f t="shared" si="2"/>
        <v>33</v>
      </c>
    </row>
    <row r="12">
      <c r="A12" s="121">
        <v>3.0</v>
      </c>
      <c r="B12" s="121">
        <v>1.0</v>
      </c>
      <c r="C12" s="121" t="s">
        <v>226</v>
      </c>
      <c r="D12" s="169">
        <v>5.0</v>
      </c>
      <c r="E12" s="169">
        <v>10.0</v>
      </c>
      <c r="F12" s="169">
        <v>15.0</v>
      </c>
      <c r="G12" s="213">
        <f t="shared" si="1"/>
        <v>3</v>
      </c>
      <c r="I12" s="169">
        <v>0.0</v>
      </c>
      <c r="J12" s="169">
        <v>0.0</v>
      </c>
      <c r="K12" s="169">
        <v>1.0</v>
      </c>
      <c r="L12" s="169">
        <v>0.0</v>
      </c>
      <c r="M12" s="169">
        <v>1.0</v>
      </c>
      <c r="N12" s="169">
        <v>0.0</v>
      </c>
      <c r="O12" s="169">
        <v>0.0</v>
      </c>
      <c r="P12" s="169">
        <v>0.0</v>
      </c>
      <c r="Q12" s="169">
        <v>0.0</v>
      </c>
      <c r="R12" s="169">
        <v>0.0</v>
      </c>
      <c r="S12" s="169">
        <v>0.0</v>
      </c>
      <c r="T12" s="121">
        <v>0.0</v>
      </c>
      <c r="U12" s="121">
        <v>0.0</v>
      </c>
      <c r="V12" s="121">
        <v>0.0</v>
      </c>
      <c r="W12" s="121">
        <v>0.0</v>
      </c>
      <c r="X12" s="121">
        <v>0.0</v>
      </c>
      <c r="Y12" s="121">
        <v>0.0</v>
      </c>
      <c r="Z12" s="121">
        <v>0.0</v>
      </c>
      <c r="AA12" s="121">
        <v>0.0</v>
      </c>
      <c r="AB12" s="121">
        <v>0.0</v>
      </c>
      <c r="AC12" s="121">
        <f t="shared" si="2"/>
        <v>217</v>
      </c>
    </row>
    <row r="13">
      <c r="G13" s="201"/>
    </row>
    <row r="14" ht="17.25" customHeight="1">
      <c r="A14" s="205" t="s">
        <v>57</v>
      </c>
      <c r="B14" s="206"/>
      <c r="C14" s="206"/>
      <c r="D14" s="206"/>
      <c r="E14" s="206"/>
      <c r="F14" s="206"/>
      <c r="G14" s="207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</row>
    <row r="15" ht="90.0" customHeight="1">
      <c r="A15" s="116" t="s">
        <v>143</v>
      </c>
      <c r="B15" s="116" t="s">
        <v>157</v>
      </c>
      <c r="C15" s="116" t="s">
        <v>221</v>
      </c>
      <c r="D15" s="214" t="s">
        <v>222</v>
      </c>
      <c r="E15" s="214" t="s">
        <v>223</v>
      </c>
      <c r="F15" s="116" t="s">
        <v>64</v>
      </c>
      <c r="G15" s="215" t="s">
        <v>224</v>
      </c>
      <c r="I15" s="136" t="s">
        <v>68</v>
      </c>
      <c r="J15" s="136" t="s">
        <v>69</v>
      </c>
      <c r="K15" s="136" t="s">
        <v>70</v>
      </c>
      <c r="L15" s="136" t="s">
        <v>71</v>
      </c>
      <c r="M15" s="136" t="s">
        <v>72</v>
      </c>
      <c r="N15" s="136" t="s">
        <v>73</v>
      </c>
      <c r="O15" s="136" t="s">
        <v>74</v>
      </c>
      <c r="P15" s="136" t="s">
        <v>75</v>
      </c>
      <c r="Q15" s="136" t="s">
        <v>76</v>
      </c>
      <c r="R15" s="136" t="s">
        <v>77</v>
      </c>
      <c r="S15" s="136" t="s">
        <v>78</v>
      </c>
      <c r="T15" s="119" t="s">
        <v>103</v>
      </c>
      <c r="U15" s="119" t="s">
        <v>118</v>
      </c>
      <c r="V15" s="119" t="s">
        <v>104</v>
      </c>
      <c r="W15" s="119" t="s">
        <v>105</v>
      </c>
      <c r="X15" s="119" t="s">
        <v>106</v>
      </c>
      <c r="Y15" s="119" t="s">
        <v>107</v>
      </c>
      <c r="Z15" s="119" t="s">
        <v>108</v>
      </c>
      <c r="AA15" s="119" t="s">
        <v>109</v>
      </c>
      <c r="AB15" s="119" t="s">
        <v>110</v>
      </c>
      <c r="AC15" s="116" t="s">
        <v>225</v>
      </c>
    </row>
    <row r="16">
      <c r="A16" s="121">
        <v>1.0</v>
      </c>
      <c r="B16" s="121">
        <v>1.0</v>
      </c>
      <c r="C16" s="121" t="s">
        <v>226</v>
      </c>
      <c r="D16" s="169">
        <v>6.0</v>
      </c>
      <c r="E16" s="169">
        <v>6.0</v>
      </c>
      <c r="F16" s="169">
        <v>10.0</v>
      </c>
      <c r="G16" s="213">
        <f t="shared" ref="G16:G18" si="3">IF(D16=0,0,F16/D16)</f>
        <v>1.666666667</v>
      </c>
      <c r="I16" s="169">
        <v>0.0</v>
      </c>
      <c r="J16" s="169">
        <v>0.0</v>
      </c>
      <c r="K16" s="169">
        <v>0.0</v>
      </c>
      <c r="L16" s="169">
        <v>0.0</v>
      </c>
      <c r="M16" s="169">
        <v>0.0</v>
      </c>
      <c r="N16" s="169">
        <v>0.0</v>
      </c>
      <c r="O16" s="169">
        <v>0.0</v>
      </c>
      <c r="P16" s="169">
        <v>20.0</v>
      </c>
      <c r="Q16" s="169">
        <v>0.0</v>
      </c>
      <c r="R16" s="169">
        <v>0.0</v>
      </c>
      <c r="S16" s="169">
        <v>0.0</v>
      </c>
      <c r="T16" s="121">
        <v>0.0</v>
      </c>
      <c r="U16" s="121">
        <v>0.0</v>
      </c>
      <c r="V16" s="121">
        <v>0.0</v>
      </c>
      <c r="W16" s="121">
        <v>0.0</v>
      </c>
      <c r="X16" s="121">
        <v>0.0</v>
      </c>
      <c r="Y16" s="121">
        <v>0.0</v>
      </c>
      <c r="Z16" s="121">
        <v>0.0</v>
      </c>
      <c r="AA16" s="121">
        <v>0.0</v>
      </c>
      <c r="AB16" s="121">
        <v>0.0</v>
      </c>
      <c r="AC16" s="121">
        <f t="shared" ref="AC16:AC18" si="4">SUMPRODUCT(I16:S16, {0,33,50,67,167,67,50,4.17,7.56,12.17,16.22})</f>
        <v>83.4</v>
      </c>
    </row>
    <row r="17">
      <c r="A17" s="121">
        <v>2.0</v>
      </c>
      <c r="B17" s="121">
        <v>1.0</v>
      </c>
      <c r="C17" s="121" t="s">
        <v>226</v>
      </c>
      <c r="D17" s="169">
        <v>7.0</v>
      </c>
      <c r="E17" s="169">
        <v>13.0</v>
      </c>
      <c r="F17" s="169">
        <v>30.0</v>
      </c>
      <c r="G17" s="213">
        <f t="shared" si="3"/>
        <v>4.285714286</v>
      </c>
      <c r="H17" s="190"/>
      <c r="I17" s="169">
        <v>0.0</v>
      </c>
      <c r="J17" s="169">
        <v>1.0</v>
      </c>
      <c r="K17" s="169">
        <v>0.0</v>
      </c>
      <c r="L17" s="169">
        <v>0.0</v>
      </c>
      <c r="M17" s="169">
        <v>0.0</v>
      </c>
      <c r="N17" s="169">
        <v>0.0</v>
      </c>
      <c r="O17" s="169">
        <v>0.0</v>
      </c>
      <c r="P17" s="169">
        <v>0.0</v>
      </c>
      <c r="Q17" s="169">
        <v>0.0</v>
      </c>
      <c r="R17" s="169">
        <v>0.0</v>
      </c>
      <c r="S17" s="169">
        <v>0.0</v>
      </c>
      <c r="T17" s="121">
        <v>0.0</v>
      </c>
      <c r="U17" s="121">
        <v>0.0</v>
      </c>
      <c r="V17" s="121">
        <v>0.0</v>
      </c>
      <c r="W17" s="121">
        <v>0.0</v>
      </c>
      <c r="X17" s="121">
        <v>0.0</v>
      </c>
      <c r="Y17" s="121">
        <v>0.0</v>
      </c>
      <c r="Z17" s="121">
        <v>0.0</v>
      </c>
      <c r="AA17" s="121">
        <v>0.0</v>
      </c>
      <c r="AB17" s="121">
        <v>0.0</v>
      </c>
      <c r="AC17" s="121">
        <f t="shared" si="4"/>
        <v>33</v>
      </c>
    </row>
    <row r="18">
      <c r="A18" s="121">
        <v>3.0</v>
      </c>
      <c r="B18" s="121">
        <v>1.0</v>
      </c>
      <c r="C18" s="121" t="s">
        <v>226</v>
      </c>
      <c r="D18" s="169">
        <v>13.0</v>
      </c>
      <c r="E18" s="169">
        <v>26.0</v>
      </c>
      <c r="F18" s="169">
        <v>60.0</v>
      </c>
      <c r="G18" s="213">
        <f t="shared" si="3"/>
        <v>4.615384615</v>
      </c>
      <c r="I18" s="169">
        <v>0.0</v>
      </c>
      <c r="J18" s="169">
        <v>0.0</v>
      </c>
      <c r="K18" s="169">
        <v>1.0</v>
      </c>
      <c r="L18" s="169">
        <v>0.0</v>
      </c>
      <c r="M18" s="169">
        <v>1.0</v>
      </c>
      <c r="N18" s="169">
        <v>0.0</v>
      </c>
      <c r="O18" s="169">
        <v>0.0</v>
      </c>
      <c r="P18" s="169">
        <v>0.0</v>
      </c>
      <c r="Q18" s="169">
        <v>0.0</v>
      </c>
      <c r="R18" s="169">
        <v>0.0</v>
      </c>
      <c r="S18" s="169">
        <v>0.0</v>
      </c>
      <c r="T18" s="121">
        <v>0.0</v>
      </c>
      <c r="U18" s="121">
        <v>0.0</v>
      </c>
      <c r="V18" s="121">
        <v>0.0</v>
      </c>
      <c r="W18" s="121">
        <v>0.0</v>
      </c>
      <c r="X18" s="121">
        <v>0.0</v>
      </c>
      <c r="Y18" s="121">
        <v>0.0</v>
      </c>
      <c r="Z18" s="121">
        <v>0.0</v>
      </c>
      <c r="AA18" s="121">
        <v>0.0</v>
      </c>
      <c r="AB18" s="121">
        <v>0.0</v>
      </c>
      <c r="AC18" s="121">
        <f t="shared" si="4"/>
        <v>217</v>
      </c>
    </row>
    <row r="19">
      <c r="G19" s="201"/>
    </row>
    <row r="20" ht="17.25" customHeight="1">
      <c r="A20" s="205" t="s">
        <v>58</v>
      </c>
      <c r="B20" s="206"/>
      <c r="C20" s="206"/>
      <c r="D20" s="206"/>
      <c r="E20" s="206"/>
      <c r="F20" s="206"/>
      <c r="G20" s="207"/>
      <c r="H20" s="206"/>
      <c r="I20" s="206"/>
      <c r="J20" s="206"/>
      <c r="K20" s="206"/>
      <c r="L20" s="206"/>
      <c r="M20" s="206"/>
      <c r="N20" s="206"/>
      <c r="O20" s="206"/>
      <c r="P20" s="206"/>
      <c r="Q20" s="206"/>
      <c r="R20" s="206"/>
      <c r="S20" s="206"/>
      <c r="T20" s="206"/>
      <c r="U20" s="206"/>
      <c r="V20" s="206"/>
      <c r="W20" s="206"/>
      <c r="X20" s="206"/>
      <c r="Y20" s="206"/>
      <c r="Z20" s="206"/>
      <c r="AA20" s="206"/>
      <c r="AB20" s="206"/>
      <c r="AC20" s="206"/>
    </row>
    <row r="21" ht="90.0" customHeight="1">
      <c r="A21" s="116" t="s">
        <v>143</v>
      </c>
      <c r="B21" s="116" t="s">
        <v>157</v>
      </c>
      <c r="C21" s="116" t="s">
        <v>221</v>
      </c>
      <c r="D21" s="214" t="s">
        <v>222</v>
      </c>
      <c r="E21" s="214" t="s">
        <v>223</v>
      </c>
      <c r="F21" s="116" t="s">
        <v>64</v>
      </c>
      <c r="G21" s="215" t="s">
        <v>224</v>
      </c>
      <c r="I21" s="136" t="s">
        <v>68</v>
      </c>
      <c r="J21" s="136" t="s">
        <v>69</v>
      </c>
      <c r="K21" s="136" t="s">
        <v>70</v>
      </c>
      <c r="L21" s="136" t="s">
        <v>71</v>
      </c>
      <c r="M21" s="136" t="s">
        <v>72</v>
      </c>
      <c r="N21" s="136" t="s">
        <v>73</v>
      </c>
      <c r="O21" s="136" t="s">
        <v>74</v>
      </c>
      <c r="P21" s="136" t="s">
        <v>75</v>
      </c>
      <c r="Q21" s="136" t="s">
        <v>76</v>
      </c>
      <c r="R21" s="136" t="s">
        <v>77</v>
      </c>
      <c r="S21" s="136" t="s">
        <v>78</v>
      </c>
      <c r="T21" s="119" t="s">
        <v>103</v>
      </c>
      <c r="U21" s="119" t="s">
        <v>118</v>
      </c>
      <c r="V21" s="119" t="s">
        <v>104</v>
      </c>
      <c r="W21" s="119" t="s">
        <v>105</v>
      </c>
      <c r="X21" s="119" t="s">
        <v>106</v>
      </c>
      <c r="Y21" s="119" t="s">
        <v>107</v>
      </c>
      <c r="Z21" s="119" t="s">
        <v>108</v>
      </c>
      <c r="AA21" s="119" t="s">
        <v>109</v>
      </c>
      <c r="AB21" s="119" t="s">
        <v>110</v>
      </c>
      <c r="AC21" s="116" t="s">
        <v>225</v>
      </c>
    </row>
    <row r="22" ht="15.75" customHeight="1">
      <c r="A22" s="121">
        <v>1.0</v>
      </c>
      <c r="B22" s="121">
        <v>1.0</v>
      </c>
      <c r="C22" s="121" t="s">
        <v>226</v>
      </c>
      <c r="D22" s="169">
        <v>11.0</v>
      </c>
      <c r="E22" s="169">
        <v>11.0</v>
      </c>
      <c r="F22" s="169">
        <v>15.0</v>
      </c>
      <c r="G22" s="213">
        <f t="shared" ref="G22:G24" si="5">IF(D22=0,0,F22/D22)</f>
        <v>1.363636364</v>
      </c>
      <c r="I22" s="169">
        <v>0.0</v>
      </c>
      <c r="J22" s="169">
        <v>0.0</v>
      </c>
      <c r="K22" s="169">
        <v>0.0</v>
      </c>
      <c r="L22" s="169">
        <v>0.0</v>
      </c>
      <c r="M22" s="169">
        <v>0.0</v>
      </c>
      <c r="N22" s="169">
        <v>0.0</v>
      </c>
      <c r="O22" s="169">
        <v>0.0</v>
      </c>
      <c r="P22" s="169">
        <v>20.0</v>
      </c>
      <c r="Q22" s="169">
        <v>0.0</v>
      </c>
      <c r="R22" s="169">
        <v>0.0</v>
      </c>
      <c r="S22" s="169">
        <v>0.0</v>
      </c>
      <c r="T22" s="121">
        <v>0.0</v>
      </c>
      <c r="U22" s="121">
        <v>0.0</v>
      </c>
      <c r="V22" s="121">
        <v>0.0</v>
      </c>
      <c r="W22" s="121">
        <v>0.0</v>
      </c>
      <c r="X22" s="121">
        <v>0.0</v>
      </c>
      <c r="Y22" s="121">
        <v>0.0</v>
      </c>
      <c r="Z22" s="121">
        <v>0.0</v>
      </c>
      <c r="AA22" s="121">
        <v>0.0</v>
      </c>
      <c r="AB22" s="121">
        <v>0.0</v>
      </c>
      <c r="AC22" s="121">
        <f t="shared" ref="AC22:AC24" si="6">SUMPRODUCT(I22:S22, {0,33,50,67,167,67,50,4.17,7.56,12.17,16.22})</f>
        <v>83.4</v>
      </c>
    </row>
    <row r="23" ht="15.75" customHeight="1">
      <c r="A23" s="121">
        <v>2.0</v>
      </c>
      <c r="B23" s="121">
        <v>1.0</v>
      </c>
      <c r="C23" s="121" t="s">
        <v>226</v>
      </c>
      <c r="D23" s="169">
        <v>15.0</v>
      </c>
      <c r="E23" s="169">
        <v>26.0</v>
      </c>
      <c r="F23" s="169">
        <v>50.0</v>
      </c>
      <c r="G23" s="213">
        <f t="shared" si="5"/>
        <v>3.333333333</v>
      </c>
      <c r="H23" s="190"/>
      <c r="I23" s="169">
        <v>0.0</v>
      </c>
      <c r="J23" s="169">
        <v>1.0</v>
      </c>
      <c r="K23" s="169">
        <v>0.0</v>
      </c>
      <c r="L23" s="169">
        <v>0.0</v>
      </c>
      <c r="M23" s="169">
        <v>0.0</v>
      </c>
      <c r="N23" s="169">
        <v>0.0</v>
      </c>
      <c r="O23" s="169">
        <v>0.0</v>
      </c>
      <c r="P23" s="169">
        <v>0.0</v>
      </c>
      <c r="Q23" s="169">
        <v>0.0</v>
      </c>
      <c r="R23" s="169">
        <v>0.0</v>
      </c>
      <c r="S23" s="169">
        <v>0.0</v>
      </c>
      <c r="T23" s="121">
        <v>0.0</v>
      </c>
      <c r="U23" s="121">
        <v>0.0</v>
      </c>
      <c r="V23" s="121">
        <v>0.0</v>
      </c>
      <c r="W23" s="121">
        <v>0.0</v>
      </c>
      <c r="X23" s="121">
        <v>0.0</v>
      </c>
      <c r="Y23" s="121">
        <v>0.0</v>
      </c>
      <c r="Z23" s="121">
        <v>0.0</v>
      </c>
      <c r="AA23" s="121">
        <v>0.0</v>
      </c>
      <c r="AB23" s="121">
        <v>0.0</v>
      </c>
      <c r="AC23" s="121">
        <f t="shared" si="6"/>
        <v>33</v>
      </c>
    </row>
    <row r="24" ht="15.75" customHeight="1">
      <c r="A24" s="121">
        <v>3.0</v>
      </c>
      <c r="B24" s="121">
        <v>1.0</v>
      </c>
      <c r="C24" s="121" t="s">
        <v>226</v>
      </c>
      <c r="D24" s="169">
        <v>16.0</v>
      </c>
      <c r="E24" s="169">
        <v>42.0</v>
      </c>
      <c r="F24" s="169">
        <v>100.0</v>
      </c>
      <c r="G24" s="213">
        <f t="shared" si="5"/>
        <v>6.25</v>
      </c>
      <c r="I24" s="169">
        <v>0.0</v>
      </c>
      <c r="J24" s="169">
        <v>0.0</v>
      </c>
      <c r="K24" s="169">
        <v>1.0</v>
      </c>
      <c r="L24" s="169">
        <v>0.0</v>
      </c>
      <c r="M24" s="169">
        <v>1.0</v>
      </c>
      <c r="N24" s="169">
        <v>0.0</v>
      </c>
      <c r="O24" s="169">
        <v>0.0</v>
      </c>
      <c r="P24" s="169">
        <v>0.0</v>
      </c>
      <c r="Q24" s="169">
        <v>0.0</v>
      </c>
      <c r="R24" s="169">
        <v>0.0</v>
      </c>
      <c r="S24" s="169">
        <v>0.0</v>
      </c>
      <c r="T24" s="121">
        <v>0.0</v>
      </c>
      <c r="U24" s="121">
        <v>0.0</v>
      </c>
      <c r="V24" s="121">
        <v>0.0</v>
      </c>
      <c r="W24" s="121">
        <v>0.0</v>
      </c>
      <c r="X24" s="121">
        <v>0.0</v>
      </c>
      <c r="Y24" s="121">
        <v>0.0</v>
      </c>
      <c r="Z24" s="121">
        <v>0.0</v>
      </c>
      <c r="AA24" s="121">
        <v>0.0</v>
      </c>
      <c r="AB24" s="121">
        <v>0.0</v>
      </c>
      <c r="AC24" s="121">
        <f t="shared" si="6"/>
        <v>217</v>
      </c>
    </row>
    <row r="25" ht="15.75" customHeight="1">
      <c r="G25" s="201"/>
    </row>
    <row r="26" ht="17.25" customHeight="1">
      <c r="A26" s="205" t="s">
        <v>59</v>
      </c>
      <c r="B26" s="206"/>
      <c r="C26" s="206"/>
      <c r="D26" s="206"/>
      <c r="E26" s="206"/>
      <c r="F26" s="206"/>
      <c r="G26" s="207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  <c r="AA26" s="206"/>
      <c r="AB26" s="206"/>
      <c r="AC26" s="206"/>
    </row>
    <row r="27" ht="90.0" customHeight="1">
      <c r="A27" s="116" t="s">
        <v>143</v>
      </c>
      <c r="B27" s="116" t="s">
        <v>157</v>
      </c>
      <c r="C27" s="116" t="s">
        <v>221</v>
      </c>
      <c r="D27" s="214" t="s">
        <v>222</v>
      </c>
      <c r="E27" s="214" t="s">
        <v>223</v>
      </c>
      <c r="F27" s="116" t="s">
        <v>64</v>
      </c>
      <c r="G27" s="215" t="s">
        <v>224</v>
      </c>
      <c r="I27" s="136" t="s">
        <v>68</v>
      </c>
      <c r="J27" s="136" t="s">
        <v>69</v>
      </c>
      <c r="K27" s="136" t="s">
        <v>70</v>
      </c>
      <c r="L27" s="136" t="s">
        <v>71</v>
      </c>
      <c r="M27" s="136" t="s">
        <v>72</v>
      </c>
      <c r="N27" s="136" t="s">
        <v>73</v>
      </c>
      <c r="O27" s="136" t="s">
        <v>74</v>
      </c>
      <c r="P27" s="136" t="s">
        <v>75</v>
      </c>
      <c r="Q27" s="136" t="s">
        <v>76</v>
      </c>
      <c r="R27" s="136" t="s">
        <v>77</v>
      </c>
      <c r="S27" s="136" t="s">
        <v>78</v>
      </c>
      <c r="T27" s="119" t="s">
        <v>103</v>
      </c>
      <c r="U27" s="119" t="s">
        <v>118</v>
      </c>
      <c r="V27" s="119" t="s">
        <v>104</v>
      </c>
      <c r="W27" s="119" t="s">
        <v>105</v>
      </c>
      <c r="X27" s="119" t="s">
        <v>106</v>
      </c>
      <c r="Y27" s="119" t="s">
        <v>107</v>
      </c>
      <c r="Z27" s="119" t="s">
        <v>108</v>
      </c>
      <c r="AA27" s="119" t="s">
        <v>109</v>
      </c>
      <c r="AB27" s="119" t="s">
        <v>110</v>
      </c>
      <c r="AC27" s="116" t="s">
        <v>225</v>
      </c>
    </row>
    <row r="28" ht="15.75" customHeight="1">
      <c r="A28" s="121">
        <v>1.0</v>
      </c>
      <c r="B28" s="121">
        <v>1.0</v>
      </c>
      <c r="C28" s="121" t="s">
        <v>226</v>
      </c>
      <c r="D28" s="169">
        <v>28.0</v>
      </c>
      <c r="E28" s="169">
        <v>28.0</v>
      </c>
      <c r="F28" s="169">
        <v>50.0</v>
      </c>
      <c r="G28" s="213">
        <f t="shared" ref="G28:G30" si="7">IF(D28=0,0,F28/D28)</f>
        <v>1.785714286</v>
      </c>
      <c r="I28" s="169">
        <v>0.0</v>
      </c>
      <c r="J28" s="169">
        <v>0.0</v>
      </c>
      <c r="K28" s="169">
        <v>0.0</v>
      </c>
      <c r="L28" s="169">
        <v>0.0</v>
      </c>
      <c r="M28" s="169">
        <v>0.0</v>
      </c>
      <c r="N28" s="169">
        <v>0.0</v>
      </c>
      <c r="O28" s="169">
        <v>0.0</v>
      </c>
      <c r="P28" s="169">
        <v>30.0</v>
      </c>
      <c r="Q28" s="169">
        <v>0.0</v>
      </c>
      <c r="R28" s="169">
        <v>0.0</v>
      </c>
      <c r="S28" s="169">
        <v>0.0</v>
      </c>
      <c r="T28" s="121">
        <v>0.0</v>
      </c>
      <c r="U28" s="121">
        <v>0.0</v>
      </c>
      <c r="V28" s="121">
        <v>0.0</v>
      </c>
      <c r="W28" s="121">
        <v>0.0</v>
      </c>
      <c r="X28" s="121">
        <v>0.0</v>
      </c>
      <c r="Y28" s="121">
        <v>0.0</v>
      </c>
      <c r="Z28" s="121">
        <v>0.0</v>
      </c>
      <c r="AA28" s="121">
        <v>0.0</v>
      </c>
      <c r="AB28" s="121">
        <v>0.0</v>
      </c>
      <c r="AC28" s="121">
        <f t="shared" ref="AC28:AC30" si="8">SUMPRODUCT(I28:S28, {0,33,50,67,167,67,50,4.17,7.56,12.17,16.22})</f>
        <v>125.1</v>
      </c>
    </row>
    <row r="29" ht="15.75" customHeight="1">
      <c r="A29" s="121">
        <v>2.0</v>
      </c>
      <c r="B29" s="121">
        <v>1.0</v>
      </c>
      <c r="C29" s="121" t="s">
        <v>226</v>
      </c>
      <c r="D29" s="169">
        <v>32.0</v>
      </c>
      <c r="E29" s="169">
        <v>60.0</v>
      </c>
      <c r="F29" s="169">
        <v>120.0</v>
      </c>
      <c r="G29" s="213">
        <f t="shared" si="7"/>
        <v>3.75</v>
      </c>
      <c r="H29" s="190"/>
      <c r="I29" s="169">
        <v>0.0</v>
      </c>
      <c r="J29" s="169">
        <v>1.0</v>
      </c>
      <c r="K29" s="169">
        <v>0.0</v>
      </c>
      <c r="L29" s="169">
        <v>0.0</v>
      </c>
      <c r="M29" s="169">
        <v>0.0</v>
      </c>
      <c r="N29" s="169">
        <v>0.0</v>
      </c>
      <c r="O29" s="169">
        <v>0.0</v>
      </c>
      <c r="P29" s="169">
        <v>0.0</v>
      </c>
      <c r="Q29" s="169">
        <v>0.0</v>
      </c>
      <c r="R29" s="169">
        <v>0.0</v>
      </c>
      <c r="S29" s="169">
        <v>0.0</v>
      </c>
      <c r="T29" s="121">
        <v>0.0</v>
      </c>
      <c r="U29" s="121">
        <v>0.0</v>
      </c>
      <c r="V29" s="121">
        <v>0.0</v>
      </c>
      <c r="W29" s="121">
        <v>0.0</v>
      </c>
      <c r="X29" s="121">
        <v>0.0</v>
      </c>
      <c r="Y29" s="121">
        <v>0.0</v>
      </c>
      <c r="Z29" s="121">
        <v>0.0</v>
      </c>
      <c r="AA29" s="121">
        <v>0.0</v>
      </c>
      <c r="AB29" s="121">
        <v>0.0</v>
      </c>
      <c r="AC29" s="121">
        <f t="shared" si="8"/>
        <v>33</v>
      </c>
    </row>
    <row r="30" ht="15.75" customHeight="1">
      <c r="A30" s="121">
        <v>3.0</v>
      </c>
      <c r="B30" s="121">
        <v>1.0</v>
      </c>
      <c r="C30" s="121" t="s">
        <v>226</v>
      </c>
      <c r="D30" s="169">
        <v>40.0</v>
      </c>
      <c r="E30" s="169">
        <v>100.0</v>
      </c>
      <c r="F30" s="169">
        <v>250.0</v>
      </c>
      <c r="G30" s="213">
        <f t="shared" si="7"/>
        <v>6.25</v>
      </c>
      <c r="I30" s="169">
        <v>0.0</v>
      </c>
      <c r="J30" s="169">
        <v>0.0</v>
      </c>
      <c r="K30" s="169">
        <v>0.0</v>
      </c>
      <c r="L30" s="169">
        <v>0.0</v>
      </c>
      <c r="M30" s="169">
        <v>1.0</v>
      </c>
      <c r="N30" s="169">
        <v>0.0</v>
      </c>
      <c r="O30" s="169">
        <v>1.0</v>
      </c>
      <c r="P30" s="169">
        <v>0.0</v>
      </c>
      <c r="Q30" s="169">
        <v>0.0</v>
      </c>
      <c r="R30" s="169">
        <v>0.0</v>
      </c>
      <c r="S30" s="169">
        <v>0.0</v>
      </c>
      <c r="T30" s="121">
        <v>0.0</v>
      </c>
      <c r="U30" s="121">
        <v>0.0</v>
      </c>
      <c r="V30" s="121">
        <v>0.0</v>
      </c>
      <c r="W30" s="121">
        <v>0.0</v>
      </c>
      <c r="X30" s="121">
        <v>0.0</v>
      </c>
      <c r="Y30" s="121">
        <v>0.0</v>
      </c>
      <c r="Z30" s="121">
        <v>0.0</v>
      </c>
      <c r="AA30" s="121">
        <v>0.0</v>
      </c>
      <c r="AB30" s="121">
        <v>0.0</v>
      </c>
      <c r="AC30" s="121">
        <f t="shared" si="8"/>
        <v>217</v>
      </c>
    </row>
    <row r="31" ht="15.75" customHeight="1">
      <c r="G31" s="201"/>
    </row>
    <row r="32" ht="17.25" customHeight="1">
      <c r="A32" s="205" t="s">
        <v>60</v>
      </c>
      <c r="B32" s="206"/>
      <c r="C32" s="206"/>
      <c r="D32" s="206"/>
      <c r="E32" s="206"/>
      <c r="F32" s="206"/>
      <c r="G32" s="207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  <c r="Z32" s="206"/>
      <c r="AA32" s="206"/>
      <c r="AB32" s="206"/>
      <c r="AC32" s="206"/>
    </row>
    <row r="33" ht="90.0" customHeight="1">
      <c r="A33" s="116" t="s">
        <v>143</v>
      </c>
      <c r="B33" s="116" t="s">
        <v>157</v>
      </c>
      <c r="C33" s="116" t="s">
        <v>221</v>
      </c>
      <c r="D33" s="214" t="s">
        <v>222</v>
      </c>
      <c r="E33" s="214" t="s">
        <v>223</v>
      </c>
      <c r="F33" s="116" t="s">
        <v>64</v>
      </c>
      <c r="G33" s="215" t="s">
        <v>224</v>
      </c>
      <c r="I33" s="136" t="s">
        <v>68</v>
      </c>
      <c r="J33" s="136" t="s">
        <v>69</v>
      </c>
      <c r="K33" s="136" t="s">
        <v>70</v>
      </c>
      <c r="L33" s="136" t="s">
        <v>71</v>
      </c>
      <c r="M33" s="136" t="s">
        <v>72</v>
      </c>
      <c r="N33" s="136" t="s">
        <v>73</v>
      </c>
      <c r="O33" s="136" t="s">
        <v>74</v>
      </c>
      <c r="P33" s="136" t="s">
        <v>75</v>
      </c>
      <c r="Q33" s="136" t="s">
        <v>76</v>
      </c>
      <c r="R33" s="136" t="s">
        <v>77</v>
      </c>
      <c r="S33" s="136" t="s">
        <v>78</v>
      </c>
      <c r="T33" s="119" t="s">
        <v>103</v>
      </c>
      <c r="U33" s="119" t="s">
        <v>118</v>
      </c>
      <c r="V33" s="119" t="s">
        <v>104</v>
      </c>
      <c r="W33" s="119" t="s">
        <v>105</v>
      </c>
      <c r="X33" s="119" t="s">
        <v>106</v>
      </c>
      <c r="Y33" s="119" t="s">
        <v>107</v>
      </c>
      <c r="Z33" s="119" t="s">
        <v>108</v>
      </c>
      <c r="AA33" s="119" t="s">
        <v>109</v>
      </c>
      <c r="AB33" s="119" t="s">
        <v>110</v>
      </c>
      <c r="AC33" s="116" t="s">
        <v>225</v>
      </c>
    </row>
    <row r="34" ht="15.75" customHeight="1">
      <c r="A34" s="121">
        <v>1.0</v>
      </c>
      <c r="B34" s="121">
        <v>1.0</v>
      </c>
      <c r="C34" s="121" t="s">
        <v>226</v>
      </c>
      <c r="D34" s="169">
        <v>80.0</v>
      </c>
      <c r="E34" s="169">
        <v>80.0</v>
      </c>
      <c r="F34" s="169">
        <v>100.0</v>
      </c>
      <c r="G34" s="213">
        <f t="shared" ref="G34:G36" si="9">IF(D34=0,0,F34/D34)</f>
        <v>1.25</v>
      </c>
      <c r="I34" s="169">
        <v>0.0</v>
      </c>
      <c r="J34" s="169">
        <v>0.0</v>
      </c>
      <c r="K34" s="169">
        <v>0.0</v>
      </c>
      <c r="L34" s="169">
        <v>0.0</v>
      </c>
      <c r="M34" s="169">
        <v>0.0</v>
      </c>
      <c r="N34" s="169">
        <v>0.0</v>
      </c>
      <c r="O34" s="169">
        <v>0.0</v>
      </c>
      <c r="P34" s="169">
        <v>60.0</v>
      </c>
      <c r="Q34" s="169">
        <v>0.0</v>
      </c>
      <c r="R34" s="169">
        <v>0.0</v>
      </c>
      <c r="S34" s="169">
        <v>0.0</v>
      </c>
      <c r="T34" s="121">
        <v>0.0</v>
      </c>
      <c r="U34" s="121">
        <v>0.0</v>
      </c>
      <c r="V34" s="121">
        <v>0.0</v>
      </c>
      <c r="W34" s="121">
        <v>0.0</v>
      </c>
      <c r="X34" s="121">
        <v>0.0</v>
      </c>
      <c r="Y34" s="121">
        <v>0.0</v>
      </c>
      <c r="Z34" s="121">
        <v>0.0</v>
      </c>
      <c r="AA34" s="121">
        <v>0.0</v>
      </c>
      <c r="AB34" s="121">
        <v>0.0</v>
      </c>
      <c r="AC34" s="121">
        <f t="shared" ref="AC34:AC36" si="10">SUMPRODUCT(I34:S34, {0,33,50,67,167,67,50,4.17,7.56,12.17,16.22})</f>
        <v>250.2</v>
      </c>
    </row>
    <row r="35" ht="15.75" customHeight="1">
      <c r="A35" s="121">
        <v>2.0</v>
      </c>
      <c r="B35" s="121">
        <v>1.0</v>
      </c>
      <c r="C35" s="121" t="s">
        <v>226</v>
      </c>
      <c r="D35" s="169">
        <v>95.0</v>
      </c>
      <c r="E35" s="169">
        <v>175.0</v>
      </c>
      <c r="F35" s="169">
        <v>300.0</v>
      </c>
      <c r="G35" s="213">
        <f t="shared" si="9"/>
        <v>3.157894737</v>
      </c>
      <c r="H35" s="190"/>
      <c r="I35" s="169">
        <v>0.0</v>
      </c>
      <c r="J35" s="169">
        <v>1.0</v>
      </c>
      <c r="K35" s="169">
        <v>0.0</v>
      </c>
      <c r="L35" s="169">
        <v>0.0</v>
      </c>
      <c r="M35" s="169">
        <v>0.0</v>
      </c>
      <c r="N35" s="169">
        <v>0.0</v>
      </c>
      <c r="O35" s="169">
        <v>0.0</v>
      </c>
      <c r="P35" s="169">
        <v>0.0</v>
      </c>
      <c r="Q35" s="169">
        <v>0.0</v>
      </c>
      <c r="R35" s="169">
        <v>0.0</v>
      </c>
      <c r="S35" s="169">
        <v>0.0</v>
      </c>
      <c r="T35" s="121">
        <v>0.0</v>
      </c>
      <c r="U35" s="121">
        <v>0.0</v>
      </c>
      <c r="V35" s="121">
        <v>0.0</v>
      </c>
      <c r="W35" s="121">
        <v>0.0</v>
      </c>
      <c r="X35" s="121">
        <v>0.0</v>
      </c>
      <c r="Y35" s="121">
        <v>0.0</v>
      </c>
      <c r="Z35" s="121">
        <v>0.0</v>
      </c>
      <c r="AA35" s="121">
        <v>0.0</v>
      </c>
      <c r="AB35" s="121">
        <v>0.0</v>
      </c>
      <c r="AC35" s="121">
        <f t="shared" si="10"/>
        <v>33</v>
      </c>
    </row>
    <row r="36" ht="15.75" customHeight="1">
      <c r="A36" s="121">
        <v>3.0</v>
      </c>
      <c r="B36" s="121">
        <v>1.0</v>
      </c>
      <c r="C36" s="121" t="s">
        <v>226</v>
      </c>
      <c r="D36" s="169">
        <v>105.0</v>
      </c>
      <c r="E36" s="169">
        <v>280.0</v>
      </c>
      <c r="F36" s="169">
        <v>400.0</v>
      </c>
      <c r="G36" s="213">
        <f t="shared" si="9"/>
        <v>3.80952381</v>
      </c>
      <c r="I36" s="169">
        <v>0.0</v>
      </c>
      <c r="J36" s="169">
        <v>0.0</v>
      </c>
      <c r="K36" s="169">
        <v>0.0</v>
      </c>
      <c r="L36" s="169">
        <v>0.0</v>
      </c>
      <c r="M36" s="169">
        <v>1.0</v>
      </c>
      <c r="N36" s="169">
        <v>0.0</v>
      </c>
      <c r="O36" s="169">
        <v>1.0</v>
      </c>
      <c r="P36" s="169">
        <v>0.0</v>
      </c>
      <c r="Q36" s="169">
        <v>0.0</v>
      </c>
      <c r="R36" s="169">
        <v>0.0</v>
      </c>
      <c r="S36" s="169">
        <v>0.0</v>
      </c>
      <c r="T36" s="121">
        <v>0.0</v>
      </c>
      <c r="U36" s="121">
        <v>0.0</v>
      </c>
      <c r="V36" s="121">
        <v>0.0</v>
      </c>
      <c r="W36" s="121">
        <v>0.0</v>
      </c>
      <c r="X36" s="121">
        <v>0.0</v>
      </c>
      <c r="Y36" s="121">
        <v>0.0</v>
      </c>
      <c r="Z36" s="121">
        <v>0.0</v>
      </c>
      <c r="AA36" s="121">
        <v>0.0</v>
      </c>
      <c r="AB36" s="121">
        <v>0.0</v>
      </c>
      <c r="AC36" s="121">
        <f t="shared" si="10"/>
        <v>217</v>
      </c>
    </row>
    <row r="37" ht="15.75" customHeight="1">
      <c r="G37" s="201"/>
    </row>
    <row r="38" ht="15.75" customHeight="1">
      <c r="G38" s="201"/>
    </row>
    <row r="39" ht="15.75" customHeight="1">
      <c r="G39" s="201"/>
    </row>
    <row r="40" ht="15.75" customHeight="1">
      <c r="G40" s="201"/>
    </row>
    <row r="41" ht="15.75" customHeight="1">
      <c r="G41" s="201"/>
    </row>
    <row r="42" ht="15.75" customHeight="1">
      <c r="G42" s="201"/>
    </row>
    <row r="43" ht="15.75" customHeight="1">
      <c r="G43" s="201"/>
    </row>
    <row r="44" ht="15.75" customHeight="1">
      <c r="G44" s="201"/>
    </row>
    <row r="45" ht="15.75" customHeight="1">
      <c r="G45" s="201"/>
    </row>
    <row r="46" ht="15.75" customHeight="1">
      <c r="G46" s="201"/>
    </row>
    <row r="47" ht="15.75" customHeight="1">
      <c r="G47" s="201"/>
    </row>
    <row r="48" ht="15.75" customHeight="1">
      <c r="G48" s="201"/>
    </row>
    <row r="49" ht="15.75" customHeight="1">
      <c r="G49" s="201"/>
    </row>
    <row r="50" ht="15.75" customHeight="1">
      <c r="G50" s="201"/>
    </row>
    <row r="51" ht="15.75" customHeight="1">
      <c r="G51" s="201"/>
    </row>
    <row r="52" ht="15.75" customHeight="1">
      <c r="G52" s="201"/>
    </row>
    <row r="53" ht="15.75" customHeight="1">
      <c r="G53" s="201"/>
    </row>
    <row r="54" ht="15.75" customHeight="1">
      <c r="G54" s="201"/>
    </row>
    <row r="55" ht="15.75" customHeight="1">
      <c r="G55" s="201"/>
    </row>
    <row r="56" ht="15.75" customHeight="1">
      <c r="G56" s="201"/>
    </row>
    <row r="57" ht="15.75" customHeight="1">
      <c r="G57" s="201"/>
    </row>
    <row r="58" ht="15.75" customHeight="1">
      <c r="G58" s="201"/>
    </row>
    <row r="59" ht="15.75" customHeight="1">
      <c r="G59" s="201"/>
    </row>
    <row r="60" ht="15.75" customHeight="1">
      <c r="G60" s="201"/>
    </row>
    <row r="61" ht="15.75" customHeight="1">
      <c r="G61" s="201"/>
    </row>
    <row r="62" ht="15.75" customHeight="1">
      <c r="G62" s="201"/>
    </row>
    <row r="63" ht="15.75" customHeight="1">
      <c r="G63" s="201"/>
    </row>
    <row r="64" ht="15.75" customHeight="1">
      <c r="G64" s="201"/>
    </row>
    <row r="65" ht="15.75" customHeight="1">
      <c r="G65" s="201"/>
    </row>
    <row r="66" ht="15.75" customHeight="1">
      <c r="G66" s="201"/>
    </row>
    <row r="67" ht="15.75" customHeight="1">
      <c r="G67" s="201"/>
    </row>
    <row r="68" ht="15.75" customHeight="1">
      <c r="G68" s="201"/>
    </row>
    <row r="69" ht="15.75" customHeight="1">
      <c r="G69" s="201"/>
    </row>
    <row r="70" ht="15.75" customHeight="1">
      <c r="G70" s="201"/>
    </row>
    <row r="71" ht="15.75" customHeight="1">
      <c r="G71" s="201"/>
    </row>
    <row r="72" ht="15.75" customHeight="1">
      <c r="G72" s="201"/>
    </row>
    <row r="73" ht="15.75" customHeight="1">
      <c r="G73" s="201"/>
    </row>
    <row r="74" ht="15.75" customHeight="1">
      <c r="G74" s="201"/>
    </row>
    <row r="75" ht="15.75" customHeight="1">
      <c r="G75" s="201"/>
    </row>
    <row r="76" ht="15.75" customHeight="1">
      <c r="G76" s="201"/>
    </row>
    <row r="77" ht="15.75" customHeight="1">
      <c r="G77" s="201"/>
    </row>
    <row r="78" ht="15.75" customHeight="1">
      <c r="G78" s="201"/>
    </row>
    <row r="79" ht="15.75" customHeight="1">
      <c r="G79" s="201"/>
    </row>
    <row r="80" ht="15.75" customHeight="1">
      <c r="G80" s="201"/>
    </row>
    <row r="81" ht="15.75" customHeight="1">
      <c r="G81" s="201"/>
    </row>
    <row r="82" ht="15.75" customHeight="1">
      <c r="G82" s="201"/>
    </row>
    <row r="83" ht="15.75" customHeight="1">
      <c r="G83" s="201"/>
    </row>
    <row r="84" ht="15.75" customHeight="1">
      <c r="G84" s="201"/>
    </row>
    <row r="85" ht="15.75" customHeight="1">
      <c r="G85" s="201"/>
    </row>
    <row r="86" ht="15.75" customHeight="1">
      <c r="G86" s="201"/>
    </row>
    <row r="87" ht="15.75" customHeight="1">
      <c r="G87" s="201"/>
    </row>
    <row r="88" ht="15.75" customHeight="1">
      <c r="G88" s="201"/>
    </row>
    <row r="89" ht="15.75" customHeight="1">
      <c r="G89" s="201"/>
    </row>
    <row r="90" ht="15.75" customHeight="1">
      <c r="G90" s="201"/>
    </row>
    <row r="91" ht="15.75" customHeight="1">
      <c r="G91" s="201"/>
    </row>
    <row r="92" ht="15.75" customHeight="1">
      <c r="G92" s="201"/>
    </row>
    <row r="93" ht="15.75" customHeight="1">
      <c r="G93" s="201"/>
    </row>
    <row r="94" ht="15.75" customHeight="1">
      <c r="G94" s="201"/>
    </row>
    <row r="95" ht="15.75" customHeight="1">
      <c r="G95" s="201"/>
    </row>
    <row r="96" ht="15.75" customHeight="1">
      <c r="G96" s="201"/>
    </row>
    <row r="97" ht="15.75" customHeight="1">
      <c r="G97" s="201"/>
    </row>
    <row r="98" ht="15.75" customHeight="1">
      <c r="G98" s="201"/>
    </row>
    <row r="99" ht="15.75" customHeight="1">
      <c r="G99" s="201"/>
    </row>
    <row r="100" ht="15.75" customHeight="1">
      <c r="G100" s="201"/>
    </row>
    <row r="101" ht="15.75" customHeight="1">
      <c r="G101" s="201"/>
    </row>
    <row r="102" ht="15.75" customHeight="1">
      <c r="G102" s="201"/>
    </row>
    <row r="103" ht="15.75" customHeight="1">
      <c r="G103" s="201"/>
    </row>
    <row r="104" ht="15.75" customHeight="1">
      <c r="G104" s="201"/>
    </row>
    <row r="105" ht="15.75" customHeight="1">
      <c r="G105" s="201"/>
    </row>
    <row r="106" ht="15.75" customHeight="1">
      <c r="G106" s="201"/>
    </row>
    <row r="107" ht="15.75" customHeight="1">
      <c r="G107" s="201"/>
    </row>
    <row r="108" ht="15.75" customHeight="1">
      <c r="G108" s="201"/>
    </row>
    <row r="109" ht="15.75" customHeight="1">
      <c r="G109" s="201"/>
    </row>
    <row r="110" ht="15.75" customHeight="1">
      <c r="G110" s="201"/>
    </row>
    <row r="111" ht="15.75" customHeight="1">
      <c r="G111" s="201"/>
    </row>
    <row r="112" ht="15.75" customHeight="1">
      <c r="G112" s="201"/>
    </row>
    <row r="113" ht="15.75" customHeight="1">
      <c r="G113" s="201"/>
    </row>
    <row r="114" ht="15.75" customHeight="1">
      <c r="G114" s="201"/>
    </row>
    <row r="115" ht="15.75" customHeight="1">
      <c r="G115" s="201"/>
    </row>
    <row r="116" ht="15.75" customHeight="1">
      <c r="G116" s="201"/>
    </row>
    <row r="117" ht="15.75" customHeight="1">
      <c r="G117" s="201"/>
    </row>
    <row r="118" ht="15.75" customHeight="1">
      <c r="G118" s="201"/>
    </row>
    <row r="119" ht="15.75" customHeight="1">
      <c r="G119" s="201"/>
    </row>
    <row r="120" ht="15.75" customHeight="1">
      <c r="G120" s="201"/>
    </row>
    <row r="121" ht="15.75" customHeight="1">
      <c r="G121" s="201"/>
    </row>
    <row r="122" ht="15.75" customHeight="1">
      <c r="G122" s="201"/>
    </row>
    <row r="123" ht="15.75" customHeight="1">
      <c r="G123" s="201"/>
    </row>
    <row r="124" ht="15.75" customHeight="1">
      <c r="G124" s="201"/>
    </row>
    <row r="125" ht="15.75" customHeight="1">
      <c r="G125" s="201"/>
    </row>
    <row r="126" ht="15.75" customHeight="1">
      <c r="G126" s="201"/>
    </row>
    <row r="127" ht="15.75" customHeight="1">
      <c r="G127" s="201"/>
    </row>
    <row r="128" ht="15.75" customHeight="1">
      <c r="G128" s="201"/>
    </row>
    <row r="129" ht="15.75" customHeight="1">
      <c r="G129" s="201"/>
    </row>
    <row r="130" ht="15.75" customHeight="1">
      <c r="G130" s="201"/>
    </row>
    <row r="131" ht="15.75" customHeight="1">
      <c r="G131" s="201"/>
    </row>
    <row r="132" ht="15.75" customHeight="1">
      <c r="G132" s="201"/>
    </row>
    <row r="133" ht="15.75" customHeight="1">
      <c r="G133" s="201"/>
    </row>
    <row r="134" ht="15.75" customHeight="1">
      <c r="G134" s="201"/>
    </row>
    <row r="135" ht="15.75" customHeight="1">
      <c r="G135" s="201"/>
    </row>
    <row r="136" ht="15.75" customHeight="1">
      <c r="G136" s="201"/>
    </row>
    <row r="137" ht="15.75" customHeight="1">
      <c r="G137" s="201"/>
    </row>
    <row r="138" ht="15.75" customHeight="1">
      <c r="G138" s="201"/>
    </row>
    <row r="139" ht="15.75" customHeight="1">
      <c r="G139" s="201"/>
    </row>
    <row r="140" ht="15.75" customHeight="1">
      <c r="G140" s="201"/>
    </row>
    <row r="141" ht="15.75" customHeight="1">
      <c r="G141" s="201"/>
    </row>
    <row r="142" ht="15.75" customHeight="1">
      <c r="G142" s="201"/>
    </row>
    <row r="143" ht="15.75" customHeight="1">
      <c r="G143" s="201"/>
    </row>
    <row r="144" ht="15.75" customHeight="1">
      <c r="G144" s="201"/>
    </row>
    <row r="145" ht="15.75" customHeight="1">
      <c r="G145" s="201"/>
    </row>
    <row r="146" ht="15.75" customHeight="1">
      <c r="G146" s="201"/>
    </row>
    <row r="147" ht="15.75" customHeight="1">
      <c r="G147" s="201"/>
    </row>
    <row r="148" ht="15.75" customHeight="1">
      <c r="G148" s="201"/>
    </row>
    <row r="149" ht="15.75" customHeight="1">
      <c r="G149" s="201"/>
    </row>
    <row r="150" ht="15.75" customHeight="1">
      <c r="G150" s="201"/>
    </row>
    <row r="151" ht="15.75" customHeight="1">
      <c r="G151" s="201"/>
    </row>
    <row r="152" ht="15.75" customHeight="1">
      <c r="G152" s="201"/>
    </row>
    <row r="153" ht="15.75" customHeight="1">
      <c r="G153" s="201"/>
    </row>
    <row r="154" ht="15.75" customHeight="1">
      <c r="G154" s="201"/>
    </row>
    <row r="155" ht="15.75" customHeight="1">
      <c r="G155" s="201"/>
    </row>
    <row r="156" ht="15.75" customHeight="1">
      <c r="G156" s="201"/>
    </row>
    <row r="157" ht="15.75" customHeight="1">
      <c r="G157" s="201"/>
    </row>
    <row r="158" ht="15.75" customHeight="1">
      <c r="G158" s="201"/>
    </row>
    <row r="159" ht="15.75" customHeight="1">
      <c r="G159" s="201"/>
    </row>
    <row r="160" ht="15.75" customHeight="1">
      <c r="G160" s="201"/>
    </row>
    <row r="161" ht="15.75" customHeight="1">
      <c r="G161" s="201"/>
    </row>
    <row r="162" ht="15.75" customHeight="1">
      <c r="G162" s="201"/>
    </row>
    <row r="163" ht="15.75" customHeight="1">
      <c r="G163" s="201"/>
    </row>
    <row r="164" ht="15.75" customHeight="1">
      <c r="G164" s="201"/>
    </row>
    <row r="165" ht="15.75" customHeight="1">
      <c r="G165" s="201"/>
    </row>
    <row r="166" ht="15.75" customHeight="1">
      <c r="G166" s="201"/>
    </row>
    <row r="167" ht="15.75" customHeight="1">
      <c r="G167" s="201"/>
    </row>
    <row r="168" ht="15.75" customHeight="1">
      <c r="G168" s="201"/>
    </row>
    <row r="169" ht="15.75" customHeight="1">
      <c r="G169" s="201"/>
    </row>
    <row r="170" ht="15.75" customHeight="1">
      <c r="G170" s="201"/>
    </row>
    <row r="171" ht="15.75" customHeight="1">
      <c r="G171" s="201"/>
    </row>
    <row r="172" ht="15.75" customHeight="1">
      <c r="G172" s="201"/>
    </row>
    <row r="173" ht="15.75" customHeight="1">
      <c r="G173" s="201"/>
    </row>
    <row r="174" ht="15.75" customHeight="1">
      <c r="G174" s="201"/>
    </row>
    <row r="175" ht="15.75" customHeight="1">
      <c r="G175" s="201"/>
    </row>
    <row r="176" ht="15.75" customHeight="1">
      <c r="G176" s="201"/>
    </row>
    <row r="177" ht="15.75" customHeight="1">
      <c r="G177" s="201"/>
    </row>
    <row r="178" ht="15.75" customHeight="1">
      <c r="G178" s="201"/>
    </row>
    <row r="179" ht="15.75" customHeight="1">
      <c r="G179" s="201"/>
    </row>
    <row r="180" ht="15.75" customHeight="1">
      <c r="G180" s="201"/>
    </row>
    <row r="181" ht="15.75" customHeight="1">
      <c r="G181" s="201"/>
    </row>
    <row r="182" ht="15.75" customHeight="1">
      <c r="G182" s="201"/>
    </row>
    <row r="183" ht="15.75" customHeight="1">
      <c r="G183" s="201"/>
    </row>
    <row r="184" ht="15.75" customHeight="1">
      <c r="G184" s="201"/>
    </row>
    <row r="185" ht="15.75" customHeight="1">
      <c r="G185" s="201"/>
    </row>
    <row r="186" ht="15.75" customHeight="1">
      <c r="G186" s="201"/>
    </row>
    <row r="187" ht="15.75" customHeight="1">
      <c r="G187" s="201"/>
    </row>
    <row r="188" ht="15.75" customHeight="1">
      <c r="G188" s="201"/>
    </row>
    <row r="189" ht="15.75" customHeight="1">
      <c r="G189" s="201"/>
    </row>
    <row r="190" ht="15.75" customHeight="1">
      <c r="G190" s="201"/>
    </row>
    <row r="191" ht="15.75" customHeight="1">
      <c r="G191" s="201"/>
    </row>
    <row r="192" ht="15.75" customHeight="1">
      <c r="G192" s="201"/>
    </row>
    <row r="193" ht="15.75" customHeight="1">
      <c r="G193" s="201"/>
    </row>
    <row r="194" ht="15.75" customHeight="1">
      <c r="G194" s="201"/>
    </row>
    <row r="195" ht="15.75" customHeight="1">
      <c r="G195" s="201"/>
    </row>
    <row r="196" ht="15.75" customHeight="1">
      <c r="G196" s="201"/>
    </row>
    <row r="197" ht="15.75" customHeight="1">
      <c r="G197" s="201"/>
    </row>
    <row r="198" ht="15.75" customHeight="1">
      <c r="G198" s="201"/>
    </row>
    <row r="199" ht="15.75" customHeight="1">
      <c r="G199" s="201"/>
    </row>
    <row r="200" ht="15.75" customHeight="1">
      <c r="G200" s="201"/>
    </row>
    <row r="201" ht="15.75" customHeight="1">
      <c r="G201" s="201"/>
    </row>
    <row r="202" ht="15.75" customHeight="1">
      <c r="G202" s="201"/>
    </row>
    <row r="203" ht="15.75" customHeight="1">
      <c r="G203" s="201"/>
    </row>
    <row r="204" ht="15.75" customHeight="1">
      <c r="G204" s="201"/>
    </row>
    <row r="205" ht="15.75" customHeight="1">
      <c r="G205" s="201"/>
    </row>
    <row r="206" ht="15.75" customHeight="1">
      <c r="G206" s="201"/>
    </row>
    <row r="207" ht="15.75" customHeight="1">
      <c r="G207" s="201"/>
    </row>
    <row r="208" ht="15.75" customHeight="1">
      <c r="G208" s="201"/>
    </row>
    <row r="209" ht="15.75" customHeight="1">
      <c r="G209" s="201"/>
    </row>
    <row r="210" ht="15.75" customHeight="1">
      <c r="G210" s="201"/>
    </row>
    <row r="211" ht="15.75" customHeight="1">
      <c r="G211" s="201"/>
    </row>
    <row r="212" ht="15.75" customHeight="1">
      <c r="G212" s="201"/>
    </row>
    <row r="213" ht="15.75" customHeight="1">
      <c r="G213" s="201"/>
    </row>
    <row r="214" ht="15.75" customHeight="1">
      <c r="G214" s="201"/>
    </row>
    <row r="215" ht="15.75" customHeight="1">
      <c r="G215" s="201"/>
    </row>
    <row r="216" ht="15.75" customHeight="1">
      <c r="G216" s="201"/>
    </row>
    <row r="217" ht="15.75" customHeight="1">
      <c r="G217" s="201"/>
    </row>
    <row r="218" ht="15.75" customHeight="1">
      <c r="G218" s="201"/>
    </row>
    <row r="219" ht="15.75" customHeight="1">
      <c r="G219" s="201"/>
    </row>
    <row r="220" ht="15.75" customHeight="1">
      <c r="G220" s="201"/>
    </row>
    <row r="221" ht="15.75" customHeight="1">
      <c r="G221" s="201"/>
    </row>
    <row r="222" ht="15.75" customHeight="1">
      <c r="G222" s="201"/>
    </row>
    <row r="223" ht="15.75" customHeight="1">
      <c r="G223" s="201"/>
    </row>
    <row r="224" ht="15.75" customHeight="1">
      <c r="G224" s="201"/>
    </row>
    <row r="225" ht="15.75" customHeight="1">
      <c r="G225" s="201"/>
    </row>
    <row r="226" ht="15.75" customHeight="1">
      <c r="G226" s="201"/>
    </row>
    <row r="227" ht="15.75" customHeight="1">
      <c r="G227" s="201"/>
    </row>
    <row r="228" ht="15.75" customHeight="1">
      <c r="G228" s="201"/>
    </row>
    <row r="229" ht="15.75" customHeight="1">
      <c r="G229" s="201"/>
    </row>
    <row r="230" ht="15.75" customHeight="1">
      <c r="G230" s="201"/>
    </row>
    <row r="231" ht="15.75" customHeight="1">
      <c r="G231" s="201"/>
    </row>
    <row r="232" ht="15.75" customHeight="1">
      <c r="G232" s="201"/>
    </row>
    <row r="233" ht="15.75" customHeight="1">
      <c r="G233" s="201"/>
    </row>
    <row r="234" ht="15.75" customHeight="1">
      <c r="G234" s="201"/>
    </row>
    <row r="235" ht="15.75" customHeight="1">
      <c r="G235" s="201"/>
    </row>
    <row r="236" ht="15.75" customHeight="1">
      <c r="G236" s="201"/>
    </row>
    <row r="237" ht="15.75" customHeight="1">
      <c r="G237" s="201"/>
    </row>
    <row r="238" ht="15.75" customHeight="1">
      <c r="G238" s="201"/>
    </row>
    <row r="239" ht="15.75" customHeight="1">
      <c r="G239" s="201"/>
    </row>
    <row r="240" ht="15.75" customHeight="1">
      <c r="G240" s="201"/>
    </row>
    <row r="241" ht="15.75" customHeight="1">
      <c r="G241" s="201"/>
    </row>
    <row r="242" ht="15.75" customHeight="1">
      <c r="G242" s="201"/>
    </row>
    <row r="243" ht="15.75" customHeight="1">
      <c r="G243" s="201"/>
    </row>
    <row r="244" ht="15.75" customHeight="1">
      <c r="G244" s="201"/>
    </row>
    <row r="245" ht="15.75" customHeight="1">
      <c r="G245" s="201"/>
    </row>
    <row r="246" ht="15.75" customHeight="1">
      <c r="G246" s="201"/>
    </row>
    <row r="247" ht="15.75" customHeight="1">
      <c r="G247" s="201"/>
    </row>
    <row r="248" ht="15.75" customHeight="1">
      <c r="G248" s="201"/>
    </row>
    <row r="249" ht="15.75" customHeight="1">
      <c r="G249" s="201"/>
    </row>
    <row r="250" ht="15.75" customHeight="1">
      <c r="G250" s="201"/>
    </row>
    <row r="251" ht="15.75" customHeight="1">
      <c r="G251" s="201"/>
    </row>
    <row r="252" ht="15.75" customHeight="1">
      <c r="G252" s="201"/>
    </row>
    <row r="253" ht="15.75" customHeight="1">
      <c r="G253" s="201"/>
    </row>
    <row r="254" ht="15.75" customHeight="1">
      <c r="G254" s="201"/>
    </row>
    <row r="255" ht="15.75" customHeight="1">
      <c r="G255" s="201"/>
    </row>
    <row r="256" ht="15.75" customHeight="1">
      <c r="G256" s="201"/>
    </row>
    <row r="257" ht="15.75" customHeight="1">
      <c r="G257" s="201"/>
    </row>
    <row r="258" ht="15.75" customHeight="1">
      <c r="G258" s="201"/>
    </row>
    <row r="259" ht="15.75" customHeight="1">
      <c r="G259" s="201"/>
    </row>
    <row r="260" ht="15.75" customHeight="1">
      <c r="G260" s="201"/>
    </row>
    <row r="261" ht="15.75" customHeight="1">
      <c r="G261" s="201"/>
    </row>
    <row r="262" ht="15.75" customHeight="1">
      <c r="G262" s="201"/>
    </row>
    <row r="263" ht="15.75" customHeight="1">
      <c r="G263" s="201"/>
    </row>
    <row r="264" ht="15.75" customHeight="1">
      <c r="G264" s="201"/>
    </row>
    <row r="265" ht="15.75" customHeight="1">
      <c r="G265" s="201"/>
    </row>
    <row r="266" ht="15.75" customHeight="1">
      <c r="G266" s="201"/>
    </row>
    <row r="267" ht="15.75" customHeight="1">
      <c r="G267" s="201"/>
    </row>
    <row r="268" ht="15.75" customHeight="1">
      <c r="G268" s="201"/>
    </row>
    <row r="269" ht="15.75" customHeight="1">
      <c r="G269" s="201"/>
    </row>
    <row r="270" ht="15.75" customHeight="1">
      <c r="G270" s="201"/>
    </row>
    <row r="271" ht="15.75" customHeight="1">
      <c r="G271" s="201"/>
    </row>
    <row r="272" ht="15.75" customHeight="1">
      <c r="G272" s="201"/>
    </row>
    <row r="273" ht="15.75" customHeight="1">
      <c r="G273" s="201"/>
    </row>
    <row r="274" ht="15.75" customHeight="1">
      <c r="G274" s="201"/>
    </row>
    <row r="275" ht="15.75" customHeight="1">
      <c r="G275" s="201"/>
    </row>
    <row r="276" ht="15.75" customHeight="1">
      <c r="G276" s="201"/>
    </row>
    <row r="277" ht="15.75" customHeight="1">
      <c r="G277" s="201"/>
    </row>
    <row r="278" ht="15.75" customHeight="1">
      <c r="G278" s="201"/>
    </row>
    <row r="279" ht="15.75" customHeight="1">
      <c r="G279" s="201"/>
    </row>
    <row r="280" ht="15.75" customHeight="1">
      <c r="G280" s="201"/>
    </row>
    <row r="281" ht="15.75" customHeight="1">
      <c r="G281" s="201"/>
    </row>
    <row r="282" ht="15.75" customHeight="1">
      <c r="G282" s="201"/>
    </row>
    <row r="283" ht="15.75" customHeight="1">
      <c r="G283" s="201"/>
    </row>
    <row r="284" ht="15.75" customHeight="1">
      <c r="G284" s="201"/>
    </row>
    <row r="285" ht="15.75" customHeight="1">
      <c r="G285" s="201"/>
    </row>
    <row r="286" ht="15.75" customHeight="1">
      <c r="G286" s="201"/>
    </row>
    <row r="287" ht="15.75" customHeight="1">
      <c r="G287" s="201"/>
    </row>
    <row r="288" ht="15.75" customHeight="1">
      <c r="G288" s="201"/>
    </row>
    <row r="289" ht="15.75" customHeight="1">
      <c r="G289" s="201"/>
    </row>
    <row r="290" ht="15.75" customHeight="1">
      <c r="G290" s="201"/>
    </row>
    <row r="291" ht="15.75" customHeight="1">
      <c r="G291" s="201"/>
    </row>
    <row r="292" ht="15.75" customHeight="1">
      <c r="G292" s="201"/>
    </row>
    <row r="293" ht="15.75" customHeight="1">
      <c r="G293" s="201"/>
    </row>
    <row r="294" ht="15.75" customHeight="1">
      <c r="G294" s="201"/>
    </row>
    <row r="295" ht="15.75" customHeight="1">
      <c r="G295" s="201"/>
    </row>
    <row r="296" ht="15.75" customHeight="1">
      <c r="G296" s="201"/>
    </row>
    <row r="297" ht="15.75" customHeight="1">
      <c r="G297" s="201"/>
    </row>
    <row r="298" ht="15.75" customHeight="1">
      <c r="G298" s="201"/>
    </row>
    <row r="299" ht="15.75" customHeight="1">
      <c r="G299" s="201"/>
    </row>
    <row r="300" ht="15.75" customHeight="1">
      <c r="G300" s="201"/>
    </row>
    <row r="301" ht="15.75" customHeight="1">
      <c r="G301" s="201"/>
    </row>
    <row r="302" ht="15.75" customHeight="1">
      <c r="G302" s="201"/>
    </row>
    <row r="303" ht="15.75" customHeight="1">
      <c r="G303" s="201"/>
    </row>
    <row r="304" ht="15.75" customHeight="1">
      <c r="G304" s="201"/>
    </row>
    <row r="305" ht="15.75" customHeight="1">
      <c r="G305" s="201"/>
    </row>
    <row r="306" ht="15.75" customHeight="1">
      <c r="G306" s="201"/>
    </row>
    <row r="307" ht="15.75" customHeight="1">
      <c r="G307" s="201"/>
    </row>
    <row r="308" ht="15.75" customHeight="1">
      <c r="G308" s="201"/>
    </row>
    <row r="309" ht="15.75" customHeight="1">
      <c r="G309" s="201"/>
    </row>
    <row r="310" ht="15.75" customHeight="1">
      <c r="G310" s="201"/>
    </row>
    <row r="311" ht="15.75" customHeight="1">
      <c r="G311" s="201"/>
    </row>
    <row r="312" ht="15.75" customHeight="1">
      <c r="G312" s="201"/>
    </row>
    <row r="313" ht="15.75" customHeight="1">
      <c r="G313" s="201"/>
    </row>
    <row r="314" ht="15.75" customHeight="1">
      <c r="G314" s="201"/>
    </row>
    <row r="315" ht="15.75" customHeight="1">
      <c r="G315" s="201"/>
    </row>
    <row r="316" ht="15.75" customHeight="1">
      <c r="G316" s="201"/>
    </row>
    <row r="317" ht="15.75" customHeight="1">
      <c r="G317" s="201"/>
    </row>
    <row r="318" ht="15.75" customHeight="1">
      <c r="G318" s="201"/>
    </row>
    <row r="319" ht="15.75" customHeight="1">
      <c r="G319" s="201"/>
    </row>
    <row r="320" ht="15.75" customHeight="1">
      <c r="G320" s="201"/>
    </row>
    <row r="321" ht="15.75" customHeight="1">
      <c r="G321" s="201"/>
    </row>
    <row r="322" ht="15.75" customHeight="1">
      <c r="G322" s="201"/>
    </row>
    <row r="323" ht="15.75" customHeight="1">
      <c r="G323" s="201"/>
    </row>
    <row r="324" ht="15.75" customHeight="1">
      <c r="G324" s="201"/>
    </row>
    <row r="325" ht="15.75" customHeight="1">
      <c r="G325" s="201"/>
    </row>
    <row r="326" ht="15.75" customHeight="1">
      <c r="G326" s="201"/>
    </row>
    <row r="327" ht="15.75" customHeight="1">
      <c r="G327" s="201"/>
    </row>
    <row r="328" ht="15.75" customHeight="1">
      <c r="G328" s="201"/>
    </row>
    <row r="329" ht="15.75" customHeight="1">
      <c r="G329" s="201"/>
    </row>
    <row r="330" ht="15.75" customHeight="1">
      <c r="G330" s="201"/>
    </row>
    <row r="331" ht="15.75" customHeight="1">
      <c r="G331" s="201"/>
    </row>
    <row r="332" ht="15.75" customHeight="1">
      <c r="G332" s="201"/>
    </row>
    <row r="333" ht="15.75" customHeight="1">
      <c r="G333" s="201"/>
    </row>
    <row r="334" ht="15.75" customHeight="1">
      <c r="G334" s="201"/>
    </row>
    <row r="335" ht="15.75" customHeight="1">
      <c r="G335" s="201"/>
    </row>
    <row r="336" ht="15.75" customHeight="1">
      <c r="G336" s="201"/>
    </row>
    <row r="337" ht="15.75" customHeight="1">
      <c r="G337" s="201"/>
    </row>
    <row r="338" ht="15.75" customHeight="1">
      <c r="G338" s="201"/>
    </row>
    <row r="339" ht="15.75" customHeight="1">
      <c r="G339" s="201"/>
    </row>
    <row r="340" ht="15.75" customHeight="1">
      <c r="G340" s="201"/>
    </row>
    <row r="341" ht="15.75" customHeight="1">
      <c r="G341" s="201"/>
    </row>
    <row r="342" ht="15.75" customHeight="1">
      <c r="G342" s="201"/>
    </row>
    <row r="343" ht="15.75" customHeight="1">
      <c r="G343" s="201"/>
    </row>
    <row r="344" ht="15.75" customHeight="1">
      <c r="G344" s="201"/>
    </row>
    <row r="345" ht="15.75" customHeight="1">
      <c r="G345" s="201"/>
    </row>
    <row r="346" ht="15.75" customHeight="1">
      <c r="G346" s="201"/>
    </row>
    <row r="347" ht="15.75" customHeight="1">
      <c r="G347" s="201"/>
    </row>
    <row r="348" ht="15.75" customHeight="1">
      <c r="G348" s="201"/>
    </row>
    <row r="349" ht="15.75" customHeight="1">
      <c r="G349" s="201"/>
    </row>
    <row r="350" ht="15.75" customHeight="1">
      <c r="G350" s="201"/>
    </row>
    <row r="351" ht="15.75" customHeight="1">
      <c r="G351" s="201"/>
    </row>
    <row r="352" ht="15.75" customHeight="1">
      <c r="G352" s="201"/>
    </row>
    <row r="353" ht="15.75" customHeight="1">
      <c r="G353" s="201"/>
    </row>
    <row r="354" ht="15.75" customHeight="1">
      <c r="G354" s="201"/>
    </row>
    <row r="355" ht="15.75" customHeight="1">
      <c r="G355" s="201"/>
    </row>
    <row r="356" ht="15.75" customHeight="1">
      <c r="G356" s="201"/>
    </row>
    <row r="357" ht="15.75" customHeight="1">
      <c r="G357" s="201"/>
    </row>
    <row r="358" ht="15.75" customHeight="1">
      <c r="G358" s="201"/>
    </row>
    <row r="359" ht="15.75" customHeight="1">
      <c r="G359" s="201"/>
    </row>
    <row r="360" ht="15.75" customHeight="1">
      <c r="G360" s="201"/>
    </row>
    <row r="361" ht="15.75" customHeight="1">
      <c r="G361" s="201"/>
    </row>
    <row r="362" ht="15.75" customHeight="1">
      <c r="G362" s="201"/>
    </row>
    <row r="363" ht="15.75" customHeight="1">
      <c r="G363" s="201"/>
    </row>
    <row r="364" ht="15.75" customHeight="1">
      <c r="G364" s="201"/>
    </row>
    <row r="365" ht="15.75" customHeight="1">
      <c r="G365" s="201"/>
    </row>
    <row r="366" ht="15.75" customHeight="1">
      <c r="G366" s="201"/>
    </row>
    <row r="367" ht="15.75" customHeight="1">
      <c r="G367" s="201"/>
    </row>
    <row r="368" ht="15.75" customHeight="1">
      <c r="G368" s="201"/>
    </row>
    <row r="369" ht="15.75" customHeight="1">
      <c r="G369" s="201"/>
    </row>
    <row r="370" ht="15.75" customHeight="1">
      <c r="G370" s="201"/>
    </row>
    <row r="371" ht="15.75" customHeight="1">
      <c r="G371" s="201"/>
    </row>
    <row r="372" ht="15.75" customHeight="1">
      <c r="G372" s="201"/>
    </row>
    <row r="373" ht="15.75" customHeight="1">
      <c r="G373" s="201"/>
    </row>
    <row r="374" ht="15.75" customHeight="1">
      <c r="G374" s="201"/>
    </row>
    <row r="375" ht="15.75" customHeight="1">
      <c r="G375" s="201"/>
    </row>
    <row r="376" ht="15.75" customHeight="1">
      <c r="G376" s="201"/>
    </row>
    <row r="377" ht="15.75" customHeight="1">
      <c r="G377" s="201"/>
    </row>
    <row r="378" ht="15.75" customHeight="1">
      <c r="G378" s="201"/>
    </row>
    <row r="379" ht="15.75" customHeight="1">
      <c r="G379" s="201"/>
    </row>
    <row r="380" ht="15.75" customHeight="1">
      <c r="G380" s="201"/>
    </row>
    <row r="381" ht="15.75" customHeight="1">
      <c r="G381" s="201"/>
    </row>
    <row r="382" ht="15.75" customHeight="1">
      <c r="G382" s="201"/>
    </row>
    <row r="383" ht="15.75" customHeight="1">
      <c r="G383" s="201"/>
    </row>
    <row r="384" ht="15.75" customHeight="1">
      <c r="G384" s="201"/>
    </row>
    <row r="385" ht="15.75" customHeight="1">
      <c r="G385" s="201"/>
    </row>
    <row r="386" ht="15.75" customHeight="1">
      <c r="G386" s="201"/>
    </row>
    <row r="387" ht="15.75" customHeight="1">
      <c r="G387" s="201"/>
    </row>
    <row r="388" ht="15.75" customHeight="1">
      <c r="G388" s="201"/>
    </row>
    <row r="389" ht="15.75" customHeight="1">
      <c r="G389" s="201"/>
    </row>
    <row r="390" ht="15.75" customHeight="1">
      <c r="G390" s="201"/>
    </row>
    <row r="391" ht="15.75" customHeight="1">
      <c r="G391" s="201"/>
    </row>
    <row r="392" ht="15.75" customHeight="1">
      <c r="G392" s="201"/>
    </row>
    <row r="393" ht="15.75" customHeight="1">
      <c r="G393" s="201"/>
    </row>
    <row r="394" ht="15.75" customHeight="1">
      <c r="G394" s="201"/>
    </row>
    <row r="395" ht="15.75" customHeight="1">
      <c r="G395" s="201"/>
    </row>
    <row r="396" ht="15.75" customHeight="1">
      <c r="G396" s="201"/>
    </row>
    <row r="397" ht="15.75" customHeight="1">
      <c r="G397" s="201"/>
    </row>
    <row r="398" ht="15.75" customHeight="1">
      <c r="G398" s="201"/>
    </row>
    <row r="399" ht="15.75" customHeight="1">
      <c r="G399" s="201"/>
    </row>
    <row r="400" ht="15.75" customHeight="1">
      <c r="G400" s="201"/>
    </row>
    <row r="401" ht="15.75" customHeight="1">
      <c r="G401" s="201"/>
    </row>
    <row r="402" ht="15.75" customHeight="1">
      <c r="G402" s="201"/>
    </row>
    <row r="403" ht="15.75" customHeight="1">
      <c r="G403" s="201"/>
    </row>
    <row r="404" ht="15.75" customHeight="1">
      <c r="G404" s="201"/>
    </row>
    <row r="405" ht="15.75" customHeight="1">
      <c r="G405" s="201"/>
    </row>
    <row r="406" ht="15.75" customHeight="1">
      <c r="G406" s="201"/>
    </row>
    <row r="407" ht="15.75" customHeight="1">
      <c r="G407" s="201"/>
    </row>
    <row r="408" ht="15.75" customHeight="1">
      <c r="G408" s="201"/>
    </row>
    <row r="409" ht="15.75" customHeight="1">
      <c r="G409" s="201"/>
    </row>
    <row r="410" ht="15.75" customHeight="1">
      <c r="G410" s="201"/>
    </row>
    <row r="411" ht="15.75" customHeight="1">
      <c r="G411" s="201"/>
    </row>
    <row r="412" ht="15.75" customHeight="1">
      <c r="G412" s="201"/>
    </row>
    <row r="413" ht="15.75" customHeight="1">
      <c r="G413" s="201"/>
    </row>
    <row r="414" ht="15.75" customHeight="1">
      <c r="G414" s="201"/>
    </row>
    <row r="415" ht="15.75" customHeight="1">
      <c r="G415" s="201"/>
    </row>
    <row r="416" ht="15.75" customHeight="1">
      <c r="G416" s="201"/>
    </row>
    <row r="417" ht="15.75" customHeight="1">
      <c r="G417" s="201"/>
    </row>
    <row r="418" ht="15.75" customHeight="1">
      <c r="G418" s="201"/>
    </row>
    <row r="419" ht="15.75" customHeight="1">
      <c r="G419" s="201"/>
    </row>
    <row r="420" ht="15.75" customHeight="1">
      <c r="G420" s="201"/>
    </row>
    <row r="421" ht="15.75" customHeight="1">
      <c r="G421" s="201"/>
    </row>
    <row r="422" ht="15.75" customHeight="1">
      <c r="G422" s="201"/>
    </row>
    <row r="423" ht="15.75" customHeight="1">
      <c r="G423" s="201"/>
    </row>
    <row r="424" ht="15.75" customHeight="1">
      <c r="G424" s="201"/>
    </row>
    <row r="425" ht="15.75" customHeight="1">
      <c r="G425" s="201"/>
    </row>
    <row r="426" ht="15.75" customHeight="1">
      <c r="G426" s="201"/>
    </row>
    <row r="427" ht="15.75" customHeight="1">
      <c r="G427" s="201"/>
    </row>
    <row r="428" ht="15.75" customHeight="1">
      <c r="G428" s="201"/>
    </row>
    <row r="429" ht="15.75" customHeight="1">
      <c r="G429" s="201"/>
    </row>
    <row r="430" ht="15.75" customHeight="1">
      <c r="G430" s="201"/>
    </row>
    <row r="431" ht="15.75" customHeight="1">
      <c r="G431" s="201"/>
    </row>
    <row r="432" ht="15.75" customHeight="1">
      <c r="G432" s="201"/>
    </row>
    <row r="433" ht="15.75" customHeight="1">
      <c r="G433" s="201"/>
    </row>
    <row r="434" ht="15.75" customHeight="1">
      <c r="G434" s="201"/>
    </row>
    <row r="435" ht="15.75" customHeight="1">
      <c r="G435" s="201"/>
    </row>
    <row r="436" ht="15.75" customHeight="1">
      <c r="G436" s="201"/>
    </row>
    <row r="437" ht="15.75" customHeight="1">
      <c r="G437" s="201"/>
    </row>
    <row r="438" ht="15.75" customHeight="1">
      <c r="G438" s="201"/>
    </row>
    <row r="439" ht="15.75" customHeight="1">
      <c r="G439" s="201"/>
    </row>
    <row r="440" ht="15.75" customHeight="1">
      <c r="G440" s="201"/>
    </row>
    <row r="441" ht="15.75" customHeight="1">
      <c r="G441" s="201"/>
    </row>
    <row r="442" ht="15.75" customHeight="1">
      <c r="G442" s="201"/>
    </row>
    <row r="443" ht="15.75" customHeight="1">
      <c r="G443" s="201"/>
    </row>
    <row r="444" ht="15.75" customHeight="1">
      <c r="G444" s="201"/>
    </row>
    <row r="445" ht="15.75" customHeight="1">
      <c r="G445" s="201"/>
    </row>
    <row r="446" ht="15.75" customHeight="1">
      <c r="G446" s="201"/>
    </row>
    <row r="447" ht="15.75" customHeight="1">
      <c r="G447" s="201"/>
    </row>
    <row r="448" ht="15.75" customHeight="1">
      <c r="G448" s="201"/>
    </row>
    <row r="449" ht="15.75" customHeight="1">
      <c r="G449" s="201"/>
    </row>
    <row r="450" ht="15.75" customHeight="1">
      <c r="G450" s="201"/>
    </row>
    <row r="451" ht="15.75" customHeight="1">
      <c r="G451" s="201"/>
    </row>
    <row r="452" ht="15.75" customHeight="1">
      <c r="G452" s="201"/>
    </row>
    <row r="453" ht="15.75" customHeight="1">
      <c r="G453" s="201"/>
    </row>
    <row r="454" ht="15.75" customHeight="1">
      <c r="G454" s="201"/>
    </row>
    <row r="455" ht="15.75" customHeight="1">
      <c r="G455" s="201"/>
    </row>
    <row r="456" ht="15.75" customHeight="1">
      <c r="G456" s="201"/>
    </row>
    <row r="457" ht="15.75" customHeight="1">
      <c r="G457" s="201"/>
    </row>
    <row r="458" ht="15.75" customHeight="1">
      <c r="G458" s="201"/>
    </row>
    <row r="459" ht="15.75" customHeight="1">
      <c r="G459" s="201"/>
    </row>
    <row r="460" ht="15.75" customHeight="1">
      <c r="G460" s="201"/>
    </row>
    <row r="461" ht="15.75" customHeight="1">
      <c r="G461" s="201"/>
    </row>
    <row r="462" ht="15.75" customHeight="1">
      <c r="G462" s="201"/>
    </row>
    <row r="463" ht="15.75" customHeight="1">
      <c r="G463" s="201"/>
    </row>
    <row r="464" ht="15.75" customHeight="1">
      <c r="G464" s="201"/>
    </row>
    <row r="465" ht="15.75" customHeight="1">
      <c r="G465" s="201"/>
    </row>
    <row r="466" ht="15.75" customHeight="1">
      <c r="G466" s="201"/>
    </row>
    <row r="467" ht="15.75" customHeight="1">
      <c r="G467" s="201"/>
    </row>
    <row r="468" ht="15.75" customHeight="1">
      <c r="G468" s="201"/>
    </row>
    <row r="469" ht="15.75" customHeight="1">
      <c r="G469" s="201"/>
    </row>
    <row r="470" ht="15.75" customHeight="1">
      <c r="G470" s="201"/>
    </row>
    <row r="471" ht="15.75" customHeight="1">
      <c r="G471" s="201"/>
    </row>
    <row r="472" ht="15.75" customHeight="1">
      <c r="G472" s="201"/>
    </row>
    <row r="473" ht="15.75" customHeight="1">
      <c r="G473" s="201"/>
    </row>
    <row r="474" ht="15.75" customHeight="1">
      <c r="G474" s="201"/>
    </row>
    <row r="475" ht="15.75" customHeight="1">
      <c r="G475" s="201"/>
    </row>
    <row r="476" ht="15.75" customHeight="1">
      <c r="G476" s="201"/>
    </row>
    <row r="477" ht="15.75" customHeight="1">
      <c r="G477" s="201"/>
    </row>
    <row r="478" ht="15.75" customHeight="1">
      <c r="G478" s="201"/>
    </row>
    <row r="479" ht="15.75" customHeight="1">
      <c r="G479" s="201"/>
    </row>
    <row r="480" ht="15.75" customHeight="1">
      <c r="G480" s="201"/>
    </row>
    <row r="481" ht="15.75" customHeight="1">
      <c r="G481" s="201"/>
    </row>
    <row r="482" ht="15.75" customHeight="1">
      <c r="G482" s="201"/>
    </row>
    <row r="483" ht="15.75" customHeight="1">
      <c r="G483" s="201"/>
    </row>
    <row r="484" ht="15.75" customHeight="1">
      <c r="G484" s="201"/>
    </row>
    <row r="485" ht="15.75" customHeight="1">
      <c r="G485" s="201"/>
    </row>
    <row r="486" ht="15.75" customHeight="1">
      <c r="G486" s="201"/>
    </row>
    <row r="487" ht="15.75" customHeight="1">
      <c r="G487" s="201"/>
    </row>
    <row r="488" ht="15.75" customHeight="1">
      <c r="G488" s="201"/>
    </row>
    <row r="489" ht="15.75" customHeight="1">
      <c r="G489" s="201"/>
    </row>
    <row r="490" ht="15.75" customHeight="1">
      <c r="G490" s="201"/>
    </row>
    <row r="491" ht="15.75" customHeight="1">
      <c r="G491" s="201"/>
    </row>
    <row r="492" ht="15.75" customHeight="1">
      <c r="G492" s="201"/>
    </row>
    <row r="493" ht="15.75" customHeight="1">
      <c r="G493" s="201"/>
    </row>
    <row r="494" ht="15.75" customHeight="1">
      <c r="G494" s="201"/>
    </row>
    <row r="495" ht="15.75" customHeight="1">
      <c r="G495" s="201"/>
    </row>
    <row r="496" ht="15.75" customHeight="1">
      <c r="G496" s="201"/>
    </row>
    <row r="497" ht="15.75" customHeight="1">
      <c r="G497" s="201"/>
    </row>
    <row r="498" ht="15.75" customHeight="1">
      <c r="G498" s="201"/>
    </row>
    <row r="499" ht="15.75" customHeight="1">
      <c r="G499" s="201"/>
    </row>
    <row r="500" ht="15.75" customHeight="1">
      <c r="G500" s="201"/>
    </row>
    <row r="501" ht="15.75" customHeight="1">
      <c r="G501" s="201"/>
    </row>
    <row r="502" ht="15.75" customHeight="1">
      <c r="G502" s="201"/>
    </row>
    <row r="503" ht="15.75" customHeight="1">
      <c r="G503" s="201"/>
    </row>
    <row r="504" ht="15.75" customHeight="1">
      <c r="G504" s="201"/>
    </row>
    <row r="505" ht="15.75" customHeight="1">
      <c r="G505" s="201"/>
    </row>
    <row r="506" ht="15.75" customHeight="1">
      <c r="G506" s="201"/>
    </row>
    <row r="507" ht="15.75" customHeight="1">
      <c r="G507" s="201"/>
    </row>
    <row r="508" ht="15.75" customHeight="1">
      <c r="G508" s="201"/>
    </row>
    <row r="509" ht="15.75" customHeight="1">
      <c r="G509" s="201"/>
    </row>
    <row r="510" ht="15.75" customHeight="1">
      <c r="G510" s="201"/>
    </row>
    <row r="511" ht="15.75" customHeight="1">
      <c r="G511" s="201"/>
    </row>
    <row r="512" ht="15.75" customHeight="1">
      <c r="G512" s="201"/>
    </row>
    <row r="513" ht="15.75" customHeight="1">
      <c r="G513" s="201"/>
    </row>
    <row r="514" ht="15.75" customHeight="1">
      <c r="G514" s="201"/>
    </row>
    <row r="515" ht="15.75" customHeight="1">
      <c r="G515" s="201"/>
    </row>
    <row r="516" ht="15.75" customHeight="1">
      <c r="G516" s="201"/>
    </row>
    <row r="517" ht="15.75" customHeight="1">
      <c r="G517" s="201"/>
    </row>
    <row r="518" ht="15.75" customHeight="1">
      <c r="G518" s="201"/>
    </row>
    <row r="519" ht="15.75" customHeight="1">
      <c r="G519" s="201"/>
    </row>
    <row r="520" ht="15.75" customHeight="1">
      <c r="G520" s="201"/>
    </row>
    <row r="521" ht="15.75" customHeight="1">
      <c r="G521" s="201"/>
    </row>
    <row r="522" ht="15.75" customHeight="1">
      <c r="G522" s="201"/>
    </row>
    <row r="523" ht="15.75" customHeight="1">
      <c r="G523" s="201"/>
    </row>
    <row r="524" ht="15.75" customHeight="1">
      <c r="G524" s="201"/>
    </row>
    <row r="525" ht="15.75" customHeight="1">
      <c r="G525" s="201"/>
    </row>
    <row r="526" ht="15.75" customHeight="1">
      <c r="G526" s="201"/>
    </row>
    <row r="527" ht="15.75" customHeight="1">
      <c r="G527" s="201"/>
    </row>
    <row r="528" ht="15.75" customHeight="1">
      <c r="G528" s="201"/>
    </row>
    <row r="529" ht="15.75" customHeight="1">
      <c r="G529" s="201"/>
    </row>
    <row r="530" ht="15.75" customHeight="1">
      <c r="G530" s="201"/>
    </row>
    <row r="531" ht="15.75" customHeight="1">
      <c r="G531" s="201"/>
    </row>
    <row r="532" ht="15.75" customHeight="1">
      <c r="G532" s="201"/>
    </row>
    <row r="533" ht="15.75" customHeight="1">
      <c r="G533" s="201"/>
    </row>
    <row r="534" ht="15.75" customHeight="1">
      <c r="G534" s="201"/>
    </row>
    <row r="535" ht="15.75" customHeight="1">
      <c r="G535" s="201"/>
    </row>
    <row r="536" ht="15.75" customHeight="1">
      <c r="G536" s="201"/>
    </row>
    <row r="537" ht="15.75" customHeight="1">
      <c r="G537" s="201"/>
    </row>
    <row r="538" ht="15.75" customHeight="1">
      <c r="G538" s="201"/>
    </row>
    <row r="539" ht="15.75" customHeight="1">
      <c r="G539" s="201"/>
    </row>
    <row r="540" ht="15.75" customHeight="1">
      <c r="G540" s="201"/>
    </row>
    <row r="541" ht="15.75" customHeight="1">
      <c r="G541" s="201"/>
    </row>
    <row r="542" ht="15.75" customHeight="1">
      <c r="G542" s="201"/>
    </row>
    <row r="543" ht="15.75" customHeight="1">
      <c r="G543" s="201"/>
    </row>
    <row r="544" ht="15.75" customHeight="1">
      <c r="G544" s="201"/>
    </row>
    <row r="545" ht="15.75" customHeight="1">
      <c r="G545" s="201"/>
    </row>
    <row r="546" ht="15.75" customHeight="1">
      <c r="G546" s="201"/>
    </row>
    <row r="547" ht="15.75" customHeight="1">
      <c r="G547" s="201"/>
    </row>
    <row r="548" ht="15.75" customHeight="1">
      <c r="G548" s="201"/>
    </row>
    <row r="549" ht="15.75" customHeight="1">
      <c r="G549" s="201"/>
    </row>
    <row r="550" ht="15.75" customHeight="1">
      <c r="G550" s="201"/>
    </row>
    <row r="551" ht="15.75" customHeight="1">
      <c r="G551" s="201"/>
    </row>
    <row r="552" ht="15.75" customHeight="1">
      <c r="G552" s="201"/>
    </row>
    <row r="553" ht="15.75" customHeight="1">
      <c r="G553" s="201"/>
    </row>
    <row r="554" ht="15.75" customHeight="1">
      <c r="G554" s="201"/>
    </row>
    <row r="555" ht="15.75" customHeight="1">
      <c r="G555" s="201"/>
    </row>
    <row r="556" ht="15.75" customHeight="1">
      <c r="G556" s="201"/>
    </row>
    <row r="557" ht="15.75" customHeight="1">
      <c r="G557" s="201"/>
    </row>
    <row r="558" ht="15.75" customHeight="1">
      <c r="G558" s="201"/>
    </row>
    <row r="559" ht="15.75" customHeight="1">
      <c r="G559" s="201"/>
    </row>
    <row r="560" ht="15.75" customHeight="1">
      <c r="G560" s="201"/>
    </row>
    <row r="561" ht="15.75" customHeight="1">
      <c r="G561" s="201"/>
    </row>
    <row r="562" ht="15.75" customHeight="1">
      <c r="G562" s="201"/>
    </row>
    <row r="563" ht="15.75" customHeight="1">
      <c r="G563" s="201"/>
    </row>
    <row r="564" ht="15.75" customHeight="1">
      <c r="G564" s="201"/>
    </row>
    <row r="565" ht="15.75" customHeight="1">
      <c r="G565" s="201"/>
    </row>
    <row r="566" ht="15.75" customHeight="1">
      <c r="G566" s="201"/>
    </row>
    <row r="567" ht="15.75" customHeight="1">
      <c r="G567" s="201"/>
    </row>
    <row r="568" ht="15.75" customHeight="1">
      <c r="G568" s="201"/>
    </row>
    <row r="569" ht="15.75" customHeight="1">
      <c r="G569" s="201"/>
    </row>
    <row r="570" ht="15.75" customHeight="1">
      <c r="G570" s="201"/>
    </row>
    <row r="571" ht="15.75" customHeight="1">
      <c r="G571" s="201"/>
    </row>
    <row r="572" ht="15.75" customHeight="1">
      <c r="G572" s="201"/>
    </row>
    <row r="573" ht="15.75" customHeight="1">
      <c r="G573" s="201"/>
    </row>
    <row r="574" ht="15.75" customHeight="1">
      <c r="G574" s="201"/>
    </row>
    <row r="575" ht="15.75" customHeight="1">
      <c r="G575" s="201"/>
    </row>
    <row r="576" ht="15.75" customHeight="1">
      <c r="G576" s="201"/>
    </row>
    <row r="577" ht="15.75" customHeight="1">
      <c r="G577" s="201"/>
    </row>
    <row r="578" ht="15.75" customHeight="1">
      <c r="G578" s="201"/>
    </row>
    <row r="579" ht="15.75" customHeight="1">
      <c r="G579" s="201"/>
    </row>
    <row r="580" ht="15.75" customHeight="1">
      <c r="G580" s="201"/>
    </row>
    <row r="581" ht="15.75" customHeight="1">
      <c r="G581" s="201"/>
    </row>
    <row r="582" ht="15.75" customHeight="1">
      <c r="G582" s="201"/>
    </row>
    <row r="583" ht="15.75" customHeight="1">
      <c r="G583" s="201"/>
    </row>
    <row r="584" ht="15.75" customHeight="1">
      <c r="G584" s="201"/>
    </row>
    <row r="585" ht="15.75" customHeight="1">
      <c r="G585" s="201"/>
    </row>
    <row r="586" ht="15.75" customHeight="1">
      <c r="G586" s="201"/>
    </row>
    <row r="587" ht="15.75" customHeight="1">
      <c r="G587" s="201"/>
    </row>
    <row r="588" ht="15.75" customHeight="1">
      <c r="G588" s="201"/>
    </row>
    <row r="589" ht="15.75" customHeight="1">
      <c r="G589" s="201"/>
    </row>
    <row r="590" ht="15.75" customHeight="1">
      <c r="G590" s="201"/>
    </row>
    <row r="591" ht="15.75" customHeight="1">
      <c r="G591" s="201"/>
    </row>
    <row r="592" ht="15.75" customHeight="1">
      <c r="G592" s="201"/>
    </row>
    <row r="593" ht="15.75" customHeight="1">
      <c r="G593" s="201"/>
    </row>
    <row r="594" ht="15.75" customHeight="1">
      <c r="G594" s="201"/>
    </row>
    <row r="595" ht="15.75" customHeight="1">
      <c r="G595" s="201"/>
    </row>
    <row r="596" ht="15.75" customHeight="1">
      <c r="G596" s="201"/>
    </row>
    <row r="597" ht="15.75" customHeight="1">
      <c r="G597" s="201"/>
    </row>
    <row r="598" ht="15.75" customHeight="1">
      <c r="G598" s="201"/>
    </row>
    <row r="599" ht="15.75" customHeight="1">
      <c r="G599" s="201"/>
    </row>
    <row r="600" ht="15.75" customHeight="1">
      <c r="G600" s="201"/>
    </row>
    <row r="601" ht="15.75" customHeight="1">
      <c r="G601" s="201"/>
    </row>
    <row r="602" ht="15.75" customHeight="1">
      <c r="G602" s="201"/>
    </row>
    <row r="603" ht="15.75" customHeight="1">
      <c r="G603" s="201"/>
    </row>
    <row r="604" ht="15.75" customHeight="1">
      <c r="G604" s="201"/>
    </row>
    <row r="605" ht="15.75" customHeight="1">
      <c r="G605" s="201"/>
    </row>
    <row r="606" ht="15.75" customHeight="1">
      <c r="G606" s="201"/>
    </row>
    <row r="607" ht="15.75" customHeight="1">
      <c r="G607" s="201"/>
    </row>
    <row r="608" ht="15.75" customHeight="1">
      <c r="G608" s="201"/>
    </row>
    <row r="609" ht="15.75" customHeight="1">
      <c r="G609" s="201"/>
    </row>
    <row r="610" ht="15.75" customHeight="1">
      <c r="G610" s="201"/>
    </row>
    <row r="611" ht="15.75" customHeight="1">
      <c r="G611" s="201"/>
    </row>
    <row r="612" ht="15.75" customHeight="1">
      <c r="G612" s="201"/>
    </row>
    <row r="613" ht="15.75" customHeight="1">
      <c r="G613" s="201"/>
    </row>
    <row r="614" ht="15.75" customHeight="1">
      <c r="G614" s="201"/>
    </row>
    <row r="615" ht="15.75" customHeight="1">
      <c r="G615" s="201"/>
    </row>
    <row r="616" ht="15.75" customHeight="1">
      <c r="G616" s="201"/>
    </row>
    <row r="617" ht="15.75" customHeight="1">
      <c r="G617" s="201"/>
    </row>
    <row r="618" ht="15.75" customHeight="1">
      <c r="G618" s="201"/>
    </row>
    <row r="619" ht="15.75" customHeight="1">
      <c r="G619" s="201"/>
    </row>
    <row r="620" ht="15.75" customHeight="1">
      <c r="G620" s="201"/>
    </row>
    <row r="621" ht="15.75" customHeight="1">
      <c r="G621" s="201"/>
    </row>
    <row r="622" ht="15.75" customHeight="1">
      <c r="G622" s="201"/>
    </row>
    <row r="623" ht="15.75" customHeight="1">
      <c r="G623" s="201"/>
    </row>
    <row r="624" ht="15.75" customHeight="1">
      <c r="G624" s="201"/>
    </row>
    <row r="625" ht="15.75" customHeight="1">
      <c r="G625" s="201"/>
    </row>
    <row r="626" ht="15.75" customHeight="1">
      <c r="G626" s="201"/>
    </row>
    <row r="627" ht="15.75" customHeight="1">
      <c r="G627" s="201"/>
    </row>
    <row r="628" ht="15.75" customHeight="1">
      <c r="G628" s="201"/>
    </row>
    <row r="629" ht="15.75" customHeight="1">
      <c r="G629" s="201"/>
    </row>
    <row r="630" ht="15.75" customHeight="1">
      <c r="G630" s="201"/>
    </row>
    <row r="631" ht="15.75" customHeight="1">
      <c r="G631" s="201"/>
    </row>
    <row r="632" ht="15.75" customHeight="1">
      <c r="G632" s="201"/>
    </row>
    <row r="633" ht="15.75" customHeight="1">
      <c r="G633" s="201"/>
    </row>
    <row r="634" ht="15.75" customHeight="1">
      <c r="G634" s="201"/>
    </row>
    <row r="635" ht="15.75" customHeight="1">
      <c r="G635" s="201"/>
    </row>
    <row r="636" ht="15.75" customHeight="1">
      <c r="G636" s="201"/>
    </row>
    <row r="637" ht="15.75" customHeight="1">
      <c r="G637" s="201"/>
    </row>
    <row r="638" ht="15.75" customHeight="1">
      <c r="G638" s="201"/>
    </row>
    <row r="639" ht="15.75" customHeight="1">
      <c r="G639" s="201"/>
    </row>
    <row r="640" ht="15.75" customHeight="1">
      <c r="G640" s="201"/>
    </row>
    <row r="641" ht="15.75" customHeight="1">
      <c r="G641" s="201"/>
    </row>
    <row r="642" ht="15.75" customHeight="1">
      <c r="G642" s="201"/>
    </row>
    <row r="643" ht="15.75" customHeight="1">
      <c r="G643" s="201"/>
    </row>
    <row r="644" ht="15.75" customHeight="1">
      <c r="G644" s="201"/>
    </row>
    <row r="645" ht="15.75" customHeight="1">
      <c r="G645" s="201"/>
    </row>
    <row r="646" ht="15.75" customHeight="1">
      <c r="G646" s="201"/>
    </row>
    <row r="647" ht="15.75" customHeight="1">
      <c r="G647" s="201"/>
    </row>
    <row r="648" ht="15.75" customHeight="1">
      <c r="G648" s="201"/>
    </row>
    <row r="649" ht="15.75" customHeight="1">
      <c r="G649" s="201"/>
    </row>
    <row r="650" ht="15.75" customHeight="1">
      <c r="G650" s="201"/>
    </row>
    <row r="651" ht="15.75" customHeight="1">
      <c r="G651" s="201"/>
    </row>
    <row r="652" ht="15.75" customHeight="1">
      <c r="G652" s="201"/>
    </row>
    <row r="653" ht="15.75" customHeight="1">
      <c r="G653" s="201"/>
    </row>
    <row r="654" ht="15.75" customHeight="1">
      <c r="G654" s="201"/>
    </row>
    <row r="655" ht="15.75" customHeight="1">
      <c r="G655" s="201"/>
    </row>
    <row r="656" ht="15.75" customHeight="1">
      <c r="G656" s="201"/>
    </row>
    <row r="657" ht="15.75" customHeight="1">
      <c r="G657" s="201"/>
    </row>
    <row r="658" ht="15.75" customHeight="1">
      <c r="G658" s="201"/>
    </row>
    <row r="659" ht="15.75" customHeight="1">
      <c r="G659" s="201"/>
    </row>
    <row r="660" ht="15.75" customHeight="1">
      <c r="G660" s="201"/>
    </row>
    <row r="661" ht="15.75" customHeight="1">
      <c r="G661" s="201"/>
    </row>
    <row r="662" ht="15.75" customHeight="1">
      <c r="G662" s="201"/>
    </row>
    <row r="663" ht="15.75" customHeight="1">
      <c r="G663" s="201"/>
    </row>
    <row r="664" ht="15.75" customHeight="1">
      <c r="G664" s="201"/>
    </row>
    <row r="665" ht="15.75" customHeight="1">
      <c r="G665" s="201"/>
    </row>
    <row r="666" ht="15.75" customHeight="1">
      <c r="G666" s="201"/>
    </row>
    <row r="667" ht="15.75" customHeight="1">
      <c r="G667" s="201"/>
    </row>
    <row r="668" ht="15.75" customHeight="1">
      <c r="G668" s="201"/>
    </row>
    <row r="669" ht="15.75" customHeight="1">
      <c r="G669" s="201"/>
    </row>
    <row r="670" ht="15.75" customHeight="1">
      <c r="G670" s="201"/>
    </row>
    <row r="671" ht="15.75" customHeight="1">
      <c r="G671" s="201"/>
    </row>
    <row r="672" ht="15.75" customHeight="1">
      <c r="G672" s="201"/>
    </row>
    <row r="673" ht="15.75" customHeight="1">
      <c r="G673" s="201"/>
    </row>
    <row r="674" ht="15.75" customHeight="1">
      <c r="G674" s="201"/>
    </row>
    <row r="675" ht="15.75" customHeight="1">
      <c r="G675" s="201"/>
    </row>
    <row r="676" ht="15.75" customHeight="1">
      <c r="G676" s="201"/>
    </row>
    <row r="677" ht="15.75" customHeight="1">
      <c r="G677" s="201"/>
    </row>
    <row r="678" ht="15.75" customHeight="1">
      <c r="G678" s="201"/>
    </row>
    <row r="679" ht="15.75" customHeight="1">
      <c r="G679" s="201"/>
    </row>
    <row r="680" ht="15.75" customHeight="1">
      <c r="G680" s="201"/>
    </row>
    <row r="681" ht="15.75" customHeight="1">
      <c r="G681" s="201"/>
    </row>
    <row r="682" ht="15.75" customHeight="1">
      <c r="G682" s="201"/>
    </row>
    <row r="683" ht="15.75" customHeight="1">
      <c r="G683" s="201"/>
    </row>
    <row r="684" ht="15.75" customHeight="1">
      <c r="G684" s="201"/>
    </row>
    <row r="685" ht="15.75" customHeight="1">
      <c r="G685" s="201"/>
    </row>
    <row r="686" ht="15.75" customHeight="1">
      <c r="G686" s="201"/>
    </row>
    <row r="687" ht="15.75" customHeight="1">
      <c r="G687" s="201"/>
    </row>
    <row r="688" ht="15.75" customHeight="1">
      <c r="G688" s="201"/>
    </row>
    <row r="689" ht="15.75" customHeight="1">
      <c r="G689" s="201"/>
    </row>
    <row r="690" ht="15.75" customHeight="1">
      <c r="G690" s="201"/>
    </row>
    <row r="691" ht="15.75" customHeight="1">
      <c r="G691" s="201"/>
    </row>
    <row r="692" ht="15.75" customHeight="1">
      <c r="G692" s="201"/>
    </row>
    <row r="693" ht="15.75" customHeight="1">
      <c r="G693" s="201"/>
    </row>
    <row r="694" ht="15.75" customHeight="1">
      <c r="G694" s="201"/>
    </row>
    <row r="695" ht="15.75" customHeight="1">
      <c r="G695" s="201"/>
    </row>
    <row r="696" ht="15.75" customHeight="1">
      <c r="G696" s="201"/>
    </row>
    <row r="697" ht="15.75" customHeight="1">
      <c r="G697" s="201"/>
    </row>
    <row r="698" ht="15.75" customHeight="1">
      <c r="G698" s="201"/>
    </row>
    <row r="699" ht="15.75" customHeight="1">
      <c r="G699" s="201"/>
    </row>
    <row r="700" ht="15.75" customHeight="1">
      <c r="G700" s="201"/>
    </row>
    <row r="701" ht="15.75" customHeight="1">
      <c r="G701" s="201"/>
    </row>
    <row r="702" ht="15.75" customHeight="1">
      <c r="G702" s="201"/>
    </row>
    <row r="703" ht="15.75" customHeight="1">
      <c r="G703" s="201"/>
    </row>
    <row r="704" ht="15.75" customHeight="1">
      <c r="G704" s="201"/>
    </row>
    <row r="705" ht="15.75" customHeight="1">
      <c r="G705" s="201"/>
    </row>
    <row r="706" ht="15.75" customHeight="1">
      <c r="G706" s="201"/>
    </row>
    <row r="707" ht="15.75" customHeight="1">
      <c r="G707" s="201"/>
    </row>
    <row r="708" ht="15.75" customHeight="1">
      <c r="G708" s="201"/>
    </row>
    <row r="709" ht="15.75" customHeight="1">
      <c r="G709" s="201"/>
    </row>
    <row r="710" ht="15.75" customHeight="1">
      <c r="G710" s="201"/>
    </row>
    <row r="711" ht="15.75" customHeight="1">
      <c r="G711" s="201"/>
    </row>
    <row r="712" ht="15.75" customHeight="1">
      <c r="G712" s="201"/>
    </row>
    <row r="713" ht="15.75" customHeight="1">
      <c r="G713" s="201"/>
    </row>
    <row r="714" ht="15.75" customHeight="1">
      <c r="G714" s="201"/>
    </row>
    <row r="715" ht="15.75" customHeight="1">
      <c r="G715" s="201"/>
    </row>
    <row r="716" ht="15.75" customHeight="1">
      <c r="G716" s="201"/>
    </row>
    <row r="717" ht="15.75" customHeight="1">
      <c r="G717" s="201"/>
    </row>
    <row r="718" ht="15.75" customHeight="1">
      <c r="G718" s="201"/>
    </row>
    <row r="719" ht="15.75" customHeight="1">
      <c r="G719" s="201"/>
    </row>
    <row r="720" ht="15.75" customHeight="1">
      <c r="G720" s="201"/>
    </row>
    <row r="721" ht="15.75" customHeight="1">
      <c r="G721" s="201"/>
    </row>
    <row r="722" ht="15.75" customHeight="1">
      <c r="G722" s="201"/>
    </row>
    <row r="723" ht="15.75" customHeight="1">
      <c r="G723" s="201"/>
    </row>
    <row r="724" ht="15.75" customHeight="1">
      <c r="G724" s="201"/>
    </row>
    <row r="725" ht="15.75" customHeight="1">
      <c r="G725" s="201"/>
    </row>
    <row r="726" ht="15.75" customHeight="1">
      <c r="G726" s="201"/>
    </row>
    <row r="727" ht="15.75" customHeight="1">
      <c r="G727" s="201"/>
    </row>
    <row r="728" ht="15.75" customHeight="1">
      <c r="G728" s="201"/>
    </row>
    <row r="729" ht="15.75" customHeight="1">
      <c r="G729" s="201"/>
    </row>
    <row r="730" ht="15.75" customHeight="1">
      <c r="G730" s="201"/>
    </row>
    <row r="731" ht="15.75" customHeight="1">
      <c r="G731" s="201"/>
    </row>
    <row r="732" ht="15.75" customHeight="1">
      <c r="G732" s="201"/>
    </row>
    <row r="733" ht="15.75" customHeight="1">
      <c r="G733" s="201"/>
    </row>
    <row r="734" ht="15.75" customHeight="1">
      <c r="G734" s="201"/>
    </row>
    <row r="735" ht="15.75" customHeight="1">
      <c r="G735" s="201"/>
    </row>
    <row r="736" ht="15.75" customHeight="1">
      <c r="G736" s="201"/>
    </row>
    <row r="737" ht="15.75" customHeight="1">
      <c r="G737" s="201"/>
    </row>
    <row r="738" ht="15.75" customHeight="1">
      <c r="G738" s="201"/>
    </row>
    <row r="739" ht="15.75" customHeight="1">
      <c r="G739" s="201"/>
    </row>
    <row r="740" ht="15.75" customHeight="1">
      <c r="G740" s="201"/>
    </row>
    <row r="741" ht="15.75" customHeight="1">
      <c r="G741" s="201"/>
    </row>
    <row r="742" ht="15.75" customHeight="1">
      <c r="G742" s="201"/>
    </row>
    <row r="743" ht="15.75" customHeight="1">
      <c r="G743" s="201"/>
    </row>
    <row r="744" ht="15.75" customHeight="1">
      <c r="G744" s="201"/>
    </row>
    <row r="745" ht="15.75" customHeight="1">
      <c r="G745" s="201"/>
    </row>
    <row r="746" ht="15.75" customHeight="1">
      <c r="G746" s="201"/>
    </row>
    <row r="747" ht="15.75" customHeight="1">
      <c r="G747" s="201"/>
    </row>
    <row r="748" ht="15.75" customHeight="1">
      <c r="G748" s="201"/>
    </row>
    <row r="749" ht="15.75" customHeight="1">
      <c r="G749" s="201"/>
    </row>
    <row r="750" ht="15.75" customHeight="1">
      <c r="G750" s="201"/>
    </row>
    <row r="751" ht="15.75" customHeight="1">
      <c r="G751" s="201"/>
    </row>
    <row r="752" ht="15.75" customHeight="1">
      <c r="G752" s="201"/>
    </row>
    <row r="753" ht="15.75" customHeight="1">
      <c r="G753" s="201"/>
    </row>
    <row r="754" ht="15.75" customHeight="1">
      <c r="G754" s="201"/>
    </row>
    <row r="755" ht="15.75" customHeight="1">
      <c r="G755" s="201"/>
    </row>
    <row r="756" ht="15.75" customHeight="1">
      <c r="G756" s="201"/>
    </row>
    <row r="757" ht="15.75" customHeight="1">
      <c r="G757" s="201"/>
    </row>
    <row r="758" ht="15.75" customHeight="1">
      <c r="G758" s="201"/>
    </row>
    <row r="759" ht="15.75" customHeight="1">
      <c r="G759" s="201"/>
    </row>
    <row r="760" ht="15.75" customHeight="1">
      <c r="G760" s="201"/>
    </row>
    <row r="761" ht="15.75" customHeight="1">
      <c r="G761" s="201"/>
    </row>
    <row r="762" ht="15.75" customHeight="1">
      <c r="G762" s="201"/>
    </row>
    <row r="763" ht="15.75" customHeight="1">
      <c r="G763" s="201"/>
    </row>
    <row r="764" ht="15.75" customHeight="1">
      <c r="G764" s="201"/>
    </row>
    <row r="765" ht="15.75" customHeight="1">
      <c r="G765" s="201"/>
    </row>
    <row r="766" ht="15.75" customHeight="1">
      <c r="G766" s="201"/>
    </row>
    <row r="767" ht="15.75" customHeight="1">
      <c r="G767" s="201"/>
    </row>
    <row r="768" ht="15.75" customHeight="1">
      <c r="G768" s="201"/>
    </row>
    <row r="769" ht="15.75" customHeight="1">
      <c r="G769" s="201"/>
    </row>
    <row r="770" ht="15.75" customHeight="1">
      <c r="G770" s="201"/>
    </row>
    <row r="771" ht="15.75" customHeight="1">
      <c r="G771" s="201"/>
    </row>
    <row r="772" ht="15.75" customHeight="1">
      <c r="G772" s="201"/>
    </row>
    <row r="773" ht="15.75" customHeight="1">
      <c r="G773" s="201"/>
    </row>
    <row r="774" ht="15.75" customHeight="1">
      <c r="G774" s="201"/>
    </row>
    <row r="775" ht="15.75" customHeight="1">
      <c r="G775" s="201"/>
    </row>
    <row r="776" ht="15.75" customHeight="1">
      <c r="G776" s="201"/>
    </row>
    <row r="777" ht="15.75" customHeight="1">
      <c r="G777" s="201"/>
    </row>
    <row r="778" ht="15.75" customHeight="1">
      <c r="G778" s="201"/>
    </row>
    <row r="779" ht="15.75" customHeight="1">
      <c r="G779" s="201"/>
    </row>
    <row r="780" ht="15.75" customHeight="1">
      <c r="G780" s="201"/>
    </row>
    <row r="781" ht="15.75" customHeight="1">
      <c r="G781" s="201"/>
    </row>
    <row r="782" ht="15.75" customHeight="1">
      <c r="G782" s="201"/>
    </row>
    <row r="783" ht="15.75" customHeight="1">
      <c r="G783" s="201"/>
    </row>
    <row r="784" ht="15.75" customHeight="1">
      <c r="G784" s="201"/>
    </row>
    <row r="785" ht="15.75" customHeight="1">
      <c r="G785" s="201"/>
    </row>
    <row r="786" ht="15.75" customHeight="1">
      <c r="G786" s="201"/>
    </row>
    <row r="787" ht="15.75" customHeight="1">
      <c r="G787" s="201"/>
    </row>
    <row r="788" ht="15.75" customHeight="1">
      <c r="G788" s="201"/>
    </row>
    <row r="789" ht="15.75" customHeight="1">
      <c r="G789" s="201"/>
    </row>
    <row r="790" ht="15.75" customHeight="1">
      <c r="G790" s="201"/>
    </row>
    <row r="791" ht="15.75" customHeight="1">
      <c r="G791" s="201"/>
    </row>
    <row r="792" ht="15.75" customHeight="1">
      <c r="G792" s="201"/>
    </row>
    <row r="793" ht="15.75" customHeight="1">
      <c r="G793" s="201"/>
    </row>
    <row r="794" ht="15.75" customHeight="1">
      <c r="G794" s="201"/>
    </row>
    <row r="795" ht="15.75" customHeight="1">
      <c r="G795" s="201"/>
    </row>
    <row r="796" ht="15.75" customHeight="1">
      <c r="G796" s="201"/>
    </row>
    <row r="797" ht="15.75" customHeight="1">
      <c r="G797" s="201"/>
    </row>
    <row r="798" ht="15.75" customHeight="1">
      <c r="G798" s="201"/>
    </row>
    <row r="799" ht="15.75" customHeight="1">
      <c r="G799" s="201"/>
    </row>
    <row r="800" ht="15.75" customHeight="1">
      <c r="G800" s="201"/>
    </row>
    <row r="801" ht="15.75" customHeight="1">
      <c r="G801" s="201"/>
    </row>
    <row r="802" ht="15.75" customHeight="1">
      <c r="G802" s="201"/>
    </row>
    <row r="803" ht="15.75" customHeight="1">
      <c r="G803" s="201"/>
    </row>
    <row r="804" ht="15.75" customHeight="1">
      <c r="G804" s="201"/>
    </row>
    <row r="805" ht="15.75" customHeight="1">
      <c r="G805" s="201"/>
    </row>
    <row r="806" ht="15.75" customHeight="1">
      <c r="G806" s="201"/>
    </row>
    <row r="807" ht="15.75" customHeight="1">
      <c r="G807" s="201"/>
    </row>
    <row r="808" ht="15.75" customHeight="1">
      <c r="G808" s="201"/>
    </row>
    <row r="809" ht="15.75" customHeight="1">
      <c r="G809" s="201"/>
    </row>
    <row r="810" ht="15.75" customHeight="1">
      <c r="G810" s="201"/>
    </row>
    <row r="811" ht="15.75" customHeight="1">
      <c r="G811" s="201"/>
    </row>
    <row r="812" ht="15.75" customHeight="1">
      <c r="G812" s="201"/>
    </row>
    <row r="813" ht="15.75" customHeight="1">
      <c r="G813" s="201"/>
    </row>
    <row r="814" ht="15.75" customHeight="1">
      <c r="G814" s="201"/>
    </row>
    <row r="815" ht="15.75" customHeight="1">
      <c r="G815" s="201"/>
    </row>
    <row r="816" ht="15.75" customHeight="1">
      <c r="G816" s="201"/>
    </row>
    <row r="817" ht="15.75" customHeight="1">
      <c r="G817" s="201"/>
    </row>
    <row r="818" ht="15.75" customHeight="1">
      <c r="G818" s="201"/>
    </row>
    <row r="819" ht="15.75" customHeight="1">
      <c r="G819" s="201"/>
    </row>
    <row r="820" ht="15.75" customHeight="1">
      <c r="G820" s="201"/>
    </row>
    <row r="821" ht="15.75" customHeight="1">
      <c r="G821" s="201"/>
    </row>
    <row r="822" ht="15.75" customHeight="1">
      <c r="G822" s="201"/>
    </row>
    <row r="823" ht="15.75" customHeight="1">
      <c r="G823" s="201"/>
    </row>
    <row r="824" ht="15.75" customHeight="1">
      <c r="G824" s="201"/>
    </row>
    <row r="825" ht="15.75" customHeight="1">
      <c r="G825" s="201"/>
    </row>
    <row r="826" ht="15.75" customHeight="1">
      <c r="G826" s="201"/>
    </row>
    <row r="827" ht="15.75" customHeight="1">
      <c r="G827" s="201"/>
    </row>
    <row r="828" ht="15.75" customHeight="1">
      <c r="G828" s="201"/>
    </row>
    <row r="829" ht="15.75" customHeight="1">
      <c r="G829" s="201"/>
    </row>
    <row r="830" ht="15.75" customHeight="1">
      <c r="G830" s="201"/>
    </row>
    <row r="831" ht="15.75" customHeight="1">
      <c r="G831" s="201"/>
    </row>
    <row r="832" ht="15.75" customHeight="1">
      <c r="G832" s="201"/>
    </row>
    <row r="833" ht="15.75" customHeight="1">
      <c r="G833" s="201"/>
    </row>
    <row r="834" ht="15.75" customHeight="1">
      <c r="G834" s="201"/>
    </row>
    <row r="835" ht="15.75" customHeight="1">
      <c r="G835" s="201"/>
    </row>
    <row r="836" ht="15.75" customHeight="1">
      <c r="G836" s="201"/>
    </row>
    <row r="837" ht="15.75" customHeight="1">
      <c r="G837" s="201"/>
    </row>
    <row r="838" ht="15.75" customHeight="1">
      <c r="G838" s="201"/>
    </row>
    <row r="839" ht="15.75" customHeight="1">
      <c r="G839" s="201"/>
    </row>
    <row r="840" ht="15.75" customHeight="1">
      <c r="G840" s="201"/>
    </row>
    <row r="841" ht="15.75" customHeight="1">
      <c r="G841" s="201"/>
    </row>
    <row r="842" ht="15.75" customHeight="1">
      <c r="G842" s="201"/>
    </row>
    <row r="843" ht="15.75" customHeight="1">
      <c r="G843" s="201"/>
    </row>
    <row r="844" ht="15.75" customHeight="1">
      <c r="G844" s="201"/>
    </row>
    <row r="845" ht="15.75" customHeight="1">
      <c r="G845" s="201"/>
    </row>
    <row r="846" ht="15.75" customHeight="1">
      <c r="G846" s="201"/>
    </row>
    <row r="847" ht="15.75" customHeight="1">
      <c r="G847" s="201"/>
    </row>
    <row r="848" ht="15.75" customHeight="1">
      <c r="G848" s="201"/>
    </row>
    <row r="849" ht="15.75" customHeight="1">
      <c r="G849" s="201"/>
    </row>
    <row r="850" ht="15.75" customHeight="1">
      <c r="G850" s="201"/>
    </row>
    <row r="851" ht="15.75" customHeight="1">
      <c r="G851" s="201"/>
    </row>
    <row r="852" ht="15.75" customHeight="1">
      <c r="G852" s="201"/>
    </row>
    <row r="853" ht="15.75" customHeight="1">
      <c r="G853" s="201"/>
    </row>
    <row r="854" ht="15.75" customHeight="1">
      <c r="G854" s="201"/>
    </row>
    <row r="855" ht="15.75" customHeight="1">
      <c r="G855" s="201"/>
    </row>
    <row r="856" ht="15.75" customHeight="1">
      <c r="G856" s="201"/>
    </row>
    <row r="857" ht="15.75" customHeight="1">
      <c r="G857" s="201"/>
    </row>
    <row r="858" ht="15.75" customHeight="1">
      <c r="G858" s="201"/>
    </row>
    <row r="859" ht="15.75" customHeight="1">
      <c r="G859" s="201"/>
    </row>
    <row r="860" ht="15.75" customHeight="1">
      <c r="G860" s="201"/>
    </row>
    <row r="861" ht="15.75" customHeight="1">
      <c r="G861" s="201"/>
    </row>
    <row r="862" ht="15.75" customHeight="1">
      <c r="G862" s="201"/>
    </row>
    <row r="863" ht="15.75" customHeight="1">
      <c r="G863" s="201"/>
    </row>
    <row r="864" ht="15.75" customHeight="1">
      <c r="G864" s="201"/>
    </row>
    <row r="865" ht="15.75" customHeight="1">
      <c r="G865" s="201"/>
    </row>
    <row r="866" ht="15.75" customHeight="1">
      <c r="G866" s="201"/>
    </row>
    <row r="867" ht="15.75" customHeight="1">
      <c r="G867" s="201"/>
    </row>
    <row r="868" ht="15.75" customHeight="1">
      <c r="G868" s="201"/>
    </row>
    <row r="869" ht="15.75" customHeight="1">
      <c r="G869" s="201"/>
    </row>
    <row r="870" ht="15.75" customHeight="1">
      <c r="G870" s="201"/>
    </row>
    <row r="871" ht="15.75" customHeight="1">
      <c r="G871" s="201"/>
    </row>
    <row r="872" ht="15.75" customHeight="1">
      <c r="G872" s="201"/>
    </row>
    <row r="873" ht="15.75" customHeight="1">
      <c r="G873" s="201"/>
    </row>
    <row r="874" ht="15.75" customHeight="1">
      <c r="G874" s="201"/>
    </row>
    <row r="875" ht="15.75" customHeight="1">
      <c r="G875" s="201"/>
    </row>
    <row r="876" ht="15.75" customHeight="1">
      <c r="G876" s="201"/>
    </row>
    <row r="877" ht="15.75" customHeight="1">
      <c r="G877" s="201"/>
    </row>
    <row r="878" ht="15.75" customHeight="1">
      <c r="G878" s="201"/>
    </row>
    <row r="879" ht="15.75" customHeight="1">
      <c r="G879" s="201"/>
    </row>
    <row r="880" ht="15.75" customHeight="1">
      <c r="G880" s="201"/>
    </row>
    <row r="881" ht="15.75" customHeight="1">
      <c r="G881" s="201"/>
    </row>
    <row r="882" ht="15.75" customHeight="1">
      <c r="G882" s="201"/>
    </row>
    <row r="883" ht="15.75" customHeight="1">
      <c r="G883" s="201"/>
    </row>
    <row r="884" ht="15.75" customHeight="1">
      <c r="G884" s="201"/>
    </row>
    <row r="885" ht="15.75" customHeight="1">
      <c r="G885" s="201"/>
    </row>
    <row r="886" ht="15.75" customHeight="1">
      <c r="G886" s="201"/>
    </row>
    <row r="887" ht="15.75" customHeight="1">
      <c r="G887" s="201"/>
    </row>
    <row r="888" ht="15.75" customHeight="1">
      <c r="G888" s="201"/>
    </row>
    <row r="889" ht="15.75" customHeight="1">
      <c r="G889" s="201"/>
    </row>
    <row r="890" ht="15.75" customHeight="1">
      <c r="G890" s="201"/>
    </row>
    <row r="891" ht="15.75" customHeight="1">
      <c r="G891" s="201"/>
    </row>
    <row r="892" ht="15.75" customHeight="1">
      <c r="G892" s="201"/>
    </row>
    <row r="893" ht="15.75" customHeight="1">
      <c r="G893" s="201"/>
    </row>
    <row r="894" ht="15.75" customHeight="1">
      <c r="G894" s="201"/>
    </row>
    <row r="895" ht="15.75" customHeight="1">
      <c r="G895" s="201"/>
    </row>
    <row r="896" ht="15.75" customHeight="1">
      <c r="G896" s="201"/>
    </row>
    <row r="897" ht="15.75" customHeight="1">
      <c r="G897" s="201"/>
    </row>
    <row r="898" ht="15.75" customHeight="1">
      <c r="G898" s="201"/>
    </row>
    <row r="899" ht="15.75" customHeight="1">
      <c r="G899" s="201"/>
    </row>
    <row r="900" ht="15.75" customHeight="1">
      <c r="G900" s="201"/>
    </row>
    <row r="901" ht="15.75" customHeight="1">
      <c r="G901" s="201"/>
    </row>
    <row r="902" ht="15.75" customHeight="1">
      <c r="G902" s="201"/>
    </row>
    <row r="903" ht="15.75" customHeight="1">
      <c r="G903" s="201"/>
    </row>
    <row r="904" ht="15.75" customHeight="1">
      <c r="G904" s="201"/>
    </row>
    <row r="905" ht="15.75" customHeight="1">
      <c r="G905" s="201"/>
    </row>
    <row r="906" ht="15.75" customHeight="1">
      <c r="G906" s="201"/>
    </row>
    <row r="907" ht="15.75" customHeight="1">
      <c r="G907" s="201"/>
    </row>
    <row r="908" ht="15.75" customHeight="1">
      <c r="G908" s="201"/>
    </row>
    <row r="909" ht="15.75" customHeight="1">
      <c r="G909" s="201"/>
    </row>
    <row r="910" ht="15.75" customHeight="1">
      <c r="G910" s="201"/>
    </row>
    <row r="911" ht="15.75" customHeight="1">
      <c r="G911" s="201"/>
    </row>
    <row r="912" ht="15.75" customHeight="1">
      <c r="G912" s="201"/>
    </row>
    <row r="913" ht="15.75" customHeight="1">
      <c r="G913" s="201"/>
    </row>
    <row r="914" ht="15.75" customHeight="1">
      <c r="G914" s="201"/>
    </row>
    <row r="915" ht="15.75" customHeight="1">
      <c r="G915" s="201"/>
    </row>
    <row r="916" ht="15.75" customHeight="1">
      <c r="G916" s="201"/>
    </row>
    <row r="917" ht="15.75" customHeight="1">
      <c r="G917" s="201"/>
    </row>
    <row r="918" ht="15.75" customHeight="1">
      <c r="G918" s="201"/>
    </row>
    <row r="919" ht="15.75" customHeight="1">
      <c r="G919" s="201"/>
    </row>
    <row r="920" ht="15.75" customHeight="1">
      <c r="G920" s="201"/>
    </row>
    <row r="921" ht="15.75" customHeight="1">
      <c r="G921" s="201"/>
    </row>
    <row r="922" ht="15.75" customHeight="1">
      <c r="G922" s="201"/>
    </row>
    <row r="923" ht="15.75" customHeight="1">
      <c r="G923" s="201"/>
    </row>
    <row r="924" ht="15.75" customHeight="1">
      <c r="G924" s="201"/>
    </row>
    <row r="925" ht="15.75" customHeight="1">
      <c r="G925" s="201"/>
    </row>
    <row r="926" ht="15.75" customHeight="1">
      <c r="G926" s="201"/>
    </row>
    <row r="927" ht="15.75" customHeight="1">
      <c r="G927" s="201"/>
    </row>
    <row r="928" ht="15.75" customHeight="1">
      <c r="G928" s="201"/>
    </row>
    <row r="929" ht="15.75" customHeight="1">
      <c r="G929" s="201"/>
    </row>
    <row r="930" ht="15.75" customHeight="1">
      <c r="G930" s="201"/>
    </row>
    <row r="931" ht="15.75" customHeight="1">
      <c r="G931" s="201"/>
    </row>
    <row r="932" ht="15.75" customHeight="1">
      <c r="G932" s="201"/>
    </row>
    <row r="933" ht="15.75" customHeight="1">
      <c r="G933" s="201"/>
    </row>
    <row r="934" ht="15.75" customHeight="1">
      <c r="G934" s="201"/>
    </row>
    <row r="935" ht="15.75" customHeight="1">
      <c r="G935" s="201"/>
    </row>
    <row r="936" ht="15.75" customHeight="1">
      <c r="G936" s="201"/>
    </row>
    <row r="937" ht="15.75" customHeight="1">
      <c r="G937" s="201"/>
    </row>
    <row r="938" ht="15.75" customHeight="1">
      <c r="G938" s="201"/>
    </row>
    <row r="939" ht="15.75" customHeight="1">
      <c r="G939" s="201"/>
    </row>
    <row r="940" ht="15.75" customHeight="1">
      <c r="G940" s="201"/>
    </row>
    <row r="941" ht="15.75" customHeight="1">
      <c r="G941" s="201"/>
    </row>
    <row r="942" ht="15.75" customHeight="1">
      <c r="G942" s="201"/>
    </row>
    <row r="943" ht="15.75" customHeight="1">
      <c r="G943" s="201"/>
    </row>
    <row r="944" ht="15.75" customHeight="1">
      <c r="G944" s="201"/>
    </row>
    <row r="945" ht="15.75" customHeight="1">
      <c r="G945" s="201"/>
    </row>
    <row r="946" ht="15.75" customHeight="1">
      <c r="G946" s="201"/>
    </row>
    <row r="947" ht="15.75" customHeight="1">
      <c r="G947" s="201"/>
    </row>
    <row r="948" ht="15.75" customHeight="1">
      <c r="G948" s="201"/>
    </row>
    <row r="949" ht="15.75" customHeight="1">
      <c r="G949" s="201"/>
    </row>
    <row r="950" ht="15.75" customHeight="1">
      <c r="G950" s="201"/>
    </row>
    <row r="951" ht="15.75" customHeight="1">
      <c r="G951" s="201"/>
    </row>
    <row r="952" ht="15.75" customHeight="1">
      <c r="G952" s="201"/>
    </row>
    <row r="953" ht="15.75" customHeight="1">
      <c r="G953" s="201"/>
    </row>
    <row r="954" ht="15.75" customHeight="1">
      <c r="G954" s="201"/>
    </row>
    <row r="955" ht="15.75" customHeight="1">
      <c r="G955" s="201"/>
    </row>
    <row r="956" ht="15.75" customHeight="1">
      <c r="G956" s="201"/>
    </row>
    <row r="957" ht="15.75" customHeight="1">
      <c r="G957" s="201"/>
    </row>
    <row r="958" ht="15.75" customHeight="1">
      <c r="G958" s="201"/>
    </row>
    <row r="959" ht="15.75" customHeight="1">
      <c r="G959" s="201"/>
    </row>
    <row r="960" ht="15.75" customHeight="1">
      <c r="G960" s="201"/>
    </row>
    <row r="961" ht="15.75" customHeight="1">
      <c r="G961" s="201"/>
    </row>
    <row r="962" ht="15.75" customHeight="1">
      <c r="G962" s="201"/>
    </row>
    <row r="963" ht="15.75" customHeight="1">
      <c r="G963" s="201"/>
    </row>
    <row r="964" ht="15.75" customHeight="1">
      <c r="G964" s="201"/>
    </row>
    <row r="965" ht="15.75" customHeight="1">
      <c r="G965" s="201"/>
    </row>
    <row r="966" ht="15.75" customHeight="1">
      <c r="G966" s="201"/>
    </row>
    <row r="967" ht="15.75" customHeight="1">
      <c r="G967" s="201"/>
    </row>
    <row r="968" ht="15.75" customHeight="1">
      <c r="G968" s="201"/>
    </row>
    <row r="969" ht="15.75" customHeight="1">
      <c r="G969" s="201"/>
    </row>
    <row r="970" ht="15.75" customHeight="1">
      <c r="G970" s="201"/>
    </row>
    <row r="971" ht="15.75" customHeight="1">
      <c r="G971" s="201"/>
    </row>
    <row r="972" ht="15.75" customHeight="1">
      <c r="G972" s="201"/>
    </row>
    <row r="973" ht="15.75" customHeight="1">
      <c r="G973" s="201"/>
    </row>
    <row r="974" ht="15.75" customHeight="1">
      <c r="G974" s="201"/>
    </row>
    <row r="975" ht="15.75" customHeight="1">
      <c r="G975" s="201"/>
    </row>
    <row r="976" ht="15.75" customHeight="1">
      <c r="G976" s="201"/>
    </row>
    <row r="977" ht="15.75" customHeight="1">
      <c r="G977" s="201"/>
    </row>
    <row r="978" ht="15.75" customHeight="1">
      <c r="G978" s="201"/>
    </row>
    <row r="979" ht="15.75" customHeight="1">
      <c r="G979" s="201"/>
    </row>
    <row r="980" ht="15.75" customHeight="1">
      <c r="G980" s="201"/>
    </row>
    <row r="981" ht="15.75" customHeight="1">
      <c r="G981" s="201"/>
    </row>
    <row r="982" ht="15.75" customHeight="1">
      <c r="G982" s="201"/>
    </row>
    <row r="983" ht="15.75" customHeight="1">
      <c r="G983" s="201"/>
    </row>
    <row r="984" ht="15.75" customHeight="1">
      <c r="G984" s="201"/>
    </row>
    <row r="985" ht="15.75" customHeight="1">
      <c r="G985" s="201"/>
    </row>
    <row r="986" ht="15.75" customHeight="1">
      <c r="G986" s="201"/>
    </row>
    <row r="987" ht="15.75" customHeight="1">
      <c r="G987" s="201"/>
    </row>
    <row r="988" ht="15.75" customHeight="1">
      <c r="G988" s="201"/>
    </row>
    <row r="989" ht="15.75" customHeight="1">
      <c r="G989" s="201"/>
    </row>
    <row r="990" ht="15.75" customHeight="1">
      <c r="G990" s="201"/>
    </row>
    <row r="991" ht="15.75" customHeight="1">
      <c r="G991" s="201"/>
    </row>
    <row r="992" ht="15.75" customHeight="1">
      <c r="G992" s="201"/>
    </row>
    <row r="993" ht="15.75" customHeight="1">
      <c r="G993" s="201"/>
    </row>
    <row r="994" ht="15.75" customHeight="1">
      <c r="G994" s="201"/>
    </row>
    <row r="995" ht="15.75" customHeight="1">
      <c r="G995" s="201"/>
    </row>
    <row r="996" ht="15.75" customHeight="1">
      <c r="G996" s="201"/>
    </row>
    <row r="997" ht="15.75" customHeight="1">
      <c r="G997" s="201"/>
    </row>
    <row r="998" ht="15.75" customHeight="1">
      <c r="G998" s="201"/>
    </row>
    <row r="999" ht="15.75" customHeight="1">
      <c r="G999" s="201"/>
    </row>
    <row r="1000" ht="15.75" customHeight="1">
      <c r="G1000" s="201"/>
    </row>
  </sheetData>
  <conditionalFormatting sqref="I10:S12">
    <cfRule type="cellIs" dxfId="5" priority="1" operator="greaterThan">
      <formula>0</formula>
    </cfRule>
  </conditionalFormatting>
  <conditionalFormatting sqref="T10:AB12">
    <cfRule type="cellIs" dxfId="5" priority="2" operator="greaterThan">
      <formula>0</formula>
    </cfRule>
  </conditionalFormatting>
  <conditionalFormatting sqref="A1:G1000">
    <cfRule type="expression" dxfId="7" priority="3">
      <formula>ISFORMULA(A1)</formula>
    </cfRule>
  </conditionalFormatting>
  <conditionalFormatting sqref="A10:AC12">
    <cfRule type="expression" dxfId="6" priority="4">
      <formula>ISEVEN($A10)</formula>
    </cfRule>
  </conditionalFormatting>
  <conditionalFormatting sqref="I16:S18">
    <cfRule type="cellIs" dxfId="5" priority="5" operator="greaterThan">
      <formula>0</formula>
    </cfRule>
  </conditionalFormatting>
  <conditionalFormatting sqref="T16:AB18">
    <cfRule type="cellIs" dxfId="5" priority="6" operator="greaterThan">
      <formula>0</formula>
    </cfRule>
  </conditionalFormatting>
  <conditionalFormatting sqref="A16:AC18">
    <cfRule type="expression" dxfId="6" priority="7">
      <formula>ISEVEN($A16)</formula>
    </cfRule>
  </conditionalFormatting>
  <conditionalFormatting sqref="I22:S24">
    <cfRule type="cellIs" dxfId="5" priority="8" operator="greaterThan">
      <formula>0</formula>
    </cfRule>
  </conditionalFormatting>
  <conditionalFormatting sqref="T22:AB24">
    <cfRule type="cellIs" dxfId="5" priority="9" operator="greaterThan">
      <formula>0</formula>
    </cfRule>
  </conditionalFormatting>
  <conditionalFormatting sqref="A22:AC24">
    <cfRule type="expression" dxfId="6" priority="10">
      <formula>ISEVEN($A22)</formula>
    </cfRule>
  </conditionalFormatting>
  <conditionalFormatting sqref="I28:S30">
    <cfRule type="cellIs" dxfId="5" priority="11" operator="greaterThan">
      <formula>0</formula>
    </cfRule>
  </conditionalFormatting>
  <conditionalFormatting sqref="T28:AB30">
    <cfRule type="cellIs" dxfId="5" priority="12" operator="greaterThan">
      <formula>0</formula>
    </cfRule>
  </conditionalFormatting>
  <conditionalFormatting sqref="A28:AC30">
    <cfRule type="expression" dxfId="6" priority="13">
      <formula>ISEVEN($A28)</formula>
    </cfRule>
  </conditionalFormatting>
  <conditionalFormatting sqref="I34:S36">
    <cfRule type="cellIs" dxfId="5" priority="14" operator="greaterThan">
      <formula>0</formula>
    </cfRule>
  </conditionalFormatting>
  <conditionalFormatting sqref="T34:AB36">
    <cfRule type="cellIs" dxfId="5" priority="15" operator="greaterThan">
      <formula>0</formula>
    </cfRule>
  </conditionalFormatting>
  <conditionalFormatting sqref="A34:AC36">
    <cfRule type="expression" dxfId="6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</cols>
  <sheetData>
    <row r="1" ht="21.75" customHeight="1">
      <c r="A1" s="79" t="s">
        <v>35</v>
      </c>
    </row>
    <row r="2" ht="19.5" customHeight="1">
      <c r="A2" s="112" t="s">
        <v>114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</row>
    <row r="3">
      <c r="A3" s="145" t="s">
        <v>190</v>
      </c>
      <c r="B3" s="180">
        <v>4.0</v>
      </c>
    </row>
    <row r="4">
      <c r="A4" s="145" t="s">
        <v>153</v>
      </c>
      <c r="B4" s="146">
        <v>1.0</v>
      </c>
    </row>
    <row r="5">
      <c r="A5" s="145" t="s">
        <v>154</v>
      </c>
      <c r="B5" s="146">
        <v>17.0</v>
      </c>
    </row>
    <row r="6">
      <c r="A6" s="145" t="s">
        <v>227</v>
      </c>
      <c r="B6" s="146" t="b">
        <f>TRUE()</f>
        <v>1</v>
      </c>
    </row>
    <row r="7">
      <c r="A7" s="145" t="s">
        <v>228</v>
      </c>
      <c r="B7" s="146" t="b">
        <f>FALSE()</f>
        <v>0</v>
      </c>
    </row>
    <row r="8">
      <c r="A8" s="145" t="s">
        <v>200</v>
      </c>
      <c r="B8" s="216" t="s">
        <v>229</v>
      </c>
    </row>
    <row r="9">
      <c r="A9" s="145" t="s">
        <v>230</v>
      </c>
      <c r="B9" s="146">
        <v>30.0</v>
      </c>
    </row>
    <row r="10">
      <c r="A10" s="145" t="s">
        <v>231</v>
      </c>
      <c r="B10" s="146">
        <v>10.0</v>
      </c>
    </row>
    <row r="11">
      <c r="A11" s="145" t="s">
        <v>232</v>
      </c>
      <c r="B11" s="146">
        <v>3.0</v>
      </c>
    </row>
    <row r="12">
      <c r="A12" s="145" t="s">
        <v>233</v>
      </c>
      <c r="B12" s="146">
        <v>15.0</v>
      </c>
    </row>
    <row r="13">
      <c r="A13" s="145" t="s">
        <v>234</v>
      </c>
      <c r="B13" s="146" t="s">
        <v>235</v>
      </c>
    </row>
    <row r="15" ht="19.5" customHeight="1">
      <c r="A15" s="112" t="s">
        <v>236</v>
      </c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</row>
    <row r="16" ht="21.75" customHeight="1">
      <c r="A16" s="116" t="s">
        <v>98</v>
      </c>
      <c r="B16" s="116" t="s">
        <v>237</v>
      </c>
    </row>
    <row r="17">
      <c r="A17" s="121">
        <v>1.0</v>
      </c>
      <c r="B17" s="121" t="s">
        <v>238</v>
      </c>
    </row>
    <row r="18">
      <c r="A18" s="121">
        <v>2.0</v>
      </c>
      <c r="B18" s="121" t="s">
        <v>239</v>
      </c>
    </row>
    <row r="19">
      <c r="A19" s="121">
        <v>3.0</v>
      </c>
      <c r="B19" s="121" t="s">
        <v>240</v>
      </c>
    </row>
    <row r="20">
      <c r="A20" s="121">
        <v>4.0</v>
      </c>
      <c r="B20" s="121" t="s">
        <v>241</v>
      </c>
    </row>
    <row r="21" ht="15.75" customHeight="1">
      <c r="A21" s="121">
        <v>5.0</v>
      </c>
      <c r="B21" s="121" t="s">
        <v>242</v>
      </c>
    </row>
    <row r="22" ht="15.75" customHeight="1"/>
    <row r="23" ht="19.5" customHeight="1">
      <c r="A23" s="112" t="s">
        <v>243</v>
      </c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</row>
    <row r="24" ht="90.0" customHeight="1">
      <c r="A24" s="116" t="s">
        <v>244</v>
      </c>
      <c r="B24" s="116" t="s">
        <v>245</v>
      </c>
      <c r="C24" s="116" t="s">
        <v>246</v>
      </c>
      <c r="D24" s="116" t="s">
        <v>247</v>
      </c>
      <c r="E24" s="116" t="s">
        <v>248</v>
      </c>
      <c r="F24" s="116" t="s">
        <v>249</v>
      </c>
      <c r="G24" s="117" t="s">
        <v>250</v>
      </c>
      <c r="H24" s="217" t="s">
        <v>82</v>
      </c>
      <c r="I24" s="119" t="s">
        <v>68</v>
      </c>
      <c r="J24" s="119" t="s">
        <v>103</v>
      </c>
      <c r="K24" s="119" t="s">
        <v>69</v>
      </c>
      <c r="L24" s="119" t="s">
        <v>70</v>
      </c>
      <c r="M24" s="119" t="s">
        <v>71</v>
      </c>
      <c r="N24" s="119" t="s">
        <v>72</v>
      </c>
      <c r="O24" s="119" t="s">
        <v>73</v>
      </c>
      <c r="P24" s="119" t="s">
        <v>74</v>
      </c>
      <c r="Q24" s="119" t="s">
        <v>75</v>
      </c>
      <c r="R24" s="119" t="s">
        <v>76</v>
      </c>
      <c r="S24" s="119" t="s">
        <v>77</v>
      </c>
      <c r="T24" s="119" t="s">
        <v>78</v>
      </c>
      <c r="U24" s="119" t="s">
        <v>118</v>
      </c>
      <c r="V24" s="119" t="s">
        <v>104</v>
      </c>
      <c r="W24" s="119" t="s">
        <v>105</v>
      </c>
      <c r="X24" s="119" t="s">
        <v>106</v>
      </c>
      <c r="Y24" s="119" t="s">
        <v>107</v>
      </c>
      <c r="Z24" s="119" t="s">
        <v>108</v>
      </c>
      <c r="AA24" s="119" t="s">
        <v>109</v>
      </c>
      <c r="AB24" s="119" t="s">
        <v>110</v>
      </c>
    </row>
    <row r="25" ht="15.75" customHeight="1">
      <c r="A25" s="121">
        <v>1.0</v>
      </c>
      <c r="B25" s="121">
        <v>1.0</v>
      </c>
      <c r="C25" s="181" t="s">
        <v>251</v>
      </c>
      <c r="D25" s="181" t="s">
        <v>252</v>
      </c>
      <c r="E25" s="121">
        <v>0.0</v>
      </c>
      <c r="F25" s="121">
        <v>80.0</v>
      </c>
      <c r="G25" s="122">
        <f t="shared" ref="G25:G54" si="1">A25</f>
        <v>1</v>
      </c>
      <c r="H25" s="218">
        <v>0.0</v>
      </c>
      <c r="I25" s="121">
        <v>0.0</v>
      </c>
      <c r="J25" s="121">
        <v>0.0</v>
      </c>
      <c r="K25" s="121">
        <v>0.0</v>
      </c>
      <c r="L25" s="121">
        <v>0.0</v>
      </c>
      <c r="M25" s="121">
        <v>0.0</v>
      </c>
      <c r="N25" s="121">
        <v>0.0</v>
      </c>
      <c r="O25" s="121">
        <v>0.0</v>
      </c>
      <c r="P25" s="121">
        <v>0.0</v>
      </c>
      <c r="Q25" s="121">
        <v>0.0</v>
      </c>
      <c r="R25" s="121">
        <v>0.0</v>
      </c>
      <c r="S25" s="121">
        <v>0.0</v>
      </c>
      <c r="T25" s="121">
        <v>0.0</v>
      </c>
      <c r="U25" s="121">
        <v>0.0</v>
      </c>
      <c r="V25" s="121">
        <v>0.0</v>
      </c>
      <c r="W25" s="121">
        <v>0.0</v>
      </c>
      <c r="X25" s="121">
        <v>0.0</v>
      </c>
      <c r="Y25" s="121">
        <v>0.0</v>
      </c>
      <c r="Z25" s="121">
        <v>0.0</v>
      </c>
      <c r="AA25" s="121">
        <v>0.0</v>
      </c>
      <c r="AB25" s="121">
        <v>0.0</v>
      </c>
    </row>
    <row r="26" ht="15.75" customHeight="1">
      <c r="A26" s="121">
        <v>2.0</v>
      </c>
      <c r="B26" s="121">
        <v>1.0</v>
      </c>
      <c r="C26" s="181" t="s">
        <v>251</v>
      </c>
      <c r="D26" s="181" t="s">
        <v>253</v>
      </c>
      <c r="E26" s="121">
        <v>0.0</v>
      </c>
      <c r="F26" s="121">
        <v>130.0</v>
      </c>
      <c r="G26" s="122">
        <f t="shared" si="1"/>
        <v>2</v>
      </c>
      <c r="H26" s="218">
        <v>0.0</v>
      </c>
      <c r="I26" s="121">
        <v>0.0</v>
      </c>
      <c r="J26" s="121">
        <v>0.0</v>
      </c>
      <c r="K26" s="121">
        <v>0.0</v>
      </c>
      <c r="L26" s="121">
        <v>0.0</v>
      </c>
      <c r="M26" s="121">
        <v>0.0</v>
      </c>
      <c r="N26" s="121">
        <v>0.0</v>
      </c>
      <c r="O26" s="121">
        <v>0.0</v>
      </c>
      <c r="P26" s="121">
        <v>0.0</v>
      </c>
      <c r="Q26" s="121">
        <v>0.0</v>
      </c>
      <c r="R26" s="121">
        <v>0.0</v>
      </c>
      <c r="S26" s="121">
        <v>0.0</v>
      </c>
      <c r="T26" s="121">
        <v>0.0</v>
      </c>
      <c r="U26" s="121">
        <v>0.0</v>
      </c>
      <c r="V26" s="121">
        <v>0.0</v>
      </c>
      <c r="W26" s="121">
        <v>0.0</v>
      </c>
      <c r="X26" s="121">
        <v>0.0</v>
      </c>
      <c r="Y26" s="121">
        <v>0.0</v>
      </c>
      <c r="Z26" s="121">
        <v>0.0</v>
      </c>
      <c r="AA26" s="121">
        <v>0.0</v>
      </c>
      <c r="AB26" s="121">
        <v>0.0</v>
      </c>
    </row>
    <row r="27" ht="15.75" customHeight="1">
      <c r="A27" s="121">
        <v>3.0</v>
      </c>
      <c r="B27" s="121">
        <v>1.0</v>
      </c>
      <c r="C27" s="181" t="s">
        <v>251</v>
      </c>
      <c r="D27" s="181" t="s">
        <v>254</v>
      </c>
      <c r="E27" s="121">
        <v>0.0</v>
      </c>
      <c r="F27" s="121">
        <v>155.0</v>
      </c>
      <c r="G27" s="122">
        <f t="shared" si="1"/>
        <v>3</v>
      </c>
      <c r="H27" s="218">
        <v>0.0</v>
      </c>
      <c r="I27" s="121">
        <v>0.0</v>
      </c>
      <c r="J27" s="121">
        <v>0.0</v>
      </c>
      <c r="K27" s="121">
        <v>0.0</v>
      </c>
      <c r="L27" s="121">
        <v>1.0</v>
      </c>
      <c r="M27" s="121">
        <v>0.0</v>
      </c>
      <c r="N27" s="121">
        <v>0.0</v>
      </c>
      <c r="O27" s="121">
        <v>0.0</v>
      </c>
      <c r="P27" s="121">
        <v>0.0</v>
      </c>
      <c r="Q27" s="121">
        <v>0.0</v>
      </c>
      <c r="R27" s="121">
        <v>0.0</v>
      </c>
      <c r="S27" s="121">
        <v>0.0</v>
      </c>
      <c r="T27" s="121">
        <v>0.0</v>
      </c>
      <c r="U27" s="121">
        <v>0.0</v>
      </c>
      <c r="V27" s="121">
        <v>0.0</v>
      </c>
      <c r="W27" s="121">
        <v>0.0</v>
      </c>
      <c r="X27" s="121">
        <v>0.0</v>
      </c>
      <c r="Y27" s="121">
        <v>0.0</v>
      </c>
      <c r="Z27" s="121">
        <v>0.0</v>
      </c>
      <c r="AA27" s="121">
        <v>0.0</v>
      </c>
      <c r="AB27" s="121">
        <v>0.0</v>
      </c>
    </row>
    <row r="28" ht="15.75" customHeight="1">
      <c r="A28" s="121">
        <v>4.0</v>
      </c>
      <c r="B28" s="121">
        <v>2.0</v>
      </c>
      <c r="C28" s="181" t="s">
        <v>255</v>
      </c>
      <c r="D28" s="181" t="s">
        <v>256</v>
      </c>
      <c r="E28" s="121">
        <v>2.0</v>
      </c>
      <c r="F28" s="121">
        <v>80.0</v>
      </c>
      <c r="G28" s="122">
        <f t="shared" si="1"/>
        <v>4</v>
      </c>
      <c r="H28" s="218">
        <v>0.0</v>
      </c>
      <c r="I28" s="121">
        <v>0.0</v>
      </c>
      <c r="J28" s="121">
        <v>0.0</v>
      </c>
      <c r="K28" s="121">
        <v>0.0</v>
      </c>
      <c r="L28" s="121">
        <v>0.0</v>
      </c>
      <c r="M28" s="121">
        <v>0.0</v>
      </c>
      <c r="N28" s="121">
        <v>0.0</v>
      </c>
      <c r="O28" s="121">
        <v>0.0</v>
      </c>
      <c r="P28" s="121">
        <v>0.0</v>
      </c>
      <c r="Q28" s="121">
        <v>0.0</v>
      </c>
      <c r="R28" s="121">
        <v>0.0</v>
      </c>
      <c r="S28" s="121">
        <v>0.0</v>
      </c>
      <c r="T28" s="121">
        <v>0.0</v>
      </c>
      <c r="U28" s="121">
        <v>0.0</v>
      </c>
      <c r="V28" s="121">
        <v>0.0</v>
      </c>
      <c r="W28" s="121">
        <v>0.0</v>
      </c>
      <c r="X28" s="121">
        <v>0.0</v>
      </c>
      <c r="Y28" s="121">
        <v>0.0</v>
      </c>
      <c r="Z28" s="121">
        <v>0.0</v>
      </c>
      <c r="AA28" s="121">
        <v>0.0</v>
      </c>
      <c r="AB28" s="121">
        <v>0.0</v>
      </c>
    </row>
    <row r="29" ht="15.75" customHeight="1">
      <c r="A29" s="121">
        <v>5.0</v>
      </c>
      <c r="B29" s="121">
        <v>2.0</v>
      </c>
      <c r="C29" s="181" t="s">
        <v>255</v>
      </c>
      <c r="D29" s="181" t="s">
        <v>257</v>
      </c>
      <c r="E29" s="121">
        <v>2.0</v>
      </c>
      <c r="F29" s="121">
        <v>130.0</v>
      </c>
      <c r="G29" s="122">
        <f t="shared" si="1"/>
        <v>5</v>
      </c>
      <c r="H29" s="218">
        <v>0.0</v>
      </c>
      <c r="I29" s="121">
        <v>0.0</v>
      </c>
      <c r="J29" s="121">
        <v>0.0</v>
      </c>
      <c r="K29" s="121">
        <v>0.0</v>
      </c>
      <c r="L29" s="121">
        <v>0.0</v>
      </c>
      <c r="M29" s="121">
        <v>0.0</v>
      </c>
      <c r="N29" s="121">
        <v>0.0</v>
      </c>
      <c r="O29" s="121">
        <v>0.0</v>
      </c>
      <c r="P29" s="121">
        <v>0.0</v>
      </c>
      <c r="Q29" s="121">
        <v>0.0</v>
      </c>
      <c r="R29" s="121">
        <v>0.0</v>
      </c>
      <c r="S29" s="121">
        <v>0.0</v>
      </c>
      <c r="T29" s="121">
        <v>0.0</v>
      </c>
      <c r="U29" s="121">
        <v>0.0</v>
      </c>
      <c r="V29" s="121">
        <v>0.0</v>
      </c>
      <c r="W29" s="121">
        <v>0.0</v>
      </c>
      <c r="X29" s="121">
        <v>0.0</v>
      </c>
      <c r="Y29" s="121">
        <v>0.0</v>
      </c>
      <c r="Z29" s="121">
        <v>0.0</v>
      </c>
      <c r="AA29" s="121">
        <v>0.0</v>
      </c>
      <c r="AB29" s="121">
        <v>0.0</v>
      </c>
    </row>
    <row r="30" ht="15.75" customHeight="1">
      <c r="A30" s="121">
        <v>6.0</v>
      </c>
      <c r="B30" s="121">
        <v>2.0</v>
      </c>
      <c r="C30" s="181" t="s">
        <v>255</v>
      </c>
      <c r="D30" s="181" t="s">
        <v>258</v>
      </c>
      <c r="E30" s="121">
        <v>2.0</v>
      </c>
      <c r="F30" s="121">
        <v>160.0</v>
      </c>
      <c r="G30" s="122">
        <f t="shared" si="1"/>
        <v>6</v>
      </c>
      <c r="H30" s="218">
        <v>0.0</v>
      </c>
      <c r="I30" s="121">
        <v>0.0</v>
      </c>
      <c r="J30" s="121">
        <v>0.0</v>
      </c>
      <c r="K30" s="121">
        <v>0.0</v>
      </c>
      <c r="L30" s="121">
        <v>0.0</v>
      </c>
      <c r="M30" s="121">
        <v>0.0</v>
      </c>
      <c r="N30" s="121">
        <v>0.0</v>
      </c>
      <c r="O30" s="121">
        <v>0.0</v>
      </c>
      <c r="P30" s="121">
        <v>0.0</v>
      </c>
      <c r="Q30" s="121">
        <v>30.0</v>
      </c>
      <c r="R30" s="121">
        <v>0.0</v>
      </c>
      <c r="S30" s="121">
        <v>0.0</v>
      </c>
      <c r="T30" s="121">
        <v>0.0</v>
      </c>
      <c r="U30" s="121">
        <v>0.0</v>
      </c>
      <c r="V30" s="121">
        <v>0.0</v>
      </c>
      <c r="W30" s="121">
        <v>0.0</v>
      </c>
      <c r="X30" s="121">
        <v>0.0</v>
      </c>
      <c r="Y30" s="121">
        <v>0.0</v>
      </c>
      <c r="Z30" s="121">
        <v>0.0</v>
      </c>
      <c r="AA30" s="121">
        <v>0.0</v>
      </c>
      <c r="AB30" s="121">
        <v>0.0</v>
      </c>
    </row>
    <row r="31" ht="15.75" customHeight="1">
      <c r="A31" s="121">
        <v>7.0</v>
      </c>
      <c r="B31" s="121">
        <v>3.0</v>
      </c>
      <c r="C31" s="181" t="s">
        <v>259</v>
      </c>
      <c r="D31" s="181" t="s">
        <v>252</v>
      </c>
      <c r="E31" s="121">
        <v>4.0</v>
      </c>
      <c r="F31" s="121">
        <v>80.0</v>
      </c>
      <c r="G31" s="122">
        <f t="shared" si="1"/>
        <v>7</v>
      </c>
      <c r="H31" s="218">
        <v>0.0</v>
      </c>
      <c r="I31" s="121">
        <v>0.0</v>
      </c>
      <c r="J31" s="121">
        <v>0.0</v>
      </c>
      <c r="K31" s="121">
        <v>0.0</v>
      </c>
      <c r="L31" s="121">
        <v>0.0</v>
      </c>
      <c r="M31" s="121">
        <v>0.0</v>
      </c>
      <c r="N31" s="121">
        <v>0.0</v>
      </c>
      <c r="O31" s="121">
        <v>0.0</v>
      </c>
      <c r="P31" s="121">
        <v>0.0</v>
      </c>
      <c r="Q31" s="121">
        <v>0.0</v>
      </c>
      <c r="R31" s="121">
        <v>0.0</v>
      </c>
      <c r="S31" s="121">
        <v>0.0</v>
      </c>
      <c r="T31" s="121">
        <v>0.0</v>
      </c>
      <c r="U31" s="121">
        <v>0.0</v>
      </c>
      <c r="V31" s="121">
        <v>0.0</v>
      </c>
      <c r="W31" s="121">
        <v>0.0</v>
      </c>
      <c r="X31" s="121">
        <v>0.0</v>
      </c>
      <c r="Y31" s="121">
        <v>0.0</v>
      </c>
      <c r="Z31" s="121">
        <v>0.0</v>
      </c>
      <c r="AA31" s="121">
        <v>0.0</v>
      </c>
      <c r="AB31" s="121">
        <v>0.0</v>
      </c>
    </row>
    <row r="32" ht="15.75" customHeight="1">
      <c r="A32" s="121">
        <v>8.0</v>
      </c>
      <c r="B32" s="121">
        <v>3.0</v>
      </c>
      <c r="C32" s="181" t="s">
        <v>259</v>
      </c>
      <c r="D32" s="181" t="s">
        <v>253</v>
      </c>
      <c r="E32" s="121">
        <v>4.0</v>
      </c>
      <c r="F32" s="121">
        <v>135.0</v>
      </c>
      <c r="G32" s="122">
        <f t="shared" si="1"/>
        <v>8</v>
      </c>
      <c r="H32" s="218">
        <v>0.0</v>
      </c>
      <c r="I32" s="121">
        <v>0.0</v>
      </c>
      <c r="J32" s="121">
        <v>0.0</v>
      </c>
      <c r="K32" s="121">
        <v>0.0</v>
      </c>
      <c r="L32" s="121">
        <v>0.0</v>
      </c>
      <c r="M32" s="121">
        <v>0.0</v>
      </c>
      <c r="N32" s="121">
        <v>0.0</v>
      </c>
      <c r="O32" s="121">
        <v>0.0</v>
      </c>
      <c r="P32" s="121">
        <v>0.0</v>
      </c>
      <c r="Q32" s="121">
        <v>0.0</v>
      </c>
      <c r="R32" s="121">
        <v>0.0</v>
      </c>
      <c r="S32" s="121">
        <v>0.0</v>
      </c>
      <c r="T32" s="121">
        <v>0.0</v>
      </c>
      <c r="U32" s="121">
        <v>0.0</v>
      </c>
      <c r="V32" s="121">
        <v>0.0</v>
      </c>
      <c r="W32" s="121">
        <v>0.0</v>
      </c>
      <c r="X32" s="121">
        <v>0.0</v>
      </c>
      <c r="Y32" s="121">
        <v>0.0</v>
      </c>
      <c r="Z32" s="121">
        <v>0.0</v>
      </c>
      <c r="AA32" s="121">
        <v>0.0</v>
      </c>
      <c r="AB32" s="121">
        <v>0.0</v>
      </c>
    </row>
    <row r="33" ht="15.75" customHeight="1">
      <c r="A33" s="121">
        <v>9.0</v>
      </c>
      <c r="B33" s="121">
        <v>3.0</v>
      </c>
      <c r="C33" s="181" t="s">
        <v>259</v>
      </c>
      <c r="D33" s="181" t="s">
        <v>254</v>
      </c>
      <c r="E33" s="121">
        <v>4.0</v>
      </c>
      <c r="F33" s="121">
        <v>165.0</v>
      </c>
      <c r="G33" s="122">
        <f t="shared" si="1"/>
        <v>9</v>
      </c>
      <c r="H33" s="218">
        <v>25.0</v>
      </c>
      <c r="I33" s="121">
        <v>0.0</v>
      </c>
      <c r="J33" s="121">
        <v>0.0</v>
      </c>
      <c r="K33" s="121">
        <v>0.0</v>
      </c>
      <c r="L33" s="121">
        <v>0.0</v>
      </c>
      <c r="M33" s="121">
        <v>0.0</v>
      </c>
      <c r="N33" s="121">
        <v>0.0</v>
      </c>
      <c r="O33" s="121">
        <v>0.0</v>
      </c>
      <c r="P33" s="121">
        <v>0.0</v>
      </c>
      <c r="Q33" s="121">
        <v>0.0</v>
      </c>
      <c r="R33" s="121">
        <v>0.0</v>
      </c>
      <c r="S33" s="121">
        <v>0.0</v>
      </c>
      <c r="T33" s="121">
        <v>0.0</v>
      </c>
      <c r="U33" s="121">
        <v>0.0</v>
      </c>
      <c r="V33" s="121">
        <v>0.0</v>
      </c>
      <c r="W33" s="121">
        <v>0.0</v>
      </c>
      <c r="X33" s="121">
        <v>0.0</v>
      </c>
      <c r="Y33" s="121">
        <v>0.0</v>
      </c>
      <c r="Z33" s="121">
        <v>0.0</v>
      </c>
      <c r="AA33" s="121">
        <v>0.0</v>
      </c>
      <c r="AB33" s="121">
        <v>0.0</v>
      </c>
    </row>
    <row r="34" ht="15.75" customHeight="1">
      <c r="A34" s="121">
        <v>10.0</v>
      </c>
      <c r="B34" s="121">
        <v>4.0</v>
      </c>
      <c r="C34" s="181" t="s">
        <v>260</v>
      </c>
      <c r="D34" s="181" t="s">
        <v>252</v>
      </c>
      <c r="E34" s="121">
        <v>6.0</v>
      </c>
      <c r="F34" s="121">
        <v>165.0</v>
      </c>
      <c r="G34" s="122">
        <f t="shared" si="1"/>
        <v>10</v>
      </c>
      <c r="H34" s="218">
        <v>0.0</v>
      </c>
      <c r="I34" s="121">
        <v>0.0</v>
      </c>
      <c r="J34" s="121">
        <v>0.0</v>
      </c>
      <c r="K34" s="121">
        <v>0.0</v>
      </c>
      <c r="L34" s="121">
        <v>0.0</v>
      </c>
      <c r="M34" s="121">
        <v>0.0</v>
      </c>
      <c r="N34" s="121">
        <v>0.0</v>
      </c>
      <c r="O34" s="121">
        <v>0.0</v>
      </c>
      <c r="P34" s="121">
        <v>0.0</v>
      </c>
      <c r="Q34" s="121">
        <v>0.0</v>
      </c>
      <c r="R34" s="121">
        <v>0.0</v>
      </c>
      <c r="S34" s="121">
        <v>0.0</v>
      </c>
      <c r="T34" s="121">
        <v>0.0</v>
      </c>
      <c r="U34" s="121">
        <v>0.0</v>
      </c>
      <c r="V34" s="121">
        <v>0.0</v>
      </c>
      <c r="W34" s="121">
        <v>0.0</v>
      </c>
      <c r="X34" s="121">
        <v>0.0</v>
      </c>
      <c r="Y34" s="121">
        <v>0.0</v>
      </c>
      <c r="Z34" s="121">
        <v>0.0</v>
      </c>
      <c r="AA34" s="121">
        <v>0.0</v>
      </c>
      <c r="AB34" s="121">
        <v>0.0</v>
      </c>
    </row>
    <row r="35" ht="15.75" customHeight="1">
      <c r="A35" s="121">
        <v>11.0</v>
      </c>
      <c r="B35" s="121">
        <v>4.0</v>
      </c>
      <c r="C35" s="181" t="s">
        <v>260</v>
      </c>
      <c r="D35" s="181" t="s">
        <v>253</v>
      </c>
      <c r="E35" s="121">
        <v>6.0</v>
      </c>
      <c r="F35" s="121">
        <v>230.0</v>
      </c>
      <c r="G35" s="122">
        <f t="shared" si="1"/>
        <v>11</v>
      </c>
      <c r="H35" s="218">
        <v>0.0</v>
      </c>
      <c r="I35" s="121">
        <v>0.0</v>
      </c>
      <c r="J35" s="121">
        <v>0.0</v>
      </c>
      <c r="K35" s="121">
        <v>0.0</v>
      </c>
      <c r="L35" s="121">
        <v>0.0</v>
      </c>
      <c r="M35" s="121">
        <v>0.0</v>
      </c>
      <c r="N35" s="121">
        <v>0.0</v>
      </c>
      <c r="O35" s="121">
        <v>0.0</v>
      </c>
      <c r="P35" s="121">
        <v>0.0</v>
      </c>
      <c r="Q35" s="121">
        <v>0.0</v>
      </c>
      <c r="R35" s="121">
        <v>0.0</v>
      </c>
      <c r="S35" s="121">
        <v>0.0</v>
      </c>
      <c r="T35" s="121">
        <v>0.0</v>
      </c>
      <c r="U35" s="121">
        <v>0.0</v>
      </c>
      <c r="V35" s="121">
        <v>0.0</v>
      </c>
      <c r="W35" s="121">
        <v>0.0</v>
      </c>
      <c r="X35" s="121">
        <v>0.0</v>
      </c>
      <c r="Y35" s="121">
        <v>0.0</v>
      </c>
      <c r="Z35" s="121">
        <v>0.0</v>
      </c>
      <c r="AA35" s="121">
        <v>0.0</v>
      </c>
      <c r="AB35" s="121">
        <v>0.0</v>
      </c>
    </row>
    <row r="36" ht="15.75" customHeight="1">
      <c r="A36" s="121">
        <v>12.0</v>
      </c>
      <c r="B36" s="121">
        <v>4.0</v>
      </c>
      <c r="C36" s="181" t="s">
        <v>260</v>
      </c>
      <c r="D36" s="181" t="s">
        <v>254</v>
      </c>
      <c r="E36" s="121">
        <v>6.0</v>
      </c>
      <c r="F36" s="121">
        <v>265.0</v>
      </c>
      <c r="G36" s="122">
        <f t="shared" si="1"/>
        <v>12</v>
      </c>
      <c r="H36" s="218">
        <v>0.0</v>
      </c>
      <c r="I36" s="121">
        <v>0.0</v>
      </c>
      <c r="J36" s="121">
        <v>0.0</v>
      </c>
      <c r="K36" s="121">
        <v>0.0</v>
      </c>
      <c r="L36" s="121">
        <v>0.0</v>
      </c>
      <c r="M36" s="121">
        <v>0.0</v>
      </c>
      <c r="N36" s="121">
        <v>0.0</v>
      </c>
      <c r="O36" s="121">
        <v>0.0</v>
      </c>
      <c r="P36" s="121">
        <v>0.0</v>
      </c>
      <c r="Q36" s="121">
        <v>30.0</v>
      </c>
      <c r="R36" s="121">
        <v>15.0</v>
      </c>
      <c r="S36" s="121">
        <v>0.0</v>
      </c>
      <c r="T36" s="121">
        <v>0.0</v>
      </c>
      <c r="U36" s="121">
        <v>0.0</v>
      </c>
      <c r="V36" s="121">
        <v>0.0</v>
      </c>
      <c r="W36" s="121">
        <v>0.0</v>
      </c>
      <c r="X36" s="121">
        <v>0.0</v>
      </c>
      <c r="Y36" s="121">
        <v>0.0</v>
      </c>
      <c r="Z36" s="121">
        <v>0.0</v>
      </c>
      <c r="AA36" s="121">
        <v>0.0</v>
      </c>
      <c r="AB36" s="121">
        <v>0.0</v>
      </c>
    </row>
    <row r="37" ht="15.75" customHeight="1">
      <c r="A37" s="121">
        <v>13.0</v>
      </c>
      <c r="B37" s="121">
        <v>5.0</v>
      </c>
      <c r="C37" s="181" t="s">
        <v>261</v>
      </c>
      <c r="D37" s="181" t="s">
        <v>256</v>
      </c>
      <c r="E37" s="121">
        <v>8.0</v>
      </c>
      <c r="F37" s="121">
        <v>180.0</v>
      </c>
      <c r="G37" s="122">
        <f t="shared" si="1"/>
        <v>13</v>
      </c>
      <c r="H37" s="218">
        <v>0.0</v>
      </c>
      <c r="I37" s="121">
        <v>0.0</v>
      </c>
      <c r="J37" s="121">
        <v>0.0</v>
      </c>
      <c r="K37" s="121">
        <v>0.0</v>
      </c>
      <c r="L37" s="121">
        <v>0.0</v>
      </c>
      <c r="M37" s="121">
        <v>0.0</v>
      </c>
      <c r="N37" s="121">
        <v>0.0</v>
      </c>
      <c r="O37" s="121">
        <v>0.0</v>
      </c>
      <c r="P37" s="121">
        <v>0.0</v>
      </c>
      <c r="Q37" s="121">
        <v>0.0</v>
      </c>
      <c r="R37" s="121">
        <v>0.0</v>
      </c>
      <c r="S37" s="121">
        <v>0.0</v>
      </c>
      <c r="T37" s="121">
        <v>0.0</v>
      </c>
      <c r="U37" s="121">
        <v>0.0</v>
      </c>
      <c r="V37" s="121">
        <v>0.0</v>
      </c>
      <c r="W37" s="121">
        <v>0.0</v>
      </c>
      <c r="X37" s="121">
        <v>0.0</v>
      </c>
      <c r="Y37" s="121">
        <v>0.0</v>
      </c>
      <c r="Z37" s="121">
        <v>0.0</v>
      </c>
      <c r="AA37" s="121">
        <v>0.0</v>
      </c>
      <c r="AB37" s="121">
        <v>0.0</v>
      </c>
    </row>
    <row r="38" ht="15.75" customHeight="1">
      <c r="A38" s="121">
        <v>14.0</v>
      </c>
      <c r="B38" s="121">
        <v>5.0</v>
      </c>
      <c r="C38" s="181" t="s">
        <v>261</v>
      </c>
      <c r="D38" s="181" t="s">
        <v>257</v>
      </c>
      <c r="E38" s="121">
        <v>8.0</v>
      </c>
      <c r="F38" s="121">
        <v>250.0</v>
      </c>
      <c r="G38" s="122">
        <f t="shared" si="1"/>
        <v>14</v>
      </c>
      <c r="H38" s="218">
        <v>0.0</v>
      </c>
      <c r="I38" s="121">
        <v>0.0</v>
      </c>
      <c r="J38" s="121">
        <v>0.0</v>
      </c>
      <c r="K38" s="121">
        <v>0.0</v>
      </c>
      <c r="L38" s="121">
        <v>0.0</v>
      </c>
      <c r="M38" s="121">
        <v>0.0</v>
      </c>
      <c r="N38" s="121">
        <v>0.0</v>
      </c>
      <c r="O38" s="121">
        <v>0.0</v>
      </c>
      <c r="P38" s="121">
        <v>0.0</v>
      </c>
      <c r="Q38" s="121">
        <v>0.0</v>
      </c>
      <c r="R38" s="121">
        <v>0.0</v>
      </c>
      <c r="S38" s="121">
        <v>0.0</v>
      </c>
      <c r="T38" s="121">
        <v>0.0</v>
      </c>
      <c r="U38" s="121">
        <v>0.0</v>
      </c>
      <c r="V38" s="121">
        <v>0.0</v>
      </c>
      <c r="W38" s="121">
        <v>0.0</v>
      </c>
      <c r="X38" s="121">
        <v>0.0</v>
      </c>
      <c r="Y38" s="121">
        <v>0.0</v>
      </c>
      <c r="Z38" s="121">
        <v>0.0</v>
      </c>
      <c r="AA38" s="121">
        <v>0.0</v>
      </c>
      <c r="AB38" s="121">
        <v>0.0</v>
      </c>
    </row>
    <row r="39" ht="15.75" customHeight="1">
      <c r="A39" s="121">
        <v>15.0</v>
      </c>
      <c r="B39" s="121">
        <v>5.0</v>
      </c>
      <c r="C39" s="181" t="s">
        <v>261</v>
      </c>
      <c r="D39" s="181" t="s">
        <v>258</v>
      </c>
      <c r="E39" s="121">
        <v>8.0</v>
      </c>
      <c r="F39" s="121">
        <v>300.0</v>
      </c>
      <c r="G39" s="122">
        <f t="shared" si="1"/>
        <v>15</v>
      </c>
      <c r="H39" s="218">
        <v>0.0</v>
      </c>
      <c r="I39" s="121">
        <v>0.0</v>
      </c>
      <c r="J39" s="121">
        <v>0.0</v>
      </c>
      <c r="K39" s="121">
        <v>1.0</v>
      </c>
      <c r="L39" s="121">
        <v>0.0</v>
      </c>
      <c r="M39" s="121">
        <v>0.0</v>
      </c>
      <c r="N39" s="121">
        <v>0.0</v>
      </c>
      <c r="O39" s="121">
        <v>0.0</v>
      </c>
      <c r="P39" s="121">
        <v>0.0</v>
      </c>
      <c r="Q39" s="121">
        <v>0.0</v>
      </c>
      <c r="R39" s="121">
        <v>0.0</v>
      </c>
      <c r="S39" s="121">
        <v>0.0</v>
      </c>
      <c r="T39" s="121">
        <v>0.0</v>
      </c>
      <c r="U39" s="121">
        <v>0.0</v>
      </c>
      <c r="V39" s="121">
        <v>0.0</v>
      </c>
      <c r="W39" s="121">
        <v>0.0</v>
      </c>
      <c r="X39" s="121">
        <v>0.0</v>
      </c>
      <c r="Y39" s="121">
        <v>0.0</v>
      </c>
      <c r="Z39" s="121">
        <v>0.0</v>
      </c>
      <c r="AA39" s="121">
        <v>0.0</v>
      </c>
      <c r="AB39" s="121">
        <v>0.0</v>
      </c>
    </row>
    <row r="40" ht="15.75" customHeight="1">
      <c r="A40" s="121">
        <v>16.0</v>
      </c>
      <c r="B40" s="121">
        <v>6.0</v>
      </c>
      <c r="C40" s="181" t="s">
        <v>262</v>
      </c>
      <c r="D40" s="181" t="s">
        <v>256</v>
      </c>
      <c r="E40" s="121">
        <v>10.0</v>
      </c>
      <c r="F40" s="121">
        <v>180.0</v>
      </c>
      <c r="G40" s="122">
        <f t="shared" si="1"/>
        <v>16</v>
      </c>
      <c r="H40" s="218">
        <v>0.0</v>
      </c>
      <c r="I40" s="121">
        <v>0.0</v>
      </c>
      <c r="J40" s="121">
        <v>0.0</v>
      </c>
      <c r="K40" s="121">
        <v>0.0</v>
      </c>
      <c r="L40" s="121">
        <v>0.0</v>
      </c>
      <c r="M40" s="121">
        <v>0.0</v>
      </c>
      <c r="N40" s="121">
        <v>0.0</v>
      </c>
      <c r="O40" s="121">
        <v>0.0</v>
      </c>
      <c r="P40" s="121">
        <v>0.0</v>
      </c>
      <c r="Q40" s="121">
        <v>0.0</v>
      </c>
      <c r="R40" s="121">
        <v>0.0</v>
      </c>
      <c r="S40" s="121">
        <v>0.0</v>
      </c>
      <c r="T40" s="121">
        <v>0.0</v>
      </c>
      <c r="U40" s="121">
        <v>0.0</v>
      </c>
      <c r="V40" s="121">
        <v>0.0</v>
      </c>
      <c r="W40" s="121">
        <v>0.0</v>
      </c>
      <c r="X40" s="121">
        <v>0.0</v>
      </c>
      <c r="Y40" s="121">
        <v>0.0</v>
      </c>
      <c r="Z40" s="121">
        <v>0.0</v>
      </c>
      <c r="AA40" s="121">
        <v>0.0</v>
      </c>
      <c r="AB40" s="121">
        <v>0.0</v>
      </c>
    </row>
    <row r="41" ht="15.75" customHeight="1">
      <c r="A41" s="121">
        <v>17.0</v>
      </c>
      <c r="B41" s="121">
        <v>6.0</v>
      </c>
      <c r="C41" s="181" t="s">
        <v>262</v>
      </c>
      <c r="D41" s="181" t="s">
        <v>257</v>
      </c>
      <c r="E41" s="121">
        <v>10.0</v>
      </c>
      <c r="F41" s="121">
        <v>260.0</v>
      </c>
      <c r="G41" s="122">
        <f t="shared" si="1"/>
        <v>17</v>
      </c>
      <c r="H41" s="218">
        <v>0.0</v>
      </c>
      <c r="I41" s="121">
        <v>0.0</v>
      </c>
      <c r="J41" s="121">
        <v>0.0</v>
      </c>
      <c r="K41" s="121">
        <v>0.0</v>
      </c>
      <c r="L41" s="121">
        <v>0.0</v>
      </c>
      <c r="M41" s="121">
        <v>0.0</v>
      </c>
      <c r="N41" s="121">
        <v>0.0</v>
      </c>
      <c r="O41" s="121">
        <v>0.0</v>
      </c>
      <c r="P41" s="121">
        <v>0.0</v>
      </c>
      <c r="Q41" s="121">
        <v>0.0</v>
      </c>
      <c r="R41" s="121">
        <v>0.0</v>
      </c>
      <c r="S41" s="121">
        <v>0.0</v>
      </c>
      <c r="T41" s="121">
        <v>0.0</v>
      </c>
      <c r="U41" s="121">
        <v>0.0</v>
      </c>
      <c r="V41" s="121">
        <v>0.0</v>
      </c>
      <c r="W41" s="121">
        <v>0.0</v>
      </c>
      <c r="X41" s="121">
        <v>0.0</v>
      </c>
      <c r="Y41" s="121">
        <v>0.0</v>
      </c>
      <c r="Z41" s="121">
        <v>0.0</v>
      </c>
      <c r="AA41" s="121">
        <v>0.0</v>
      </c>
      <c r="AB41" s="121">
        <v>0.0</v>
      </c>
    </row>
    <row r="42" ht="15.75" customHeight="1">
      <c r="A42" s="121">
        <v>18.0</v>
      </c>
      <c r="B42" s="121">
        <v>6.0</v>
      </c>
      <c r="C42" s="181" t="s">
        <v>262</v>
      </c>
      <c r="D42" s="181" t="s">
        <v>258</v>
      </c>
      <c r="E42" s="121">
        <v>10.0</v>
      </c>
      <c r="F42" s="121">
        <v>300.0</v>
      </c>
      <c r="G42" s="122">
        <f t="shared" si="1"/>
        <v>18</v>
      </c>
      <c r="H42" s="218">
        <v>0.0</v>
      </c>
      <c r="I42" s="121">
        <v>0.0</v>
      </c>
      <c r="J42" s="121">
        <v>0.0</v>
      </c>
      <c r="K42" s="121">
        <v>0.0</v>
      </c>
      <c r="L42" s="121">
        <v>0.0</v>
      </c>
      <c r="M42" s="121">
        <v>0.0</v>
      </c>
      <c r="N42" s="121">
        <v>0.0</v>
      </c>
      <c r="O42" s="121">
        <v>0.0</v>
      </c>
      <c r="P42" s="121">
        <v>0.0</v>
      </c>
      <c r="Q42" s="121">
        <v>30.0</v>
      </c>
      <c r="R42" s="121">
        <v>0.0</v>
      </c>
      <c r="S42" s="121">
        <v>15.0</v>
      </c>
      <c r="T42" s="121">
        <v>0.0</v>
      </c>
      <c r="U42" s="121">
        <v>0.0</v>
      </c>
      <c r="V42" s="121">
        <v>0.0</v>
      </c>
      <c r="W42" s="121">
        <v>0.0</v>
      </c>
      <c r="X42" s="121">
        <v>0.0</v>
      </c>
      <c r="Y42" s="121">
        <v>0.0</v>
      </c>
      <c r="Z42" s="121">
        <v>0.0</v>
      </c>
      <c r="AA42" s="121">
        <v>0.0</v>
      </c>
      <c r="AB42" s="121">
        <v>0.0</v>
      </c>
    </row>
    <row r="43" ht="15.75" customHeight="1">
      <c r="A43" s="121">
        <v>19.0</v>
      </c>
      <c r="B43" s="121">
        <v>7.0</v>
      </c>
      <c r="C43" s="181" t="s">
        <v>263</v>
      </c>
      <c r="D43" s="181" t="s">
        <v>264</v>
      </c>
      <c r="E43" s="121">
        <v>13.0</v>
      </c>
      <c r="F43" s="121">
        <v>300.0</v>
      </c>
      <c r="G43" s="122">
        <f t="shared" si="1"/>
        <v>19</v>
      </c>
      <c r="H43" s="218">
        <v>0.0</v>
      </c>
      <c r="I43" s="121">
        <v>0.0</v>
      </c>
      <c r="J43" s="121">
        <v>0.0</v>
      </c>
      <c r="K43" s="121">
        <v>0.0</v>
      </c>
      <c r="L43" s="121">
        <v>0.0</v>
      </c>
      <c r="M43" s="121">
        <v>0.0</v>
      </c>
      <c r="N43" s="121">
        <v>0.0</v>
      </c>
      <c r="O43" s="121">
        <v>0.0</v>
      </c>
      <c r="P43" s="121">
        <v>0.0</v>
      </c>
      <c r="Q43" s="121">
        <v>0.0</v>
      </c>
      <c r="R43" s="121">
        <v>0.0</v>
      </c>
      <c r="S43" s="121">
        <v>0.0</v>
      </c>
      <c r="T43" s="121">
        <v>0.0</v>
      </c>
      <c r="U43" s="121">
        <v>0.0</v>
      </c>
      <c r="V43" s="121">
        <v>0.0</v>
      </c>
      <c r="W43" s="121">
        <v>0.0</v>
      </c>
      <c r="X43" s="121">
        <v>0.0</v>
      </c>
      <c r="Y43" s="121">
        <v>0.0</v>
      </c>
      <c r="Z43" s="121">
        <v>0.0</v>
      </c>
      <c r="AA43" s="121">
        <v>0.0</v>
      </c>
      <c r="AB43" s="121">
        <v>0.0</v>
      </c>
    </row>
    <row r="44" ht="15.75" customHeight="1">
      <c r="A44" s="121">
        <v>20.0</v>
      </c>
      <c r="B44" s="121">
        <v>7.0</v>
      </c>
      <c r="C44" s="181" t="s">
        <v>263</v>
      </c>
      <c r="D44" s="181" t="s">
        <v>265</v>
      </c>
      <c r="E44" s="121">
        <v>13.0</v>
      </c>
      <c r="F44" s="121">
        <v>375.0</v>
      </c>
      <c r="G44" s="122">
        <f t="shared" si="1"/>
        <v>20</v>
      </c>
      <c r="H44" s="218">
        <v>0.0</v>
      </c>
      <c r="I44" s="121">
        <v>0.0</v>
      </c>
      <c r="J44" s="121">
        <v>0.0</v>
      </c>
      <c r="K44" s="121">
        <v>0.0</v>
      </c>
      <c r="L44" s="121">
        <v>0.0</v>
      </c>
      <c r="M44" s="121">
        <v>0.0</v>
      </c>
      <c r="N44" s="121">
        <v>0.0</v>
      </c>
      <c r="O44" s="121">
        <v>0.0</v>
      </c>
      <c r="P44" s="121">
        <v>0.0</v>
      </c>
      <c r="Q44" s="121">
        <v>0.0</v>
      </c>
      <c r="R44" s="121">
        <v>0.0</v>
      </c>
      <c r="S44" s="121">
        <v>0.0</v>
      </c>
      <c r="T44" s="121">
        <v>0.0</v>
      </c>
      <c r="U44" s="121">
        <v>0.0</v>
      </c>
      <c r="V44" s="121">
        <v>0.0</v>
      </c>
      <c r="W44" s="121">
        <v>0.0</v>
      </c>
      <c r="X44" s="121">
        <v>0.0</v>
      </c>
      <c r="Y44" s="121">
        <v>0.0</v>
      </c>
      <c r="Z44" s="121">
        <v>0.0</v>
      </c>
      <c r="AA44" s="121">
        <v>0.0</v>
      </c>
      <c r="AB44" s="121">
        <v>0.0</v>
      </c>
    </row>
    <row r="45" ht="15.75" customHeight="1">
      <c r="A45" s="121">
        <v>21.0</v>
      </c>
      <c r="B45" s="121">
        <v>7.0</v>
      </c>
      <c r="C45" s="181" t="s">
        <v>263</v>
      </c>
      <c r="D45" s="181" t="s">
        <v>266</v>
      </c>
      <c r="E45" s="121">
        <v>13.0</v>
      </c>
      <c r="F45" s="121">
        <v>410.0</v>
      </c>
      <c r="G45" s="122">
        <f t="shared" si="1"/>
        <v>21</v>
      </c>
      <c r="H45" s="218">
        <v>25.0</v>
      </c>
      <c r="I45" s="121">
        <v>0.0</v>
      </c>
      <c r="J45" s="121">
        <v>0.0</v>
      </c>
      <c r="K45" s="121">
        <v>0.0</v>
      </c>
      <c r="L45" s="121">
        <v>0.0</v>
      </c>
      <c r="M45" s="121">
        <v>0.0</v>
      </c>
      <c r="N45" s="121">
        <v>0.0</v>
      </c>
      <c r="O45" s="121">
        <v>0.0</v>
      </c>
      <c r="P45" s="121">
        <v>0.0</v>
      </c>
      <c r="Q45" s="121">
        <v>0.0</v>
      </c>
      <c r="R45" s="121">
        <v>0.0</v>
      </c>
      <c r="S45" s="121">
        <v>0.0</v>
      </c>
      <c r="T45" s="121">
        <v>0.0</v>
      </c>
      <c r="U45" s="121">
        <v>0.0</v>
      </c>
      <c r="V45" s="121">
        <v>0.0</v>
      </c>
      <c r="W45" s="121">
        <v>0.0</v>
      </c>
      <c r="X45" s="121">
        <v>0.0</v>
      </c>
      <c r="Y45" s="121">
        <v>0.0</v>
      </c>
      <c r="Z45" s="121">
        <v>0.0</v>
      </c>
      <c r="AA45" s="121">
        <v>0.0</v>
      </c>
      <c r="AB45" s="121">
        <v>0.0</v>
      </c>
    </row>
    <row r="46" ht="15.75" customHeight="1">
      <c r="A46" s="121">
        <v>22.0</v>
      </c>
      <c r="B46" s="121">
        <v>8.0</v>
      </c>
      <c r="C46" s="181" t="s">
        <v>267</v>
      </c>
      <c r="D46" s="181" t="s">
        <v>264</v>
      </c>
      <c r="E46" s="121">
        <v>16.0</v>
      </c>
      <c r="F46" s="121">
        <v>385.0</v>
      </c>
      <c r="G46" s="122">
        <f t="shared" si="1"/>
        <v>22</v>
      </c>
      <c r="H46" s="218">
        <v>0.0</v>
      </c>
      <c r="I46" s="121">
        <v>0.0</v>
      </c>
      <c r="J46" s="121">
        <v>0.0</v>
      </c>
      <c r="K46" s="121">
        <v>0.0</v>
      </c>
      <c r="L46" s="121">
        <v>0.0</v>
      </c>
      <c r="M46" s="121">
        <v>0.0</v>
      </c>
      <c r="N46" s="121">
        <v>0.0</v>
      </c>
      <c r="O46" s="121">
        <v>0.0</v>
      </c>
      <c r="P46" s="121">
        <v>0.0</v>
      </c>
      <c r="Q46" s="121">
        <v>0.0</v>
      </c>
      <c r="R46" s="121">
        <v>0.0</v>
      </c>
      <c r="S46" s="121">
        <v>0.0</v>
      </c>
      <c r="T46" s="121">
        <v>0.0</v>
      </c>
      <c r="U46" s="121">
        <v>0.0</v>
      </c>
      <c r="V46" s="121">
        <v>0.0</v>
      </c>
      <c r="W46" s="121">
        <v>0.0</v>
      </c>
      <c r="X46" s="121">
        <v>0.0</v>
      </c>
      <c r="Y46" s="121">
        <v>0.0</v>
      </c>
      <c r="Z46" s="121">
        <v>0.0</v>
      </c>
      <c r="AA46" s="121">
        <v>0.0</v>
      </c>
      <c r="AB46" s="121">
        <v>0.0</v>
      </c>
    </row>
    <row r="47" ht="15.75" customHeight="1">
      <c r="A47" s="121">
        <v>23.0</v>
      </c>
      <c r="B47" s="121">
        <v>8.0</v>
      </c>
      <c r="C47" s="181" t="s">
        <v>267</v>
      </c>
      <c r="D47" s="181" t="s">
        <v>265</v>
      </c>
      <c r="E47" s="121">
        <v>16.0</v>
      </c>
      <c r="F47" s="121">
        <v>475.0</v>
      </c>
      <c r="G47" s="122">
        <f t="shared" si="1"/>
        <v>23</v>
      </c>
      <c r="H47" s="218">
        <v>0.0</v>
      </c>
      <c r="I47" s="121">
        <v>0.0</v>
      </c>
      <c r="J47" s="121">
        <v>0.0</v>
      </c>
      <c r="K47" s="121">
        <v>0.0</v>
      </c>
      <c r="L47" s="121">
        <v>0.0</v>
      </c>
      <c r="M47" s="121">
        <v>0.0</v>
      </c>
      <c r="N47" s="121">
        <v>0.0</v>
      </c>
      <c r="O47" s="121">
        <v>0.0</v>
      </c>
      <c r="P47" s="121">
        <v>0.0</v>
      </c>
      <c r="Q47" s="121">
        <v>0.0</v>
      </c>
      <c r="R47" s="121">
        <v>0.0</v>
      </c>
      <c r="S47" s="121">
        <v>0.0</v>
      </c>
      <c r="T47" s="121">
        <v>0.0</v>
      </c>
      <c r="U47" s="121">
        <v>0.0</v>
      </c>
      <c r="V47" s="121">
        <v>0.0</v>
      </c>
      <c r="W47" s="121">
        <v>0.0</v>
      </c>
      <c r="X47" s="121">
        <v>0.0</v>
      </c>
      <c r="Y47" s="121">
        <v>0.0</v>
      </c>
      <c r="Z47" s="121">
        <v>0.0</v>
      </c>
      <c r="AA47" s="121">
        <v>0.0</v>
      </c>
      <c r="AB47" s="121">
        <v>0.0</v>
      </c>
    </row>
    <row r="48" ht="15.75" customHeight="1">
      <c r="A48" s="121">
        <v>24.0</v>
      </c>
      <c r="B48" s="121">
        <v>8.0</v>
      </c>
      <c r="C48" s="181" t="s">
        <v>267</v>
      </c>
      <c r="D48" s="181" t="s">
        <v>266</v>
      </c>
      <c r="E48" s="121">
        <v>16.0</v>
      </c>
      <c r="F48" s="121">
        <v>500.0</v>
      </c>
      <c r="G48" s="122">
        <f t="shared" si="1"/>
        <v>24</v>
      </c>
      <c r="H48" s="218">
        <v>0.0</v>
      </c>
      <c r="I48" s="121">
        <v>0.0</v>
      </c>
      <c r="J48" s="121">
        <v>0.0</v>
      </c>
      <c r="K48" s="121">
        <v>0.0</v>
      </c>
      <c r="L48" s="121">
        <v>0.0</v>
      </c>
      <c r="M48" s="121">
        <v>0.0</v>
      </c>
      <c r="N48" s="121">
        <v>0.0</v>
      </c>
      <c r="O48" s="121">
        <v>0.0</v>
      </c>
      <c r="P48" s="121">
        <v>0.0</v>
      </c>
      <c r="Q48" s="121">
        <v>60.0</v>
      </c>
      <c r="R48" s="121">
        <v>0.0</v>
      </c>
      <c r="S48" s="121">
        <v>0.0</v>
      </c>
      <c r="T48" s="121">
        <v>15.0</v>
      </c>
      <c r="U48" s="121">
        <v>0.0</v>
      </c>
      <c r="V48" s="121">
        <v>0.0</v>
      </c>
      <c r="W48" s="121">
        <v>0.0</v>
      </c>
      <c r="X48" s="121">
        <v>0.0</v>
      </c>
      <c r="Y48" s="121">
        <v>0.0</v>
      </c>
      <c r="Z48" s="121">
        <v>0.0</v>
      </c>
      <c r="AA48" s="121">
        <v>0.0</v>
      </c>
      <c r="AB48" s="121">
        <v>0.0</v>
      </c>
    </row>
    <row r="49" ht="15.75" customHeight="1">
      <c r="A49" s="121">
        <v>25.0</v>
      </c>
      <c r="B49" s="121">
        <v>9.0</v>
      </c>
      <c r="C49" s="181" t="s">
        <v>268</v>
      </c>
      <c r="D49" s="181" t="s">
        <v>264</v>
      </c>
      <c r="E49" s="121">
        <v>20.0</v>
      </c>
      <c r="F49" s="121">
        <v>400.0</v>
      </c>
      <c r="G49" s="122">
        <f t="shared" si="1"/>
        <v>25</v>
      </c>
      <c r="H49" s="218">
        <v>0.0</v>
      </c>
      <c r="I49" s="121">
        <v>0.0</v>
      </c>
      <c r="J49" s="121">
        <v>0.0</v>
      </c>
      <c r="K49" s="121">
        <v>0.0</v>
      </c>
      <c r="L49" s="121">
        <v>0.0</v>
      </c>
      <c r="M49" s="121">
        <v>0.0</v>
      </c>
      <c r="N49" s="121">
        <v>0.0</v>
      </c>
      <c r="O49" s="121">
        <v>0.0</v>
      </c>
      <c r="P49" s="121">
        <v>0.0</v>
      </c>
      <c r="Q49" s="121">
        <v>0.0</v>
      </c>
      <c r="R49" s="121">
        <v>0.0</v>
      </c>
      <c r="S49" s="121">
        <v>0.0</v>
      </c>
      <c r="T49" s="121">
        <v>0.0</v>
      </c>
      <c r="U49" s="121">
        <v>0.0</v>
      </c>
      <c r="V49" s="121">
        <v>0.0</v>
      </c>
      <c r="W49" s="121">
        <v>0.0</v>
      </c>
      <c r="X49" s="121">
        <v>0.0</v>
      </c>
      <c r="Y49" s="121">
        <v>0.0</v>
      </c>
      <c r="Z49" s="121">
        <v>0.0</v>
      </c>
      <c r="AA49" s="121">
        <v>0.0</v>
      </c>
      <c r="AB49" s="121">
        <v>0.0</v>
      </c>
    </row>
    <row r="50" ht="15.75" customHeight="1">
      <c r="A50" s="121">
        <v>26.0</v>
      </c>
      <c r="B50" s="121">
        <v>9.0</v>
      </c>
      <c r="C50" s="181" t="s">
        <v>268</v>
      </c>
      <c r="D50" s="181" t="s">
        <v>265</v>
      </c>
      <c r="E50" s="121">
        <v>20.0</v>
      </c>
      <c r="F50" s="121">
        <v>480.0</v>
      </c>
      <c r="G50" s="122">
        <f t="shared" si="1"/>
        <v>26</v>
      </c>
      <c r="H50" s="218">
        <v>0.0</v>
      </c>
      <c r="I50" s="121">
        <v>0.0</v>
      </c>
      <c r="J50" s="121">
        <v>0.0</v>
      </c>
      <c r="K50" s="121">
        <v>0.0</v>
      </c>
      <c r="L50" s="121">
        <v>0.0</v>
      </c>
      <c r="M50" s="121">
        <v>0.0</v>
      </c>
      <c r="N50" s="121">
        <v>0.0</v>
      </c>
      <c r="O50" s="121">
        <v>0.0</v>
      </c>
      <c r="P50" s="121">
        <v>0.0</v>
      </c>
      <c r="Q50" s="121">
        <v>0.0</v>
      </c>
      <c r="R50" s="121">
        <v>0.0</v>
      </c>
      <c r="S50" s="121">
        <v>0.0</v>
      </c>
      <c r="T50" s="121">
        <v>0.0</v>
      </c>
      <c r="U50" s="121">
        <v>0.0</v>
      </c>
      <c r="V50" s="121">
        <v>0.0</v>
      </c>
      <c r="W50" s="121">
        <v>0.0</v>
      </c>
      <c r="X50" s="121">
        <v>0.0</v>
      </c>
      <c r="Y50" s="121">
        <v>0.0</v>
      </c>
      <c r="Z50" s="121">
        <v>0.0</v>
      </c>
      <c r="AA50" s="121">
        <v>0.0</v>
      </c>
      <c r="AB50" s="121">
        <v>0.0</v>
      </c>
    </row>
    <row r="51" ht="15.75" customHeight="1">
      <c r="A51" s="121">
        <v>27.0</v>
      </c>
      <c r="B51" s="121">
        <v>9.0</v>
      </c>
      <c r="C51" s="181" t="s">
        <v>268</v>
      </c>
      <c r="D51" s="181" t="s">
        <v>266</v>
      </c>
      <c r="E51" s="121">
        <v>20.0</v>
      </c>
      <c r="F51" s="121">
        <v>520.0</v>
      </c>
      <c r="G51" s="122">
        <f t="shared" si="1"/>
        <v>27</v>
      </c>
      <c r="H51" s="218">
        <v>0.0</v>
      </c>
      <c r="I51" s="121">
        <v>0.0</v>
      </c>
      <c r="J51" s="121">
        <v>0.0</v>
      </c>
      <c r="K51" s="121">
        <v>0.0</v>
      </c>
      <c r="L51" s="121">
        <v>0.0</v>
      </c>
      <c r="M51" s="121">
        <v>0.0</v>
      </c>
      <c r="N51" s="121">
        <v>0.0</v>
      </c>
      <c r="O51" s="121">
        <v>1.0</v>
      </c>
      <c r="P51" s="121">
        <v>0.0</v>
      </c>
      <c r="Q51" s="121">
        <v>0.0</v>
      </c>
      <c r="R51" s="121">
        <v>0.0</v>
      </c>
      <c r="S51" s="121">
        <v>0.0</v>
      </c>
      <c r="T51" s="121">
        <v>0.0</v>
      </c>
      <c r="U51" s="121">
        <v>0.0</v>
      </c>
      <c r="V51" s="121">
        <v>0.0</v>
      </c>
      <c r="W51" s="121">
        <v>0.0</v>
      </c>
      <c r="X51" s="121">
        <v>0.0</v>
      </c>
      <c r="Y51" s="121">
        <v>0.0</v>
      </c>
      <c r="Z51" s="121">
        <v>0.0</v>
      </c>
      <c r="AA51" s="121">
        <v>0.0</v>
      </c>
      <c r="AB51" s="121">
        <v>0.0</v>
      </c>
    </row>
    <row r="52" ht="15.75" customHeight="1">
      <c r="A52" s="121">
        <v>28.0</v>
      </c>
      <c r="B52" s="121">
        <v>10.0</v>
      </c>
      <c r="C52" s="181" t="s">
        <v>269</v>
      </c>
      <c r="D52" s="181" t="s">
        <v>270</v>
      </c>
      <c r="E52" s="121">
        <v>25.0</v>
      </c>
      <c r="F52" s="121">
        <v>600.0</v>
      </c>
      <c r="G52" s="122">
        <f t="shared" si="1"/>
        <v>28</v>
      </c>
      <c r="H52" s="218">
        <v>0.0</v>
      </c>
      <c r="I52" s="121">
        <v>0.0</v>
      </c>
      <c r="J52" s="121">
        <v>0.0</v>
      </c>
      <c r="K52" s="121">
        <v>0.0</v>
      </c>
      <c r="L52" s="121">
        <v>0.0</v>
      </c>
      <c r="M52" s="121">
        <v>0.0</v>
      </c>
      <c r="N52" s="121">
        <v>0.0</v>
      </c>
      <c r="O52" s="121">
        <v>0.0</v>
      </c>
      <c r="P52" s="121">
        <v>0.0</v>
      </c>
      <c r="Q52" s="121">
        <v>0.0</v>
      </c>
      <c r="R52" s="121">
        <v>0.0</v>
      </c>
      <c r="S52" s="121">
        <v>0.0</v>
      </c>
      <c r="T52" s="121">
        <v>0.0</v>
      </c>
      <c r="U52" s="121">
        <v>0.0</v>
      </c>
      <c r="V52" s="121">
        <v>0.0</v>
      </c>
      <c r="W52" s="121">
        <v>0.0</v>
      </c>
      <c r="X52" s="121">
        <v>0.0</v>
      </c>
      <c r="Y52" s="121">
        <v>0.0</v>
      </c>
      <c r="Z52" s="121">
        <v>0.0</v>
      </c>
      <c r="AA52" s="121">
        <v>0.0</v>
      </c>
      <c r="AB52" s="121">
        <v>0.0</v>
      </c>
    </row>
    <row r="53" ht="15.75" customHeight="1">
      <c r="A53" s="121">
        <v>29.0</v>
      </c>
      <c r="B53" s="121">
        <v>10.0</v>
      </c>
      <c r="C53" s="181" t="s">
        <v>269</v>
      </c>
      <c r="D53" s="181" t="s">
        <v>271</v>
      </c>
      <c r="E53" s="121">
        <v>25.0</v>
      </c>
      <c r="F53" s="121">
        <v>600.0</v>
      </c>
      <c r="G53" s="122">
        <f t="shared" si="1"/>
        <v>29</v>
      </c>
      <c r="H53" s="218">
        <v>0.0</v>
      </c>
      <c r="I53" s="121">
        <v>0.0</v>
      </c>
      <c r="J53" s="121">
        <v>0.0</v>
      </c>
      <c r="K53" s="121">
        <v>0.0</v>
      </c>
      <c r="L53" s="121">
        <v>0.0</v>
      </c>
      <c r="M53" s="121">
        <v>0.0</v>
      </c>
      <c r="N53" s="121">
        <v>0.0</v>
      </c>
      <c r="O53" s="121">
        <v>0.0</v>
      </c>
      <c r="P53" s="121">
        <v>0.0</v>
      </c>
      <c r="Q53" s="121">
        <v>0.0</v>
      </c>
      <c r="R53" s="121">
        <v>0.0</v>
      </c>
      <c r="S53" s="121">
        <v>0.0</v>
      </c>
      <c r="T53" s="121">
        <v>0.0</v>
      </c>
      <c r="U53" s="121">
        <v>0.0</v>
      </c>
      <c r="V53" s="121">
        <v>0.0</v>
      </c>
      <c r="W53" s="121">
        <v>0.0</v>
      </c>
      <c r="X53" s="121">
        <v>0.0</v>
      </c>
      <c r="Y53" s="121">
        <v>0.0</v>
      </c>
      <c r="Z53" s="121">
        <v>0.0</v>
      </c>
      <c r="AA53" s="121">
        <v>0.0</v>
      </c>
      <c r="AB53" s="121">
        <v>0.0</v>
      </c>
    </row>
    <row r="54" ht="15.75" customHeight="1">
      <c r="A54" s="121">
        <v>30.0</v>
      </c>
      <c r="B54" s="121">
        <v>10.0</v>
      </c>
      <c r="C54" s="181" t="s">
        <v>269</v>
      </c>
      <c r="D54" s="181" t="s">
        <v>272</v>
      </c>
      <c r="E54" s="121">
        <v>25.0</v>
      </c>
      <c r="F54" s="121">
        <v>600.0</v>
      </c>
      <c r="G54" s="122">
        <f t="shared" si="1"/>
        <v>30</v>
      </c>
      <c r="H54" s="218">
        <v>50.0</v>
      </c>
      <c r="I54" s="121">
        <v>0.0</v>
      </c>
      <c r="J54" s="121">
        <v>0.0</v>
      </c>
      <c r="K54" s="121">
        <v>0.0</v>
      </c>
      <c r="L54" s="121">
        <v>0.0</v>
      </c>
      <c r="M54" s="121">
        <v>1.0</v>
      </c>
      <c r="N54" s="121">
        <v>0.0</v>
      </c>
      <c r="O54" s="121">
        <v>0.0</v>
      </c>
      <c r="P54" s="121">
        <v>0.0</v>
      </c>
      <c r="Q54" s="121">
        <v>120.0</v>
      </c>
      <c r="R54" s="121">
        <v>0.0</v>
      </c>
      <c r="S54" s="121">
        <v>0.0</v>
      </c>
      <c r="T54" s="121">
        <v>0.0</v>
      </c>
      <c r="U54" s="121">
        <v>0.0</v>
      </c>
      <c r="V54" s="121">
        <v>0.0</v>
      </c>
      <c r="W54" s="121">
        <v>0.0</v>
      </c>
      <c r="X54" s="121">
        <v>0.0</v>
      </c>
      <c r="Y54" s="121">
        <v>0.0</v>
      </c>
      <c r="Z54" s="121">
        <v>0.0</v>
      </c>
      <c r="AA54" s="121">
        <v>0.0</v>
      </c>
      <c r="AB54" s="121">
        <v>0.0</v>
      </c>
    </row>
    <row r="55" ht="15.75" customHeight="1"/>
    <row r="56" ht="19.5" customHeight="1">
      <c r="A56" s="111" t="s">
        <v>273</v>
      </c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</row>
    <row r="57" ht="90.0" customHeight="1">
      <c r="A57" s="116" t="s">
        <v>274</v>
      </c>
      <c r="B57" s="116" t="s">
        <v>275</v>
      </c>
      <c r="H57" s="217" t="s">
        <v>82</v>
      </c>
      <c r="I57" s="119" t="s">
        <v>68</v>
      </c>
      <c r="J57" s="119" t="s">
        <v>103</v>
      </c>
      <c r="K57" s="119" t="s">
        <v>69</v>
      </c>
      <c r="L57" s="119" t="s">
        <v>70</v>
      </c>
      <c r="M57" s="119" t="s">
        <v>71</v>
      </c>
      <c r="N57" s="119" t="s">
        <v>72</v>
      </c>
      <c r="O57" s="119" t="s">
        <v>73</v>
      </c>
      <c r="P57" s="119" t="s">
        <v>74</v>
      </c>
      <c r="Q57" s="119" t="s">
        <v>75</v>
      </c>
      <c r="R57" s="119" t="s">
        <v>76</v>
      </c>
      <c r="S57" s="119" t="s">
        <v>77</v>
      </c>
      <c r="T57" s="119" t="s">
        <v>78</v>
      </c>
      <c r="U57" s="119" t="s">
        <v>118</v>
      </c>
      <c r="V57" s="119" t="s">
        <v>104</v>
      </c>
      <c r="W57" s="119" t="s">
        <v>105</v>
      </c>
      <c r="X57" s="119" t="s">
        <v>106</v>
      </c>
      <c r="Y57" s="119" t="s">
        <v>107</v>
      </c>
      <c r="Z57" s="119" t="s">
        <v>108</v>
      </c>
      <c r="AA57" s="119" t="s">
        <v>109</v>
      </c>
      <c r="AB57" s="119" t="s">
        <v>110</v>
      </c>
    </row>
    <row r="58" ht="15.75" customHeight="1">
      <c r="A58" s="121">
        <v>1.0</v>
      </c>
      <c r="B58" s="121">
        <v>840.0</v>
      </c>
      <c r="H58" s="218">
        <v>0.0</v>
      </c>
      <c r="I58" s="121">
        <v>0.0</v>
      </c>
      <c r="J58" s="121">
        <v>0.0</v>
      </c>
      <c r="K58" s="121">
        <v>0.0</v>
      </c>
      <c r="L58" s="121">
        <v>0.0</v>
      </c>
      <c r="M58" s="121">
        <v>1.0</v>
      </c>
      <c r="N58" s="121">
        <v>0.0</v>
      </c>
      <c r="O58" s="121">
        <v>0.0</v>
      </c>
      <c r="P58" s="121">
        <v>0.0</v>
      </c>
      <c r="Q58" s="121">
        <v>0.0</v>
      </c>
      <c r="R58" s="121">
        <v>0.0</v>
      </c>
      <c r="S58" s="121">
        <v>0.0</v>
      </c>
      <c r="T58" s="121">
        <v>0.0</v>
      </c>
      <c r="U58" s="121">
        <v>0.0</v>
      </c>
      <c r="V58" s="121">
        <v>0.0</v>
      </c>
      <c r="W58" s="121">
        <v>0.0</v>
      </c>
      <c r="X58" s="121">
        <v>0.0</v>
      </c>
      <c r="Y58" s="121">
        <v>0.0</v>
      </c>
      <c r="Z58" s="121">
        <v>0.0</v>
      </c>
      <c r="AA58" s="121">
        <v>0.0</v>
      </c>
      <c r="AB58" s="121">
        <v>0.0</v>
      </c>
    </row>
    <row r="59" ht="15.75" customHeight="1">
      <c r="A59" s="121">
        <v>2.0</v>
      </c>
      <c r="B59" s="121">
        <v>840.0</v>
      </c>
      <c r="C59" s="190"/>
      <c r="D59" s="190"/>
      <c r="E59" s="190"/>
      <c r="F59" s="190"/>
      <c r="G59" s="190"/>
      <c r="H59" s="218">
        <v>0.0</v>
      </c>
      <c r="I59" s="121">
        <v>0.0</v>
      </c>
      <c r="J59" s="121">
        <v>0.0</v>
      </c>
      <c r="K59" s="121">
        <v>2.0</v>
      </c>
      <c r="L59" s="121">
        <v>0.0</v>
      </c>
      <c r="M59" s="121">
        <v>0.0</v>
      </c>
      <c r="N59" s="121">
        <v>0.0</v>
      </c>
      <c r="O59" s="121">
        <v>0.0</v>
      </c>
      <c r="P59" s="121">
        <v>0.0</v>
      </c>
      <c r="Q59" s="121">
        <v>0.0</v>
      </c>
      <c r="R59" s="121">
        <v>0.0</v>
      </c>
      <c r="S59" s="121">
        <v>0.0</v>
      </c>
      <c r="T59" s="121">
        <v>0.0</v>
      </c>
      <c r="U59" s="121">
        <v>0.0</v>
      </c>
      <c r="V59" s="121">
        <v>0.0</v>
      </c>
      <c r="W59" s="121">
        <v>0.0</v>
      </c>
      <c r="X59" s="121">
        <v>0.0</v>
      </c>
      <c r="Y59" s="121">
        <v>0.0</v>
      </c>
      <c r="Z59" s="121">
        <v>0.0</v>
      </c>
      <c r="AA59" s="121">
        <v>0.0</v>
      </c>
      <c r="AB59" s="121">
        <v>0.0</v>
      </c>
    </row>
    <row r="60" ht="15.75" customHeight="1">
      <c r="A60" s="121">
        <v>3.0</v>
      </c>
      <c r="B60" s="121">
        <v>830.0</v>
      </c>
      <c r="H60" s="218">
        <v>0.0</v>
      </c>
      <c r="I60" s="121">
        <v>0.0</v>
      </c>
      <c r="J60" s="121">
        <v>0.0</v>
      </c>
      <c r="K60" s="121">
        <v>0.0</v>
      </c>
      <c r="L60" s="121">
        <v>1.0</v>
      </c>
      <c r="M60" s="121">
        <v>0.0</v>
      </c>
      <c r="N60" s="121">
        <v>0.0</v>
      </c>
      <c r="O60" s="121">
        <v>0.0</v>
      </c>
      <c r="P60" s="121">
        <v>0.0</v>
      </c>
      <c r="Q60" s="121">
        <v>0.0</v>
      </c>
      <c r="R60" s="121">
        <v>0.0</v>
      </c>
      <c r="S60" s="121">
        <v>0.0</v>
      </c>
      <c r="T60" s="121">
        <v>0.0</v>
      </c>
      <c r="U60" s="121">
        <v>0.0</v>
      </c>
      <c r="V60" s="121">
        <v>0.0</v>
      </c>
      <c r="W60" s="121">
        <v>0.0</v>
      </c>
      <c r="X60" s="121">
        <v>0.0</v>
      </c>
      <c r="Y60" s="121">
        <v>0.0</v>
      </c>
      <c r="Z60" s="121">
        <v>0.0</v>
      </c>
      <c r="AA60" s="121">
        <v>0.0</v>
      </c>
      <c r="AB60" s="121">
        <v>0.0</v>
      </c>
    </row>
    <row r="61" ht="15.75" customHeight="1">
      <c r="A61" s="121">
        <v>4.0</v>
      </c>
      <c r="B61" s="121">
        <v>800.0</v>
      </c>
      <c r="C61" s="190"/>
      <c r="D61" s="190"/>
      <c r="E61" s="190"/>
      <c r="F61" s="190"/>
      <c r="G61" s="190"/>
      <c r="H61" s="218">
        <v>25.0</v>
      </c>
      <c r="I61" s="121">
        <v>0.0</v>
      </c>
      <c r="J61" s="121">
        <v>0.0</v>
      </c>
      <c r="K61" s="121">
        <v>0.0</v>
      </c>
      <c r="L61" s="121">
        <v>0.0</v>
      </c>
      <c r="M61" s="121">
        <v>0.0</v>
      </c>
      <c r="N61" s="121">
        <v>0.0</v>
      </c>
      <c r="O61" s="121">
        <v>0.0</v>
      </c>
      <c r="P61" s="121">
        <v>0.0</v>
      </c>
      <c r="Q61" s="121">
        <v>0.0</v>
      </c>
      <c r="R61" s="121">
        <v>0.0</v>
      </c>
      <c r="S61" s="121">
        <v>0.0</v>
      </c>
      <c r="T61" s="121">
        <v>0.0</v>
      </c>
      <c r="U61" s="121">
        <v>0.0</v>
      </c>
      <c r="V61" s="121">
        <v>0.0</v>
      </c>
      <c r="W61" s="121">
        <v>0.0</v>
      </c>
      <c r="X61" s="121">
        <v>0.0</v>
      </c>
      <c r="Y61" s="121">
        <v>0.0</v>
      </c>
      <c r="Z61" s="121">
        <v>0.0</v>
      </c>
      <c r="AA61" s="121">
        <v>0.0</v>
      </c>
      <c r="AB61" s="121">
        <v>0.0</v>
      </c>
    </row>
    <row r="62" ht="15.75" customHeight="1">
      <c r="A62" s="121">
        <v>5.0</v>
      </c>
      <c r="B62" s="121">
        <v>810.0</v>
      </c>
      <c r="H62" s="218">
        <v>0.0</v>
      </c>
      <c r="I62" s="121">
        <v>0.0</v>
      </c>
      <c r="J62" s="121">
        <v>0.0</v>
      </c>
      <c r="K62" s="121">
        <v>1.0</v>
      </c>
      <c r="L62" s="121">
        <v>0.0</v>
      </c>
      <c r="M62" s="121">
        <v>0.0</v>
      </c>
      <c r="N62" s="121">
        <v>0.0</v>
      </c>
      <c r="O62" s="121">
        <v>0.0</v>
      </c>
      <c r="P62" s="121">
        <v>0.0</v>
      </c>
      <c r="Q62" s="121">
        <v>0.0</v>
      </c>
      <c r="R62" s="121">
        <v>0.0</v>
      </c>
      <c r="S62" s="121">
        <v>0.0</v>
      </c>
      <c r="T62" s="121">
        <v>0.0</v>
      </c>
      <c r="U62" s="121">
        <v>0.0</v>
      </c>
      <c r="V62" s="121">
        <v>0.0</v>
      </c>
      <c r="W62" s="121">
        <v>0.0</v>
      </c>
      <c r="X62" s="121">
        <v>0.0</v>
      </c>
      <c r="Y62" s="121">
        <v>0.0</v>
      </c>
      <c r="Z62" s="121">
        <v>0.0</v>
      </c>
      <c r="AA62" s="121">
        <v>0.0</v>
      </c>
      <c r="AB62" s="121">
        <v>0.0</v>
      </c>
    </row>
    <row r="63" ht="15.75" customHeight="1">
      <c r="A63" s="121">
        <v>6.0</v>
      </c>
      <c r="B63" s="121">
        <v>880.0</v>
      </c>
      <c r="C63" s="190"/>
      <c r="D63" s="190"/>
      <c r="E63" s="190"/>
      <c r="F63" s="190"/>
      <c r="G63" s="190"/>
      <c r="H63" s="218">
        <v>0.0</v>
      </c>
      <c r="I63" s="121">
        <v>0.0</v>
      </c>
      <c r="J63" s="121">
        <v>0.0</v>
      </c>
      <c r="K63" s="121">
        <v>0.0</v>
      </c>
      <c r="L63" s="121">
        <v>2.0</v>
      </c>
      <c r="M63" s="121">
        <v>0.0</v>
      </c>
      <c r="N63" s="121">
        <v>0.0</v>
      </c>
      <c r="O63" s="121">
        <v>0.0</v>
      </c>
      <c r="P63" s="121">
        <v>0.0</v>
      </c>
      <c r="Q63" s="121">
        <v>0.0</v>
      </c>
      <c r="R63" s="121">
        <v>0.0</v>
      </c>
      <c r="S63" s="121">
        <v>0.0</v>
      </c>
      <c r="T63" s="121">
        <v>0.0</v>
      </c>
      <c r="U63" s="121">
        <v>0.0</v>
      </c>
      <c r="V63" s="121">
        <v>0.0</v>
      </c>
      <c r="W63" s="121">
        <v>0.0</v>
      </c>
      <c r="X63" s="121">
        <v>0.0</v>
      </c>
      <c r="Y63" s="121">
        <v>0.0</v>
      </c>
      <c r="Z63" s="121">
        <v>0.0</v>
      </c>
      <c r="AA63" s="121">
        <v>0.0</v>
      </c>
      <c r="AB63" s="121">
        <v>0.0</v>
      </c>
    </row>
    <row r="64" ht="15.75" customHeight="1">
      <c r="A64" s="121">
        <v>7.0</v>
      </c>
      <c r="B64" s="121">
        <v>840.0</v>
      </c>
      <c r="H64" s="218">
        <v>0.0</v>
      </c>
      <c r="I64" s="121">
        <v>0.0</v>
      </c>
      <c r="J64" s="121">
        <v>0.0</v>
      </c>
      <c r="K64" s="121">
        <v>0.0</v>
      </c>
      <c r="L64" s="121">
        <v>0.0</v>
      </c>
      <c r="M64" s="121">
        <v>1.0</v>
      </c>
      <c r="N64" s="121">
        <v>0.0</v>
      </c>
      <c r="O64" s="121">
        <v>0.0</v>
      </c>
      <c r="P64" s="121">
        <v>0.0</v>
      </c>
      <c r="Q64" s="121">
        <v>0.0</v>
      </c>
      <c r="R64" s="121">
        <v>0.0</v>
      </c>
      <c r="S64" s="121">
        <v>0.0</v>
      </c>
      <c r="T64" s="121">
        <v>0.0</v>
      </c>
      <c r="U64" s="121">
        <v>0.0</v>
      </c>
      <c r="V64" s="121">
        <v>0.0</v>
      </c>
      <c r="W64" s="121">
        <v>0.0</v>
      </c>
      <c r="X64" s="121">
        <v>0.0</v>
      </c>
      <c r="Y64" s="121">
        <v>0.0</v>
      </c>
      <c r="Z64" s="121">
        <v>0.0</v>
      </c>
      <c r="AA64" s="121">
        <v>0.0</v>
      </c>
      <c r="AB64" s="121">
        <v>0.0</v>
      </c>
    </row>
    <row r="65" ht="15.75" customHeight="1">
      <c r="A65" s="121">
        <v>8.0</v>
      </c>
      <c r="B65" s="121">
        <v>880.0</v>
      </c>
      <c r="C65" s="190"/>
      <c r="D65" s="190"/>
      <c r="E65" s="190"/>
      <c r="F65" s="190"/>
      <c r="G65" s="190"/>
      <c r="H65" s="218">
        <v>0.0</v>
      </c>
      <c r="I65" s="121">
        <v>0.0</v>
      </c>
      <c r="J65" s="121">
        <v>0.0</v>
      </c>
      <c r="K65" s="121">
        <v>3.0</v>
      </c>
      <c r="L65" s="121">
        <v>0.0</v>
      </c>
      <c r="M65" s="121">
        <v>0.0</v>
      </c>
      <c r="N65" s="121">
        <v>0.0</v>
      </c>
      <c r="O65" s="121">
        <v>0.0</v>
      </c>
      <c r="P65" s="121">
        <v>0.0</v>
      </c>
      <c r="Q65" s="121">
        <v>0.0</v>
      </c>
      <c r="R65" s="121">
        <v>0.0</v>
      </c>
      <c r="S65" s="121">
        <v>0.0</v>
      </c>
      <c r="T65" s="121">
        <v>0.0</v>
      </c>
      <c r="U65" s="121">
        <v>0.0</v>
      </c>
      <c r="V65" s="121">
        <v>0.0</v>
      </c>
      <c r="W65" s="121">
        <v>0.0</v>
      </c>
      <c r="X65" s="121">
        <v>0.0</v>
      </c>
      <c r="Y65" s="121">
        <v>0.0</v>
      </c>
      <c r="Z65" s="121">
        <v>0.0</v>
      </c>
      <c r="AA65" s="121">
        <v>0.0</v>
      </c>
      <c r="AB65" s="121">
        <v>0.0</v>
      </c>
    </row>
    <row r="66" ht="15.75" customHeight="1">
      <c r="A66" s="121">
        <v>9.0</v>
      </c>
      <c r="B66" s="121">
        <v>840.0</v>
      </c>
      <c r="H66" s="218">
        <v>0.0</v>
      </c>
      <c r="I66" s="121">
        <v>0.0</v>
      </c>
      <c r="J66" s="121">
        <v>0.0</v>
      </c>
      <c r="K66" s="121">
        <v>0.0</v>
      </c>
      <c r="L66" s="121">
        <v>0.0</v>
      </c>
      <c r="M66" s="121">
        <v>1.0</v>
      </c>
      <c r="N66" s="121">
        <v>0.0</v>
      </c>
      <c r="O66" s="121">
        <v>0.0</v>
      </c>
      <c r="P66" s="121">
        <v>0.0</v>
      </c>
      <c r="Q66" s="121">
        <v>0.0</v>
      </c>
      <c r="R66" s="121">
        <v>0.0</v>
      </c>
      <c r="S66" s="121">
        <v>0.0</v>
      </c>
      <c r="T66" s="121">
        <v>0.0</v>
      </c>
      <c r="U66" s="121">
        <v>0.0</v>
      </c>
      <c r="V66" s="121">
        <v>0.0</v>
      </c>
      <c r="W66" s="121">
        <v>0.0</v>
      </c>
      <c r="X66" s="121">
        <v>0.0</v>
      </c>
      <c r="Y66" s="121">
        <v>0.0</v>
      </c>
      <c r="Z66" s="121">
        <v>0.0</v>
      </c>
      <c r="AA66" s="121">
        <v>0.0</v>
      </c>
      <c r="AB66" s="121">
        <v>0.0</v>
      </c>
    </row>
    <row r="67" ht="15.75" customHeight="1">
      <c r="A67" s="121">
        <v>10.0</v>
      </c>
      <c r="B67" s="121">
        <v>930.0</v>
      </c>
      <c r="C67" s="190"/>
      <c r="D67" s="190"/>
      <c r="E67" s="190"/>
      <c r="F67" s="190"/>
      <c r="G67" s="190"/>
      <c r="H67" s="218">
        <v>0.0</v>
      </c>
      <c r="I67" s="121">
        <v>0.0</v>
      </c>
      <c r="J67" s="121">
        <v>0.0</v>
      </c>
      <c r="K67" s="121">
        <v>0.0</v>
      </c>
      <c r="L67" s="121">
        <v>3.0</v>
      </c>
      <c r="M67" s="121">
        <v>0.0</v>
      </c>
      <c r="N67" s="121">
        <v>0.0</v>
      </c>
      <c r="O67" s="121">
        <v>0.0</v>
      </c>
      <c r="P67" s="121">
        <v>0.0</v>
      </c>
      <c r="Q67" s="121">
        <v>0.0</v>
      </c>
      <c r="R67" s="121">
        <v>0.0</v>
      </c>
      <c r="S67" s="121">
        <v>0.0</v>
      </c>
      <c r="T67" s="121">
        <v>0.0</v>
      </c>
      <c r="U67" s="121">
        <v>0.0</v>
      </c>
      <c r="V67" s="121">
        <v>0.0</v>
      </c>
      <c r="W67" s="121">
        <v>0.0</v>
      </c>
      <c r="X67" s="121">
        <v>0.0</v>
      </c>
      <c r="Y67" s="121">
        <v>0.0</v>
      </c>
      <c r="Z67" s="121">
        <v>0.0</v>
      </c>
      <c r="AA67" s="121">
        <v>0.0</v>
      </c>
      <c r="AB67" s="121">
        <v>0.0</v>
      </c>
    </row>
    <row r="68" ht="15.75" customHeight="1">
      <c r="A68" s="121">
        <v>11.0</v>
      </c>
      <c r="B68" s="121">
        <v>980.0</v>
      </c>
      <c r="H68" s="218">
        <v>0.0</v>
      </c>
      <c r="I68" s="121">
        <v>0.0</v>
      </c>
      <c r="J68" s="121">
        <v>0.0</v>
      </c>
      <c r="K68" s="121">
        <v>0.0</v>
      </c>
      <c r="L68" s="121">
        <v>0.0</v>
      </c>
      <c r="M68" s="121">
        <v>3.0</v>
      </c>
      <c r="N68" s="121">
        <v>0.0</v>
      </c>
      <c r="O68" s="121">
        <v>0.0</v>
      </c>
      <c r="P68" s="121">
        <v>0.0</v>
      </c>
      <c r="Q68" s="121">
        <v>0.0</v>
      </c>
      <c r="R68" s="121">
        <v>0.0</v>
      </c>
      <c r="S68" s="121">
        <v>0.0</v>
      </c>
      <c r="T68" s="121">
        <v>0.0</v>
      </c>
      <c r="U68" s="121">
        <v>0.0</v>
      </c>
      <c r="V68" s="121">
        <v>0.0</v>
      </c>
      <c r="W68" s="121">
        <v>0.0</v>
      </c>
      <c r="X68" s="121">
        <v>0.0</v>
      </c>
      <c r="Y68" s="121">
        <v>0.0</v>
      </c>
      <c r="Z68" s="121">
        <v>0.0</v>
      </c>
      <c r="AA68" s="121">
        <v>0.0</v>
      </c>
      <c r="AB68" s="121">
        <v>0.0</v>
      </c>
    </row>
    <row r="69" ht="15.75" customHeight="1">
      <c r="A69" s="121">
        <v>12.0</v>
      </c>
      <c r="B69" s="121">
        <v>840.0</v>
      </c>
      <c r="C69" s="190"/>
      <c r="D69" s="190"/>
      <c r="E69" s="190"/>
      <c r="F69" s="190"/>
      <c r="G69" s="190"/>
      <c r="H69" s="218">
        <v>0.0</v>
      </c>
      <c r="I69" s="121">
        <v>0.0</v>
      </c>
      <c r="J69" s="121">
        <v>0.0</v>
      </c>
      <c r="K69" s="121">
        <v>2.0</v>
      </c>
      <c r="L69" s="121">
        <v>0.0</v>
      </c>
      <c r="M69" s="121">
        <v>0.0</v>
      </c>
      <c r="N69" s="121">
        <v>0.0</v>
      </c>
      <c r="O69" s="121">
        <v>0.0</v>
      </c>
      <c r="P69" s="121">
        <v>0.0</v>
      </c>
      <c r="Q69" s="121">
        <v>0.0</v>
      </c>
      <c r="R69" s="121">
        <v>0.0</v>
      </c>
      <c r="S69" s="121">
        <v>0.0</v>
      </c>
      <c r="T69" s="121">
        <v>0.0</v>
      </c>
      <c r="U69" s="121">
        <v>0.0</v>
      </c>
      <c r="V69" s="121">
        <v>0.0</v>
      </c>
      <c r="W69" s="121">
        <v>0.0</v>
      </c>
      <c r="X69" s="121">
        <v>0.0</v>
      </c>
      <c r="Y69" s="121">
        <v>0.0</v>
      </c>
      <c r="Z69" s="121">
        <v>0.0</v>
      </c>
      <c r="AA69" s="121">
        <v>0.0</v>
      </c>
      <c r="AB69" s="121">
        <v>0.0</v>
      </c>
    </row>
    <row r="70" ht="15.75" customHeight="1">
      <c r="A70" s="121">
        <v>13.0</v>
      </c>
      <c r="B70" s="121">
        <v>1110.0</v>
      </c>
      <c r="H70" s="218">
        <v>0.0</v>
      </c>
      <c r="I70" s="121">
        <v>0.0</v>
      </c>
      <c r="J70" s="121">
        <v>0.0</v>
      </c>
      <c r="K70" s="121">
        <v>0.0</v>
      </c>
      <c r="L70" s="121">
        <v>0.0</v>
      </c>
      <c r="M70" s="121">
        <v>5.0</v>
      </c>
      <c r="N70" s="121">
        <v>0.0</v>
      </c>
      <c r="O70" s="121">
        <v>0.0</v>
      </c>
      <c r="P70" s="121">
        <v>0.0</v>
      </c>
      <c r="Q70" s="121">
        <v>0.0</v>
      </c>
      <c r="R70" s="121">
        <v>0.0</v>
      </c>
      <c r="S70" s="121">
        <v>0.0</v>
      </c>
      <c r="T70" s="121">
        <v>0.0</v>
      </c>
      <c r="U70" s="121">
        <v>0.0</v>
      </c>
      <c r="V70" s="121">
        <v>0.0</v>
      </c>
      <c r="W70" s="121">
        <v>0.0</v>
      </c>
      <c r="X70" s="121">
        <v>0.0</v>
      </c>
      <c r="Y70" s="121">
        <v>0.0</v>
      </c>
      <c r="Z70" s="121">
        <v>0.0</v>
      </c>
      <c r="AA70" s="121">
        <v>0.0</v>
      </c>
      <c r="AB70" s="121">
        <v>0.0</v>
      </c>
    </row>
    <row r="71" ht="15.75" customHeight="1">
      <c r="A71" s="121">
        <v>14.0</v>
      </c>
      <c r="B71" s="121">
        <v>830.0</v>
      </c>
      <c r="C71" s="190"/>
      <c r="D71" s="190"/>
      <c r="E71" s="190"/>
      <c r="F71" s="190"/>
      <c r="G71" s="190"/>
      <c r="H71" s="218">
        <v>50.0</v>
      </c>
      <c r="I71" s="121">
        <v>0.0</v>
      </c>
      <c r="J71" s="121">
        <v>0.0</v>
      </c>
      <c r="K71" s="121">
        <v>0.0</v>
      </c>
      <c r="L71" s="121">
        <v>0.0</v>
      </c>
      <c r="M71" s="121">
        <v>0.0</v>
      </c>
      <c r="N71" s="121">
        <v>0.0</v>
      </c>
      <c r="O71" s="121">
        <v>0.0</v>
      </c>
      <c r="P71" s="121">
        <v>0.0</v>
      </c>
      <c r="Q71" s="121">
        <v>0.0</v>
      </c>
      <c r="R71" s="121">
        <v>0.0</v>
      </c>
      <c r="S71" s="121">
        <v>0.0</v>
      </c>
      <c r="T71" s="121">
        <v>0.0</v>
      </c>
      <c r="U71" s="121">
        <v>0.0</v>
      </c>
      <c r="V71" s="121">
        <v>0.0</v>
      </c>
      <c r="W71" s="121">
        <v>0.0</v>
      </c>
      <c r="X71" s="121">
        <v>0.0</v>
      </c>
      <c r="Y71" s="121">
        <v>0.0</v>
      </c>
      <c r="Z71" s="121">
        <v>0.0</v>
      </c>
      <c r="AA71" s="121">
        <v>0.0</v>
      </c>
      <c r="AB71" s="121">
        <v>0.0</v>
      </c>
    </row>
    <row r="72" ht="15.75" customHeight="1">
      <c r="A72" s="121">
        <v>15.0</v>
      </c>
      <c r="B72" s="121">
        <v>880.0</v>
      </c>
      <c r="H72" s="218">
        <v>0.0</v>
      </c>
      <c r="I72" s="121">
        <v>0.0</v>
      </c>
      <c r="J72" s="121">
        <v>0.0</v>
      </c>
      <c r="K72" s="121">
        <v>0.0</v>
      </c>
      <c r="L72" s="121">
        <v>2.0</v>
      </c>
      <c r="M72" s="121">
        <v>0.0</v>
      </c>
      <c r="N72" s="121">
        <v>0.0</v>
      </c>
      <c r="O72" s="121">
        <v>0.0</v>
      </c>
      <c r="P72" s="121">
        <v>0.0</v>
      </c>
      <c r="Q72" s="121">
        <v>0.0</v>
      </c>
      <c r="R72" s="121">
        <v>0.0</v>
      </c>
      <c r="S72" s="121">
        <v>0.0</v>
      </c>
      <c r="T72" s="121">
        <v>0.0</v>
      </c>
      <c r="U72" s="121">
        <v>0.0</v>
      </c>
      <c r="V72" s="121">
        <v>0.0</v>
      </c>
      <c r="W72" s="121">
        <v>0.0</v>
      </c>
      <c r="X72" s="121">
        <v>0.0</v>
      </c>
      <c r="Y72" s="121">
        <v>0.0</v>
      </c>
      <c r="Z72" s="121">
        <v>0.0</v>
      </c>
      <c r="AA72" s="121">
        <v>0.0</v>
      </c>
      <c r="AB72" s="121">
        <v>0.0</v>
      </c>
    </row>
    <row r="73" ht="15.75" customHeight="1"/>
    <row r="74" ht="19.5" customHeight="1">
      <c r="A74" s="111" t="s">
        <v>276</v>
      </c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2"/>
    </row>
    <row r="75" ht="90.0" customHeight="1">
      <c r="A75" s="116" t="s">
        <v>274</v>
      </c>
      <c r="B75" s="116" t="s">
        <v>275</v>
      </c>
      <c r="H75" s="217" t="s">
        <v>82</v>
      </c>
      <c r="I75" s="119" t="s">
        <v>68</v>
      </c>
      <c r="J75" s="119" t="s">
        <v>103</v>
      </c>
      <c r="K75" s="119" t="s">
        <v>69</v>
      </c>
      <c r="L75" s="119" t="s">
        <v>70</v>
      </c>
      <c r="M75" s="119" t="s">
        <v>71</v>
      </c>
      <c r="N75" s="119" t="s">
        <v>72</v>
      </c>
      <c r="O75" s="119" t="s">
        <v>73</v>
      </c>
      <c r="P75" s="119" t="s">
        <v>74</v>
      </c>
      <c r="Q75" s="119" t="s">
        <v>75</v>
      </c>
      <c r="R75" s="119" t="s">
        <v>76</v>
      </c>
      <c r="S75" s="119" t="s">
        <v>77</v>
      </c>
      <c r="T75" s="119" t="s">
        <v>78</v>
      </c>
      <c r="U75" s="119" t="s">
        <v>118</v>
      </c>
      <c r="V75" s="119" t="s">
        <v>104</v>
      </c>
      <c r="W75" s="119" t="s">
        <v>105</v>
      </c>
      <c r="X75" s="119" t="s">
        <v>106</v>
      </c>
      <c r="Y75" s="119" t="s">
        <v>107</v>
      </c>
      <c r="Z75" s="119" t="s">
        <v>108</v>
      </c>
      <c r="AA75" s="119" t="s">
        <v>109</v>
      </c>
      <c r="AB75" s="119" t="s">
        <v>110</v>
      </c>
    </row>
    <row r="76" ht="15.75" customHeight="1">
      <c r="A76" s="121">
        <v>1.0</v>
      </c>
      <c r="B76" s="121">
        <v>830.0</v>
      </c>
      <c r="H76" s="218">
        <v>0.0</v>
      </c>
      <c r="I76" s="121">
        <v>0.0</v>
      </c>
      <c r="J76" s="121">
        <v>0.0</v>
      </c>
      <c r="K76" s="121">
        <v>0.0</v>
      </c>
      <c r="L76" s="121">
        <v>0.0</v>
      </c>
      <c r="M76" s="121">
        <v>0.0</v>
      </c>
      <c r="N76" s="121">
        <v>1.0</v>
      </c>
      <c r="O76" s="121">
        <v>0.0</v>
      </c>
      <c r="P76" s="121">
        <v>0.0</v>
      </c>
      <c r="Q76" s="121">
        <v>0.0</v>
      </c>
      <c r="R76" s="121">
        <v>0.0</v>
      </c>
      <c r="S76" s="121">
        <v>0.0</v>
      </c>
      <c r="T76" s="121">
        <v>0.0</v>
      </c>
      <c r="U76" s="121">
        <v>0.0</v>
      </c>
      <c r="V76" s="121">
        <v>0.0</v>
      </c>
      <c r="W76" s="121">
        <v>0.0</v>
      </c>
      <c r="X76" s="121">
        <v>0.0</v>
      </c>
      <c r="Y76" s="121">
        <v>0.0</v>
      </c>
      <c r="Z76" s="121">
        <v>0.0</v>
      </c>
      <c r="AA76" s="121">
        <v>0.0</v>
      </c>
      <c r="AB76" s="121">
        <v>0.0</v>
      </c>
    </row>
    <row r="77" ht="15.75" customHeight="1">
      <c r="A77" s="121">
        <v>2.0</v>
      </c>
      <c r="B77" s="121">
        <v>800.0</v>
      </c>
      <c r="C77" s="190"/>
      <c r="D77" s="190"/>
      <c r="E77" s="190"/>
      <c r="F77" s="190"/>
      <c r="G77" s="190"/>
      <c r="H77" s="218">
        <v>25.0</v>
      </c>
      <c r="I77" s="121">
        <v>0.0</v>
      </c>
      <c r="J77" s="121">
        <v>0.0</v>
      </c>
      <c r="K77" s="121">
        <v>0.0</v>
      </c>
      <c r="L77" s="121">
        <v>0.0</v>
      </c>
      <c r="M77" s="121">
        <v>0.0</v>
      </c>
      <c r="N77" s="121">
        <v>0.0</v>
      </c>
      <c r="O77" s="121">
        <v>0.0</v>
      </c>
      <c r="P77" s="121">
        <v>0.0</v>
      </c>
      <c r="Q77" s="121">
        <v>0.0</v>
      </c>
      <c r="R77" s="121">
        <v>0.0</v>
      </c>
      <c r="S77" s="121">
        <v>0.0</v>
      </c>
      <c r="T77" s="121">
        <v>0.0</v>
      </c>
      <c r="U77" s="121">
        <v>0.0</v>
      </c>
      <c r="V77" s="121">
        <v>0.0</v>
      </c>
      <c r="W77" s="121">
        <v>0.0</v>
      </c>
      <c r="X77" s="121">
        <v>0.0</v>
      </c>
      <c r="Y77" s="121">
        <v>0.0</v>
      </c>
      <c r="Z77" s="121">
        <v>0.0</v>
      </c>
      <c r="AA77" s="121">
        <v>0.0</v>
      </c>
      <c r="AB77" s="121">
        <v>0.0</v>
      </c>
    </row>
    <row r="78" ht="15.75" customHeight="1">
      <c r="A78" s="121">
        <v>3.0</v>
      </c>
      <c r="B78" s="121">
        <v>910.0</v>
      </c>
      <c r="H78" s="218">
        <v>0.0</v>
      </c>
      <c r="I78" s="121">
        <v>0.0</v>
      </c>
      <c r="J78" s="121">
        <v>0.0</v>
      </c>
      <c r="K78" s="121">
        <v>0.0</v>
      </c>
      <c r="L78" s="121">
        <v>0.0</v>
      </c>
      <c r="M78" s="121">
        <v>0.0</v>
      </c>
      <c r="N78" s="121">
        <v>0.0</v>
      </c>
      <c r="O78" s="121">
        <v>2.0</v>
      </c>
      <c r="P78" s="121">
        <v>0.0</v>
      </c>
      <c r="Q78" s="121">
        <v>0.0</v>
      </c>
      <c r="R78" s="121">
        <v>0.0</v>
      </c>
      <c r="S78" s="121">
        <v>0.0</v>
      </c>
      <c r="T78" s="121">
        <v>0.0</v>
      </c>
      <c r="U78" s="121">
        <v>0.0</v>
      </c>
      <c r="V78" s="121">
        <v>0.0</v>
      </c>
      <c r="W78" s="121">
        <v>0.0</v>
      </c>
      <c r="X78" s="121">
        <v>0.0</v>
      </c>
      <c r="Y78" s="121">
        <v>0.0</v>
      </c>
      <c r="Z78" s="121">
        <v>0.0</v>
      </c>
      <c r="AA78" s="121">
        <v>0.0</v>
      </c>
      <c r="AB78" s="121">
        <v>0.0</v>
      </c>
    </row>
    <row r="79" ht="15.75" customHeight="1">
      <c r="A79" s="121">
        <v>4.0</v>
      </c>
      <c r="B79" s="121">
        <v>940.0</v>
      </c>
      <c r="C79" s="190"/>
      <c r="D79" s="190"/>
      <c r="E79" s="190"/>
      <c r="F79" s="190"/>
      <c r="G79" s="190"/>
      <c r="H79" s="218">
        <v>0.0</v>
      </c>
      <c r="I79" s="121">
        <v>0.0</v>
      </c>
      <c r="J79" s="121">
        <v>0.0</v>
      </c>
      <c r="K79" s="121">
        <v>0.0</v>
      </c>
      <c r="L79" s="121">
        <v>0.0</v>
      </c>
      <c r="M79" s="121">
        <v>0.0</v>
      </c>
      <c r="N79" s="121">
        <v>0.0</v>
      </c>
      <c r="O79" s="121">
        <v>0.0</v>
      </c>
      <c r="P79" s="121">
        <v>1.0</v>
      </c>
      <c r="Q79" s="121">
        <v>0.0</v>
      </c>
      <c r="R79" s="121">
        <v>0.0</v>
      </c>
      <c r="S79" s="121">
        <v>0.0</v>
      </c>
      <c r="T79" s="121">
        <v>0.0</v>
      </c>
      <c r="U79" s="121">
        <v>0.0</v>
      </c>
      <c r="V79" s="121">
        <v>0.0</v>
      </c>
      <c r="W79" s="121">
        <v>0.0</v>
      </c>
      <c r="X79" s="121">
        <v>0.0</v>
      </c>
      <c r="Y79" s="121">
        <v>0.0</v>
      </c>
      <c r="Z79" s="121">
        <v>0.0</v>
      </c>
      <c r="AA79" s="121">
        <v>0.0</v>
      </c>
      <c r="AB79" s="121">
        <v>0.0</v>
      </c>
    </row>
    <row r="80" ht="15.75" customHeight="1">
      <c r="A80" s="121">
        <v>5.0</v>
      </c>
      <c r="B80" s="121">
        <v>910.0</v>
      </c>
      <c r="H80" s="218">
        <v>0.0</v>
      </c>
      <c r="I80" s="121">
        <v>0.0</v>
      </c>
      <c r="J80" s="121">
        <v>0.0</v>
      </c>
      <c r="K80" s="121">
        <v>0.0</v>
      </c>
      <c r="L80" s="121">
        <v>0.0</v>
      </c>
      <c r="M80" s="121">
        <v>0.0</v>
      </c>
      <c r="N80" s="121">
        <v>0.0</v>
      </c>
      <c r="O80" s="121">
        <v>2.0</v>
      </c>
      <c r="P80" s="121">
        <v>0.0</v>
      </c>
      <c r="Q80" s="121">
        <v>0.0</v>
      </c>
      <c r="R80" s="121">
        <v>0.0</v>
      </c>
      <c r="S80" s="121">
        <v>0.0</v>
      </c>
      <c r="T80" s="121">
        <v>0.0</v>
      </c>
      <c r="U80" s="121">
        <v>0.0</v>
      </c>
      <c r="V80" s="121">
        <v>0.0</v>
      </c>
      <c r="W80" s="121">
        <v>0.0</v>
      </c>
      <c r="X80" s="121">
        <v>0.0</v>
      </c>
      <c r="Y80" s="121">
        <v>0.0</v>
      </c>
      <c r="Z80" s="121">
        <v>0.0</v>
      </c>
      <c r="AA80" s="121">
        <v>0.0</v>
      </c>
      <c r="AB80" s="121">
        <v>0.0</v>
      </c>
    </row>
    <row r="81" ht="15.75" customHeight="1">
      <c r="A81" s="121">
        <v>6.0</v>
      </c>
      <c r="B81" s="121">
        <v>880.0</v>
      </c>
      <c r="C81" s="190"/>
      <c r="D81" s="190"/>
      <c r="E81" s="190"/>
      <c r="F81" s="190"/>
      <c r="G81" s="190"/>
      <c r="H81" s="218">
        <v>0.0</v>
      </c>
      <c r="I81" s="121">
        <v>0.0</v>
      </c>
      <c r="J81" s="121">
        <v>0.0</v>
      </c>
      <c r="K81" s="121">
        <v>0.0</v>
      </c>
      <c r="L81" s="121">
        <v>0.0</v>
      </c>
      <c r="M81" s="121">
        <v>0.0</v>
      </c>
      <c r="N81" s="121">
        <v>2.0</v>
      </c>
      <c r="O81" s="121">
        <v>0.0</v>
      </c>
      <c r="P81" s="121">
        <v>0.0</v>
      </c>
      <c r="Q81" s="121">
        <v>0.0</v>
      </c>
      <c r="R81" s="121">
        <v>0.0</v>
      </c>
      <c r="S81" s="121">
        <v>0.0</v>
      </c>
      <c r="T81" s="121">
        <v>0.0</v>
      </c>
      <c r="U81" s="121">
        <v>0.0</v>
      </c>
      <c r="V81" s="121">
        <v>0.0</v>
      </c>
      <c r="W81" s="121">
        <v>0.0</v>
      </c>
      <c r="X81" s="121">
        <v>0.0</v>
      </c>
      <c r="Y81" s="121">
        <v>0.0</v>
      </c>
      <c r="Z81" s="121">
        <v>0.0</v>
      </c>
      <c r="AA81" s="121">
        <v>0.0</v>
      </c>
      <c r="AB81" s="121">
        <v>0.0</v>
      </c>
    </row>
    <row r="82" ht="15.75" customHeight="1">
      <c r="A82" s="121">
        <v>7.0</v>
      </c>
      <c r="B82" s="121">
        <v>940.0</v>
      </c>
      <c r="H82" s="218">
        <v>0.0</v>
      </c>
      <c r="I82" s="121">
        <v>0.0</v>
      </c>
      <c r="J82" s="121">
        <v>0.0</v>
      </c>
      <c r="K82" s="121">
        <v>0.0</v>
      </c>
      <c r="L82" s="121">
        <v>0.0</v>
      </c>
      <c r="M82" s="121">
        <v>0.0</v>
      </c>
      <c r="N82" s="121">
        <v>0.0</v>
      </c>
      <c r="O82" s="121">
        <v>0.0</v>
      </c>
      <c r="P82" s="121">
        <v>1.0</v>
      </c>
      <c r="Q82" s="121">
        <v>0.0</v>
      </c>
      <c r="R82" s="121">
        <v>0.0</v>
      </c>
      <c r="S82" s="121">
        <v>0.0</v>
      </c>
      <c r="T82" s="121">
        <v>0.0</v>
      </c>
      <c r="U82" s="121">
        <v>0.0</v>
      </c>
      <c r="V82" s="121">
        <v>0.0</v>
      </c>
      <c r="W82" s="121">
        <v>0.0</v>
      </c>
      <c r="X82" s="121">
        <v>0.0</v>
      </c>
      <c r="Y82" s="121">
        <v>0.0</v>
      </c>
      <c r="Z82" s="121">
        <v>0.0</v>
      </c>
      <c r="AA82" s="121">
        <v>0.0</v>
      </c>
      <c r="AB82" s="121">
        <v>0.0</v>
      </c>
    </row>
    <row r="83" ht="15.75" customHeight="1">
      <c r="A83" s="121">
        <v>8.0</v>
      </c>
      <c r="B83" s="121">
        <v>980.0</v>
      </c>
      <c r="C83" s="190"/>
      <c r="D83" s="190"/>
      <c r="E83" s="190"/>
      <c r="F83" s="190"/>
      <c r="G83" s="190"/>
      <c r="H83" s="218">
        <v>0.0</v>
      </c>
      <c r="I83" s="121">
        <v>0.0</v>
      </c>
      <c r="J83" s="121">
        <v>0.0</v>
      </c>
      <c r="K83" s="121">
        <v>0.0</v>
      </c>
      <c r="L83" s="121">
        <v>0.0</v>
      </c>
      <c r="M83" s="121">
        <v>0.0</v>
      </c>
      <c r="N83" s="121">
        <v>0.0</v>
      </c>
      <c r="O83" s="121">
        <v>3.0</v>
      </c>
      <c r="P83" s="121">
        <v>0.0</v>
      </c>
      <c r="Q83" s="121">
        <v>0.0</v>
      </c>
      <c r="R83" s="121">
        <v>0.0</v>
      </c>
      <c r="S83" s="121">
        <v>0.0</v>
      </c>
      <c r="T83" s="121">
        <v>0.0</v>
      </c>
      <c r="U83" s="121">
        <v>0.0</v>
      </c>
      <c r="V83" s="121">
        <v>0.0</v>
      </c>
      <c r="W83" s="121">
        <v>0.0</v>
      </c>
      <c r="X83" s="121">
        <v>0.0</v>
      </c>
      <c r="Y83" s="121">
        <v>0.0</v>
      </c>
      <c r="Z83" s="121">
        <v>0.0</v>
      </c>
      <c r="AA83" s="121">
        <v>0.0</v>
      </c>
      <c r="AB83" s="121">
        <v>0.0</v>
      </c>
    </row>
    <row r="84" ht="15.75" customHeight="1">
      <c r="A84" s="121">
        <v>9.0</v>
      </c>
      <c r="B84" s="121">
        <v>830.0</v>
      </c>
      <c r="H84" s="218">
        <v>0.0</v>
      </c>
      <c r="I84" s="121">
        <v>0.0</v>
      </c>
      <c r="J84" s="121">
        <v>0.0</v>
      </c>
      <c r="K84" s="121">
        <v>0.0</v>
      </c>
      <c r="L84" s="121">
        <v>0.0</v>
      </c>
      <c r="M84" s="121">
        <v>0.0</v>
      </c>
      <c r="N84" s="121">
        <v>1.0</v>
      </c>
      <c r="O84" s="121">
        <v>0.0</v>
      </c>
      <c r="P84" s="121">
        <v>0.0</v>
      </c>
      <c r="Q84" s="121">
        <v>0.0</v>
      </c>
      <c r="R84" s="121">
        <v>0.0</v>
      </c>
      <c r="S84" s="121">
        <v>0.0</v>
      </c>
      <c r="T84" s="121">
        <v>0.0</v>
      </c>
      <c r="U84" s="121">
        <v>0.0</v>
      </c>
      <c r="V84" s="121">
        <v>0.0</v>
      </c>
      <c r="W84" s="121">
        <v>0.0</v>
      </c>
      <c r="X84" s="121">
        <v>0.0</v>
      </c>
      <c r="Y84" s="121">
        <v>0.0</v>
      </c>
      <c r="Z84" s="121">
        <v>0.0</v>
      </c>
      <c r="AA84" s="121">
        <v>0.0</v>
      </c>
      <c r="AB84" s="121">
        <v>0.0</v>
      </c>
    </row>
    <row r="85" ht="15.75" customHeight="1">
      <c r="A85" s="121">
        <v>10.0</v>
      </c>
      <c r="B85" s="121">
        <v>810.0</v>
      </c>
      <c r="C85" s="190"/>
      <c r="D85" s="190"/>
      <c r="E85" s="190"/>
      <c r="F85" s="190"/>
      <c r="G85" s="190"/>
      <c r="H85" s="218">
        <v>35.0</v>
      </c>
      <c r="I85" s="121">
        <v>0.0</v>
      </c>
      <c r="J85" s="121">
        <v>0.0</v>
      </c>
      <c r="K85" s="121">
        <v>0.0</v>
      </c>
      <c r="L85" s="121">
        <v>0.0</v>
      </c>
      <c r="M85" s="121">
        <v>0.0</v>
      </c>
      <c r="N85" s="121">
        <v>0.0</v>
      </c>
      <c r="O85" s="121">
        <v>0.0</v>
      </c>
      <c r="P85" s="121">
        <v>0.0</v>
      </c>
      <c r="Q85" s="121">
        <v>0.0</v>
      </c>
      <c r="R85" s="121">
        <v>0.0</v>
      </c>
      <c r="S85" s="121">
        <v>0.0</v>
      </c>
      <c r="T85" s="121">
        <v>0.0</v>
      </c>
      <c r="U85" s="121">
        <v>0.0</v>
      </c>
      <c r="V85" s="121">
        <v>0.0</v>
      </c>
      <c r="W85" s="121">
        <v>0.0</v>
      </c>
      <c r="X85" s="121">
        <v>0.0</v>
      </c>
      <c r="Y85" s="121">
        <v>0.0</v>
      </c>
      <c r="Z85" s="121">
        <v>0.0</v>
      </c>
      <c r="AA85" s="121">
        <v>0.0</v>
      </c>
      <c r="AB85" s="121">
        <v>0.0</v>
      </c>
    </row>
    <row r="86" ht="15.75" customHeight="1">
      <c r="A86" s="121">
        <v>11.0</v>
      </c>
      <c r="B86" s="121">
        <v>1110.0</v>
      </c>
      <c r="H86" s="218">
        <v>0.0</v>
      </c>
      <c r="I86" s="121">
        <v>0.0</v>
      </c>
      <c r="J86" s="121">
        <v>0.0</v>
      </c>
      <c r="K86" s="121">
        <v>0.0</v>
      </c>
      <c r="L86" s="121">
        <v>0.0</v>
      </c>
      <c r="M86" s="121">
        <v>0.0</v>
      </c>
      <c r="N86" s="121">
        <v>0.0</v>
      </c>
      <c r="O86" s="121">
        <v>0.0</v>
      </c>
      <c r="P86" s="121">
        <v>2.0</v>
      </c>
      <c r="Q86" s="121">
        <v>0.0</v>
      </c>
      <c r="R86" s="121">
        <v>0.0</v>
      </c>
      <c r="S86" s="121">
        <v>0.0</v>
      </c>
      <c r="T86" s="121">
        <v>0.0</v>
      </c>
      <c r="U86" s="121">
        <v>0.0</v>
      </c>
      <c r="V86" s="121">
        <v>0.0</v>
      </c>
      <c r="W86" s="121">
        <v>0.0</v>
      </c>
      <c r="X86" s="121">
        <v>0.0</v>
      </c>
      <c r="Y86" s="121">
        <v>0.0</v>
      </c>
      <c r="Z86" s="121">
        <v>0.0</v>
      </c>
      <c r="AA86" s="121">
        <v>0.0</v>
      </c>
      <c r="AB86" s="121">
        <v>0.0</v>
      </c>
    </row>
    <row r="87" ht="15.75" customHeight="1">
      <c r="A87" s="121">
        <v>12.0</v>
      </c>
      <c r="B87" s="121">
        <v>880.0</v>
      </c>
      <c r="C87" s="190"/>
      <c r="D87" s="190"/>
      <c r="E87" s="190"/>
      <c r="F87" s="190"/>
      <c r="G87" s="190"/>
      <c r="H87" s="218">
        <v>0.0</v>
      </c>
      <c r="I87" s="121">
        <v>0.0</v>
      </c>
      <c r="J87" s="121">
        <v>0.0</v>
      </c>
      <c r="K87" s="121">
        <v>0.0</v>
      </c>
      <c r="L87" s="121">
        <v>0.0</v>
      </c>
      <c r="M87" s="121">
        <v>0.0</v>
      </c>
      <c r="N87" s="121">
        <v>2.0</v>
      </c>
      <c r="O87" s="121">
        <v>0.0</v>
      </c>
      <c r="P87" s="121">
        <v>0.0</v>
      </c>
      <c r="Q87" s="121">
        <v>0.0</v>
      </c>
      <c r="R87" s="121">
        <v>0.0</v>
      </c>
      <c r="S87" s="121">
        <v>0.0</v>
      </c>
      <c r="T87" s="121">
        <v>0.0</v>
      </c>
      <c r="U87" s="121">
        <v>0.0</v>
      </c>
      <c r="V87" s="121">
        <v>0.0</v>
      </c>
      <c r="W87" s="121">
        <v>0.0</v>
      </c>
      <c r="X87" s="121">
        <v>0.0</v>
      </c>
      <c r="Y87" s="121">
        <v>0.0</v>
      </c>
      <c r="Z87" s="121">
        <v>0.0</v>
      </c>
      <c r="AA87" s="121">
        <v>0.0</v>
      </c>
      <c r="AB87" s="121">
        <v>0.0</v>
      </c>
    </row>
    <row r="88" ht="15.75" customHeight="1">
      <c r="A88" s="121">
        <v>13.0</v>
      </c>
      <c r="B88" s="121">
        <v>910.0</v>
      </c>
      <c r="H88" s="218">
        <v>0.0</v>
      </c>
      <c r="I88" s="121">
        <v>0.0</v>
      </c>
      <c r="J88" s="121">
        <v>0.0</v>
      </c>
      <c r="K88" s="121">
        <v>0.0</v>
      </c>
      <c r="L88" s="121">
        <v>0.0</v>
      </c>
      <c r="M88" s="121">
        <v>0.0</v>
      </c>
      <c r="N88" s="121">
        <v>0.0</v>
      </c>
      <c r="O88" s="121">
        <v>2.0</v>
      </c>
      <c r="P88" s="121">
        <v>0.0</v>
      </c>
      <c r="Q88" s="121">
        <v>0.0</v>
      </c>
      <c r="R88" s="121">
        <v>0.0</v>
      </c>
      <c r="S88" s="121">
        <v>0.0</v>
      </c>
      <c r="T88" s="121">
        <v>0.0</v>
      </c>
      <c r="U88" s="121">
        <v>0.0</v>
      </c>
      <c r="V88" s="121">
        <v>0.0</v>
      </c>
      <c r="W88" s="121">
        <v>0.0</v>
      </c>
      <c r="X88" s="121">
        <v>0.0</v>
      </c>
      <c r="Y88" s="121">
        <v>0.0</v>
      </c>
      <c r="Z88" s="121">
        <v>0.0</v>
      </c>
      <c r="AA88" s="121">
        <v>0.0</v>
      </c>
      <c r="AB88" s="121">
        <v>0.0</v>
      </c>
    </row>
    <row r="89" ht="15.75" customHeight="1">
      <c r="A89" s="121">
        <v>14.0</v>
      </c>
      <c r="B89" s="121">
        <v>1110.0</v>
      </c>
      <c r="C89" s="190"/>
      <c r="D89" s="190"/>
      <c r="E89" s="190"/>
      <c r="F89" s="190"/>
      <c r="G89" s="190"/>
      <c r="H89" s="218">
        <v>0.0</v>
      </c>
      <c r="I89" s="121">
        <v>0.0</v>
      </c>
      <c r="J89" s="121">
        <v>0.0</v>
      </c>
      <c r="K89" s="121">
        <v>0.0</v>
      </c>
      <c r="L89" s="121">
        <v>0.0</v>
      </c>
      <c r="M89" s="121">
        <v>0.0</v>
      </c>
      <c r="N89" s="121">
        <v>0.0</v>
      </c>
      <c r="O89" s="121">
        <v>0.0</v>
      </c>
      <c r="P89" s="121">
        <v>2.0</v>
      </c>
      <c r="Q89" s="121">
        <v>0.0</v>
      </c>
      <c r="R89" s="121">
        <v>0.0</v>
      </c>
      <c r="S89" s="121">
        <v>0.0</v>
      </c>
      <c r="T89" s="121">
        <v>0.0</v>
      </c>
      <c r="U89" s="121">
        <v>0.0</v>
      </c>
      <c r="V89" s="121">
        <v>0.0</v>
      </c>
      <c r="W89" s="121">
        <v>0.0</v>
      </c>
      <c r="X89" s="121">
        <v>0.0</v>
      </c>
      <c r="Y89" s="121">
        <v>0.0</v>
      </c>
      <c r="Z89" s="121">
        <v>0.0</v>
      </c>
      <c r="AA89" s="121">
        <v>0.0</v>
      </c>
      <c r="AB89" s="121">
        <v>0.0</v>
      </c>
    </row>
    <row r="90" ht="15.75" customHeight="1">
      <c r="A90" s="121">
        <v>15.0</v>
      </c>
      <c r="B90" s="121">
        <v>840.0</v>
      </c>
      <c r="H90" s="218">
        <v>0.0</v>
      </c>
      <c r="I90" s="121">
        <v>0.0</v>
      </c>
      <c r="J90" s="121">
        <v>0.0</v>
      </c>
      <c r="K90" s="121">
        <v>0.0</v>
      </c>
      <c r="L90" s="121">
        <v>0.0</v>
      </c>
      <c r="M90" s="121">
        <v>0.0</v>
      </c>
      <c r="N90" s="121">
        <v>0.0</v>
      </c>
      <c r="O90" s="121">
        <v>1.0</v>
      </c>
      <c r="P90" s="121">
        <v>0.0</v>
      </c>
      <c r="Q90" s="121">
        <v>0.0</v>
      </c>
      <c r="R90" s="121">
        <v>0.0</v>
      </c>
      <c r="S90" s="121">
        <v>0.0</v>
      </c>
      <c r="T90" s="121">
        <v>0.0</v>
      </c>
      <c r="U90" s="121">
        <v>0.0</v>
      </c>
      <c r="V90" s="121">
        <v>0.0</v>
      </c>
      <c r="W90" s="121">
        <v>0.0</v>
      </c>
      <c r="X90" s="121">
        <v>0.0</v>
      </c>
      <c r="Y90" s="121">
        <v>0.0</v>
      </c>
      <c r="Z90" s="121">
        <v>0.0</v>
      </c>
      <c r="AA90" s="121">
        <v>0.0</v>
      </c>
      <c r="AB90" s="121">
        <v>0.0</v>
      </c>
    </row>
    <row r="91" ht="15.75" customHeight="1"/>
    <row r="92" ht="19.5" customHeight="1">
      <c r="A92" s="111" t="s">
        <v>277</v>
      </c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</row>
    <row r="93" ht="90.0" customHeight="1">
      <c r="A93" s="116" t="s">
        <v>274</v>
      </c>
      <c r="B93" s="116" t="s">
        <v>275</v>
      </c>
      <c r="H93" s="217" t="s">
        <v>82</v>
      </c>
      <c r="I93" s="119" t="s">
        <v>68</v>
      </c>
      <c r="J93" s="119" t="s">
        <v>103</v>
      </c>
      <c r="K93" s="119" t="s">
        <v>69</v>
      </c>
      <c r="L93" s="119" t="s">
        <v>70</v>
      </c>
      <c r="M93" s="119" t="s">
        <v>71</v>
      </c>
      <c r="N93" s="119" t="s">
        <v>72</v>
      </c>
      <c r="O93" s="119" t="s">
        <v>73</v>
      </c>
      <c r="P93" s="119" t="s">
        <v>74</v>
      </c>
      <c r="Q93" s="119" t="s">
        <v>75</v>
      </c>
      <c r="R93" s="119" t="s">
        <v>76</v>
      </c>
      <c r="S93" s="119" t="s">
        <v>77</v>
      </c>
      <c r="T93" s="119" t="s">
        <v>78</v>
      </c>
      <c r="U93" s="119" t="s">
        <v>118</v>
      </c>
      <c r="V93" s="119" t="s">
        <v>104</v>
      </c>
      <c r="W93" s="119" t="s">
        <v>105</v>
      </c>
      <c r="X93" s="119" t="s">
        <v>106</v>
      </c>
      <c r="Y93" s="119" t="s">
        <v>107</v>
      </c>
      <c r="Z93" s="119" t="s">
        <v>108</v>
      </c>
      <c r="AA93" s="119" t="s">
        <v>109</v>
      </c>
      <c r="AB93" s="119" t="s">
        <v>110</v>
      </c>
    </row>
    <row r="94" ht="15.75" customHeight="1">
      <c r="A94" s="121">
        <v>1.0</v>
      </c>
      <c r="B94" s="121">
        <v>940.0</v>
      </c>
      <c r="H94" s="218">
        <v>0.0</v>
      </c>
      <c r="I94" s="121">
        <v>0.0</v>
      </c>
      <c r="J94" s="121">
        <v>0.0</v>
      </c>
      <c r="K94" s="121">
        <v>0.0</v>
      </c>
      <c r="L94" s="121">
        <v>0.0</v>
      </c>
      <c r="M94" s="121">
        <v>0.0</v>
      </c>
      <c r="N94" s="121">
        <v>0.0</v>
      </c>
      <c r="O94" s="121">
        <v>0.0</v>
      </c>
      <c r="P94" s="121">
        <v>0.0</v>
      </c>
      <c r="Q94" s="121">
        <v>0.0</v>
      </c>
      <c r="R94" s="121">
        <v>0.0</v>
      </c>
      <c r="S94" s="121">
        <v>10.0</v>
      </c>
      <c r="T94" s="121">
        <v>0.0</v>
      </c>
      <c r="U94" s="121">
        <v>0.0</v>
      </c>
      <c r="V94" s="121">
        <v>0.0</v>
      </c>
      <c r="W94" s="121">
        <v>0.0</v>
      </c>
      <c r="X94" s="121">
        <v>0.0</v>
      </c>
      <c r="Y94" s="121">
        <v>0.0</v>
      </c>
      <c r="Z94" s="121">
        <v>0.0</v>
      </c>
      <c r="AA94" s="121">
        <v>0.0</v>
      </c>
      <c r="AB94" s="121">
        <v>0.0</v>
      </c>
    </row>
    <row r="95" ht="15.75" customHeight="1">
      <c r="A95" s="121">
        <v>2.0</v>
      </c>
      <c r="B95" s="121">
        <v>950.0</v>
      </c>
      <c r="C95" s="190"/>
      <c r="D95" s="190"/>
      <c r="E95" s="190"/>
      <c r="F95" s="190"/>
      <c r="G95" s="190"/>
      <c r="H95" s="218">
        <v>0.0</v>
      </c>
      <c r="I95" s="121">
        <v>0.0</v>
      </c>
      <c r="J95" s="121">
        <v>0.0</v>
      </c>
      <c r="K95" s="121">
        <v>0.0</v>
      </c>
      <c r="L95" s="121">
        <v>0.0</v>
      </c>
      <c r="M95" s="121">
        <v>0.0</v>
      </c>
      <c r="N95" s="121">
        <v>0.0</v>
      </c>
      <c r="O95" s="121">
        <v>0.0</v>
      </c>
      <c r="P95" s="121">
        <v>0.0</v>
      </c>
      <c r="Q95" s="121">
        <v>0.0</v>
      </c>
      <c r="R95" s="121">
        <v>0.0</v>
      </c>
      <c r="S95" s="121">
        <v>0.0</v>
      </c>
      <c r="T95" s="121">
        <v>10.0</v>
      </c>
      <c r="U95" s="121">
        <v>0.0</v>
      </c>
      <c r="V95" s="121">
        <v>0.0</v>
      </c>
      <c r="W95" s="121">
        <v>0.0</v>
      </c>
      <c r="X95" s="121">
        <v>0.0</v>
      </c>
      <c r="Y95" s="121">
        <v>0.0</v>
      </c>
      <c r="Z95" s="121">
        <v>0.0</v>
      </c>
      <c r="AA95" s="121">
        <v>0.0</v>
      </c>
      <c r="AB95" s="121">
        <v>0.0</v>
      </c>
    </row>
    <row r="96" ht="15.75" customHeight="1">
      <c r="A96" s="121">
        <v>3.0</v>
      </c>
      <c r="B96" s="121">
        <v>840.0</v>
      </c>
      <c r="H96" s="218">
        <v>0.0</v>
      </c>
      <c r="I96" s="121">
        <v>0.0</v>
      </c>
      <c r="J96" s="121">
        <v>0.0</v>
      </c>
      <c r="K96" s="121">
        <v>0.0</v>
      </c>
      <c r="L96" s="121">
        <v>0.0</v>
      </c>
      <c r="M96" s="121">
        <v>0.0</v>
      </c>
      <c r="N96" s="121">
        <v>0.0</v>
      </c>
      <c r="O96" s="121">
        <v>0.0</v>
      </c>
      <c r="P96" s="121">
        <v>0.0</v>
      </c>
      <c r="Q96" s="121">
        <v>15.0</v>
      </c>
      <c r="R96" s="121">
        <v>0.0</v>
      </c>
      <c r="S96" s="121">
        <v>0.0</v>
      </c>
      <c r="T96" s="121">
        <v>0.0</v>
      </c>
      <c r="U96" s="121">
        <v>0.0</v>
      </c>
      <c r="V96" s="121">
        <v>0.0</v>
      </c>
      <c r="W96" s="121">
        <v>0.0</v>
      </c>
      <c r="X96" s="121">
        <v>0.0</v>
      </c>
      <c r="Y96" s="121">
        <v>0.0</v>
      </c>
      <c r="Z96" s="121">
        <v>0.0</v>
      </c>
      <c r="AA96" s="121">
        <v>0.0</v>
      </c>
      <c r="AB96" s="121">
        <v>0.0</v>
      </c>
    </row>
    <row r="97" ht="15.75" customHeight="1">
      <c r="A97" s="121">
        <v>4.0</v>
      </c>
      <c r="B97" s="121">
        <v>940.0</v>
      </c>
      <c r="C97" s="190"/>
      <c r="D97" s="190"/>
      <c r="E97" s="190"/>
      <c r="F97" s="190"/>
      <c r="G97" s="190"/>
      <c r="H97" s="218">
        <v>0.0</v>
      </c>
      <c r="I97" s="121">
        <v>0.0</v>
      </c>
      <c r="J97" s="121">
        <v>0.0</v>
      </c>
      <c r="K97" s="121">
        <v>0.0</v>
      </c>
      <c r="L97" s="121">
        <v>0.0</v>
      </c>
      <c r="M97" s="121">
        <v>0.0</v>
      </c>
      <c r="N97" s="121">
        <v>0.0</v>
      </c>
      <c r="O97" s="121">
        <v>0.0</v>
      </c>
      <c r="P97" s="121">
        <v>0.0</v>
      </c>
      <c r="Q97" s="121">
        <v>0.0</v>
      </c>
      <c r="R97" s="121">
        <v>10.0</v>
      </c>
      <c r="S97" s="121">
        <v>0.0</v>
      </c>
      <c r="T97" s="121">
        <v>0.0</v>
      </c>
      <c r="U97" s="121">
        <v>0.0</v>
      </c>
      <c r="V97" s="121">
        <v>0.0</v>
      </c>
      <c r="W97" s="121">
        <v>0.0</v>
      </c>
      <c r="X97" s="121">
        <v>0.0</v>
      </c>
      <c r="Y97" s="121">
        <v>0.0</v>
      </c>
      <c r="Z97" s="121">
        <v>0.0</v>
      </c>
      <c r="AA97" s="121">
        <v>0.0</v>
      </c>
      <c r="AB97" s="121">
        <v>0.0</v>
      </c>
    </row>
    <row r="98" ht="15.75" customHeight="1">
      <c r="A98" s="121">
        <v>5.0</v>
      </c>
      <c r="B98" s="121">
        <v>900.0</v>
      </c>
      <c r="H98" s="218">
        <v>0.0</v>
      </c>
      <c r="I98" s="121">
        <v>0.0</v>
      </c>
      <c r="J98" s="121">
        <v>0.0</v>
      </c>
      <c r="K98" s="121">
        <v>0.0</v>
      </c>
      <c r="L98" s="121">
        <v>0.0</v>
      </c>
      <c r="M98" s="121">
        <v>0.0</v>
      </c>
      <c r="N98" s="121">
        <v>0.0</v>
      </c>
      <c r="O98" s="121">
        <v>0.0</v>
      </c>
      <c r="P98" s="121">
        <v>0.0</v>
      </c>
      <c r="Q98" s="121">
        <v>30.0</v>
      </c>
      <c r="R98" s="121">
        <v>0.0</v>
      </c>
      <c r="S98" s="121">
        <v>0.0</v>
      </c>
      <c r="T98" s="121">
        <v>0.0</v>
      </c>
      <c r="U98" s="121">
        <v>0.0</v>
      </c>
      <c r="V98" s="121">
        <v>0.0</v>
      </c>
      <c r="W98" s="121">
        <v>0.0</v>
      </c>
      <c r="X98" s="121">
        <v>0.0</v>
      </c>
      <c r="Y98" s="121">
        <v>0.0</v>
      </c>
      <c r="Z98" s="121">
        <v>0.0</v>
      </c>
      <c r="AA98" s="121">
        <v>0.0</v>
      </c>
      <c r="AB98" s="121">
        <v>0.0</v>
      </c>
    </row>
    <row r="99" ht="15.75" customHeight="1">
      <c r="A99" s="121">
        <v>6.0</v>
      </c>
      <c r="B99" s="121">
        <v>810.0</v>
      </c>
      <c r="C99" s="190"/>
      <c r="D99" s="190"/>
      <c r="E99" s="190"/>
      <c r="F99" s="190"/>
      <c r="G99" s="190"/>
      <c r="H99" s="218">
        <v>30.0</v>
      </c>
      <c r="I99" s="121">
        <v>0.0</v>
      </c>
      <c r="J99" s="121">
        <v>0.0</v>
      </c>
      <c r="K99" s="121">
        <v>0.0</v>
      </c>
      <c r="L99" s="121">
        <v>0.0</v>
      </c>
      <c r="M99" s="121">
        <v>0.0</v>
      </c>
      <c r="N99" s="121">
        <v>0.0</v>
      </c>
      <c r="O99" s="121">
        <v>0.0</v>
      </c>
      <c r="P99" s="121">
        <v>0.0</v>
      </c>
      <c r="Q99" s="121">
        <v>0.0</v>
      </c>
      <c r="R99" s="121">
        <v>0.0</v>
      </c>
      <c r="S99" s="121">
        <v>0.0</v>
      </c>
      <c r="T99" s="121">
        <v>0.0</v>
      </c>
      <c r="U99" s="121">
        <v>0.0</v>
      </c>
      <c r="V99" s="121">
        <v>0.0</v>
      </c>
      <c r="W99" s="121">
        <v>0.0</v>
      </c>
      <c r="X99" s="121">
        <v>0.0</v>
      </c>
      <c r="Y99" s="121">
        <v>0.0</v>
      </c>
      <c r="Z99" s="121">
        <v>0.0</v>
      </c>
      <c r="AA99" s="121">
        <v>0.0</v>
      </c>
      <c r="AB99" s="121">
        <v>0.0</v>
      </c>
    </row>
    <row r="100" ht="15.75" customHeight="1">
      <c r="A100" s="121">
        <v>7.0</v>
      </c>
      <c r="B100" s="121">
        <v>990.0</v>
      </c>
      <c r="H100" s="218">
        <v>0.0</v>
      </c>
      <c r="I100" s="121">
        <v>0.0</v>
      </c>
      <c r="J100" s="121">
        <v>0.0</v>
      </c>
      <c r="K100" s="121">
        <v>0.0</v>
      </c>
      <c r="L100" s="121">
        <v>0.0</v>
      </c>
      <c r="M100" s="121">
        <v>0.0</v>
      </c>
      <c r="N100" s="121">
        <v>0.0</v>
      </c>
      <c r="O100" s="121">
        <v>0.0</v>
      </c>
      <c r="P100" s="121">
        <v>0.0</v>
      </c>
      <c r="Q100" s="121">
        <v>0.0</v>
      </c>
      <c r="R100" s="121">
        <v>0.0</v>
      </c>
      <c r="S100" s="121">
        <v>15.0</v>
      </c>
      <c r="T100" s="121">
        <v>0.0</v>
      </c>
      <c r="U100" s="121">
        <v>0.0</v>
      </c>
      <c r="V100" s="121">
        <v>0.0</v>
      </c>
      <c r="W100" s="121">
        <v>0.0</v>
      </c>
      <c r="X100" s="121">
        <v>0.0</v>
      </c>
      <c r="Y100" s="121">
        <v>0.0</v>
      </c>
      <c r="Z100" s="121">
        <v>0.0</v>
      </c>
      <c r="AA100" s="121">
        <v>0.0</v>
      </c>
      <c r="AB100" s="121">
        <v>0.0</v>
      </c>
    </row>
    <row r="101" ht="15.75" customHeight="1">
      <c r="A101" s="121">
        <v>8.0</v>
      </c>
      <c r="B101" s="121">
        <v>980.0</v>
      </c>
      <c r="C101" s="190"/>
      <c r="D101" s="190"/>
      <c r="E101" s="190"/>
      <c r="F101" s="190"/>
      <c r="G101" s="190"/>
      <c r="H101" s="218">
        <v>0.0</v>
      </c>
      <c r="I101" s="121">
        <v>0.0</v>
      </c>
      <c r="J101" s="121">
        <v>0.0</v>
      </c>
      <c r="K101" s="121">
        <v>0.0</v>
      </c>
      <c r="L101" s="121">
        <v>0.0</v>
      </c>
      <c r="M101" s="121">
        <v>0.0</v>
      </c>
      <c r="N101" s="121">
        <v>0.0</v>
      </c>
      <c r="O101" s="121">
        <v>0.0</v>
      </c>
      <c r="P101" s="121">
        <v>0.0</v>
      </c>
      <c r="Q101" s="121">
        <v>0.0</v>
      </c>
      <c r="R101" s="121">
        <v>15.0</v>
      </c>
      <c r="S101" s="121">
        <v>0.0</v>
      </c>
      <c r="T101" s="121">
        <v>0.0</v>
      </c>
      <c r="U101" s="121">
        <v>0.0</v>
      </c>
      <c r="V101" s="121">
        <v>0.0</v>
      </c>
      <c r="W101" s="121">
        <v>0.0</v>
      </c>
      <c r="X101" s="121">
        <v>0.0</v>
      </c>
      <c r="Y101" s="121">
        <v>0.0</v>
      </c>
      <c r="Z101" s="121">
        <v>0.0</v>
      </c>
      <c r="AA101" s="121">
        <v>0.0</v>
      </c>
      <c r="AB101" s="121">
        <v>0.0</v>
      </c>
    </row>
    <row r="102" ht="15.75" customHeight="1">
      <c r="A102" s="121">
        <v>9.0</v>
      </c>
      <c r="B102" s="121">
        <v>900.0</v>
      </c>
      <c r="H102" s="218">
        <v>0.0</v>
      </c>
      <c r="I102" s="121">
        <v>0.0</v>
      </c>
      <c r="J102" s="121">
        <v>0.0</v>
      </c>
      <c r="K102" s="121">
        <v>0.0</v>
      </c>
      <c r="L102" s="121">
        <v>0.0</v>
      </c>
      <c r="M102" s="121">
        <v>0.0</v>
      </c>
      <c r="N102" s="121">
        <v>0.0</v>
      </c>
      <c r="O102" s="121">
        <v>0.0</v>
      </c>
      <c r="P102" s="121">
        <v>0.0</v>
      </c>
      <c r="Q102" s="121">
        <v>30.0</v>
      </c>
      <c r="R102" s="121">
        <v>0.0</v>
      </c>
      <c r="S102" s="121">
        <v>0.0</v>
      </c>
      <c r="T102" s="121">
        <v>0.0</v>
      </c>
      <c r="U102" s="121">
        <v>0.0</v>
      </c>
      <c r="V102" s="121">
        <v>0.0</v>
      </c>
      <c r="W102" s="121">
        <v>0.0</v>
      </c>
      <c r="X102" s="121">
        <v>0.0</v>
      </c>
      <c r="Y102" s="121">
        <v>0.0</v>
      </c>
      <c r="Z102" s="121">
        <v>0.0</v>
      </c>
      <c r="AA102" s="121">
        <v>0.0</v>
      </c>
      <c r="AB102" s="121">
        <v>0.0</v>
      </c>
    </row>
    <row r="103" ht="15.75" customHeight="1">
      <c r="A103" s="121">
        <v>10.0</v>
      </c>
      <c r="B103" s="121">
        <v>950.0</v>
      </c>
      <c r="C103" s="190"/>
      <c r="D103" s="190"/>
      <c r="E103" s="190"/>
      <c r="F103" s="190"/>
      <c r="G103" s="190"/>
      <c r="H103" s="218">
        <v>0.0</v>
      </c>
      <c r="I103" s="121">
        <v>0.0</v>
      </c>
      <c r="J103" s="121">
        <v>0.0</v>
      </c>
      <c r="K103" s="121">
        <v>0.0</v>
      </c>
      <c r="L103" s="121">
        <v>0.0</v>
      </c>
      <c r="M103" s="121">
        <v>0.0</v>
      </c>
      <c r="N103" s="121">
        <v>0.0</v>
      </c>
      <c r="O103" s="121">
        <v>0.0</v>
      </c>
      <c r="P103" s="121">
        <v>0.0</v>
      </c>
      <c r="Q103" s="121">
        <v>0.0</v>
      </c>
      <c r="R103" s="121">
        <v>0.0</v>
      </c>
      <c r="S103" s="121">
        <v>0.0</v>
      </c>
      <c r="T103" s="121">
        <v>10.0</v>
      </c>
      <c r="U103" s="121">
        <v>0.0</v>
      </c>
      <c r="V103" s="121">
        <v>0.0</v>
      </c>
      <c r="W103" s="121">
        <v>0.0</v>
      </c>
      <c r="X103" s="121">
        <v>0.0</v>
      </c>
      <c r="Y103" s="121">
        <v>0.0</v>
      </c>
      <c r="Z103" s="121">
        <v>0.0</v>
      </c>
      <c r="AA103" s="121">
        <v>0.0</v>
      </c>
      <c r="AB103" s="121">
        <v>0.0</v>
      </c>
    </row>
    <row r="104" ht="15.75" customHeight="1">
      <c r="A104" s="121">
        <v>11.0</v>
      </c>
      <c r="B104" s="121">
        <v>990.0</v>
      </c>
      <c r="H104" s="218">
        <v>0.0</v>
      </c>
      <c r="I104" s="121">
        <v>0.0</v>
      </c>
      <c r="J104" s="121">
        <v>0.0</v>
      </c>
      <c r="K104" s="121">
        <v>0.0</v>
      </c>
      <c r="L104" s="121">
        <v>0.0</v>
      </c>
      <c r="M104" s="121">
        <v>0.0</v>
      </c>
      <c r="N104" s="121">
        <v>0.0</v>
      </c>
      <c r="O104" s="121">
        <v>0.0</v>
      </c>
      <c r="P104" s="121">
        <v>0.0</v>
      </c>
      <c r="Q104" s="121">
        <v>0.0</v>
      </c>
      <c r="R104" s="121">
        <v>0.0</v>
      </c>
      <c r="S104" s="121">
        <v>15.0</v>
      </c>
      <c r="T104" s="121">
        <v>0.0</v>
      </c>
      <c r="U104" s="121">
        <v>0.0</v>
      </c>
      <c r="V104" s="121">
        <v>0.0</v>
      </c>
      <c r="W104" s="121">
        <v>0.0</v>
      </c>
      <c r="X104" s="121">
        <v>0.0</v>
      </c>
      <c r="Y104" s="121">
        <v>0.0</v>
      </c>
      <c r="Z104" s="121">
        <v>0.0</v>
      </c>
      <c r="AA104" s="121">
        <v>0.0</v>
      </c>
      <c r="AB104" s="121">
        <v>0.0</v>
      </c>
    </row>
    <row r="105" ht="15.75" customHeight="1">
      <c r="A105" s="121">
        <v>12.0</v>
      </c>
      <c r="B105" s="121">
        <v>830.0</v>
      </c>
      <c r="C105" s="190"/>
      <c r="D105" s="190"/>
      <c r="E105" s="190"/>
      <c r="F105" s="190"/>
      <c r="G105" s="190"/>
      <c r="H105" s="218">
        <v>50.0</v>
      </c>
      <c r="I105" s="121">
        <v>0.0</v>
      </c>
      <c r="J105" s="121">
        <v>0.0</v>
      </c>
      <c r="K105" s="121">
        <v>0.0</v>
      </c>
      <c r="L105" s="121">
        <v>0.0</v>
      </c>
      <c r="M105" s="121">
        <v>0.0</v>
      </c>
      <c r="N105" s="121">
        <v>0.0</v>
      </c>
      <c r="O105" s="121">
        <v>0.0</v>
      </c>
      <c r="P105" s="121">
        <v>0.0</v>
      </c>
      <c r="Q105" s="121">
        <v>0.0</v>
      </c>
      <c r="R105" s="121">
        <v>0.0</v>
      </c>
      <c r="S105" s="121">
        <v>0.0</v>
      </c>
      <c r="T105" s="121">
        <v>0.0</v>
      </c>
      <c r="U105" s="121">
        <v>0.0</v>
      </c>
      <c r="V105" s="121">
        <v>0.0</v>
      </c>
      <c r="W105" s="121">
        <v>0.0</v>
      </c>
      <c r="X105" s="121">
        <v>0.0</v>
      </c>
      <c r="Y105" s="121">
        <v>0.0</v>
      </c>
      <c r="Z105" s="121">
        <v>0.0</v>
      </c>
      <c r="AA105" s="121">
        <v>0.0</v>
      </c>
      <c r="AB105" s="121">
        <v>0.0</v>
      </c>
    </row>
    <row r="106" ht="15.75" customHeight="1">
      <c r="A106" s="121">
        <v>13.0</v>
      </c>
      <c r="B106" s="121">
        <v>940.0</v>
      </c>
      <c r="H106" s="218">
        <v>0.0</v>
      </c>
      <c r="I106" s="121">
        <v>0.0</v>
      </c>
      <c r="J106" s="121">
        <v>0.0</v>
      </c>
      <c r="K106" s="121">
        <v>0.0</v>
      </c>
      <c r="L106" s="121">
        <v>0.0</v>
      </c>
      <c r="M106" s="121">
        <v>0.0</v>
      </c>
      <c r="N106" s="121">
        <v>0.0</v>
      </c>
      <c r="O106" s="121">
        <v>0.0</v>
      </c>
      <c r="P106" s="121">
        <v>0.0</v>
      </c>
      <c r="Q106" s="121">
        <v>0.0</v>
      </c>
      <c r="R106" s="121">
        <v>10.0</v>
      </c>
      <c r="S106" s="121">
        <v>0.0</v>
      </c>
      <c r="T106" s="121">
        <v>0.0</v>
      </c>
      <c r="U106" s="121">
        <v>0.0</v>
      </c>
      <c r="V106" s="121">
        <v>0.0</v>
      </c>
      <c r="W106" s="121">
        <v>0.0</v>
      </c>
      <c r="X106" s="121">
        <v>0.0</v>
      </c>
      <c r="Y106" s="121">
        <v>0.0</v>
      </c>
      <c r="Z106" s="121">
        <v>0.0</v>
      </c>
      <c r="AA106" s="121">
        <v>0.0</v>
      </c>
      <c r="AB106" s="121">
        <v>0.0</v>
      </c>
    </row>
    <row r="107" ht="15.75" customHeight="1">
      <c r="A107" s="121">
        <v>14.0</v>
      </c>
      <c r="B107" s="121">
        <v>1040.0</v>
      </c>
      <c r="C107" s="190"/>
      <c r="D107" s="190"/>
      <c r="E107" s="190"/>
      <c r="F107" s="190"/>
      <c r="G107" s="190"/>
      <c r="H107" s="218">
        <v>0.0</v>
      </c>
      <c r="I107" s="121">
        <v>0.0</v>
      </c>
      <c r="J107" s="121">
        <v>0.0</v>
      </c>
      <c r="K107" s="121">
        <v>0.0</v>
      </c>
      <c r="L107" s="121">
        <v>0.0</v>
      </c>
      <c r="M107" s="121">
        <v>0.0</v>
      </c>
      <c r="N107" s="121">
        <v>0.0</v>
      </c>
      <c r="O107" s="121">
        <v>0.0</v>
      </c>
      <c r="P107" s="121">
        <v>0.0</v>
      </c>
      <c r="Q107" s="121">
        <v>0.0</v>
      </c>
      <c r="R107" s="121">
        <v>0.0</v>
      </c>
      <c r="S107" s="121">
        <v>0.0</v>
      </c>
      <c r="T107" s="121">
        <v>15.0</v>
      </c>
      <c r="U107" s="121">
        <v>0.0</v>
      </c>
      <c r="V107" s="121">
        <v>0.0</v>
      </c>
      <c r="W107" s="121">
        <v>0.0</v>
      </c>
      <c r="X107" s="121">
        <v>0.0</v>
      </c>
      <c r="Y107" s="121">
        <v>0.0</v>
      </c>
      <c r="Z107" s="121">
        <v>0.0</v>
      </c>
      <c r="AA107" s="121">
        <v>0.0</v>
      </c>
      <c r="AB107" s="121">
        <v>0.0</v>
      </c>
    </row>
    <row r="108" ht="15.75" customHeight="1">
      <c r="A108" s="121">
        <v>15.0</v>
      </c>
      <c r="B108" s="121">
        <v>1030.0</v>
      </c>
      <c r="H108" s="218">
        <v>0.0</v>
      </c>
      <c r="I108" s="121">
        <v>0.0</v>
      </c>
      <c r="J108" s="121">
        <v>0.0</v>
      </c>
      <c r="K108" s="121">
        <v>0.0</v>
      </c>
      <c r="L108" s="121">
        <v>0.0</v>
      </c>
      <c r="M108" s="121">
        <v>0.0</v>
      </c>
      <c r="N108" s="121">
        <v>0.0</v>
      </c>
      <c r="O108" s="121">
        <v>0.0</v>
      </c>
      <c r="P108" s="121">
        <v>0.0</v>
      </c>
      <c r="Q108" s="121">
        <v>60.0</v>
      </c>
      <c r="R108" s="121">
        <v>0.0</v>
      </c>
      <c r="S108" s="121">
        <v>0.0</v>
      </c>
      <c r="T108" s="121">
        <v>0.0</v>
      </c>
      <c r="U108" s="121">
        <v>0.0</v>
      </c>
      <c r="V108" s="121">
        <v>0.0</v>
      </c>
      <c r="W108" s="121">
        <v>0.0</v>
      </c>
      <c r="X108" s="121">
        <v>0.0</v>
      </c>
      <c r="Y108" s="121">
        <v>0.0</v>
      </c>
      <c r="Z108" s="121">
        <v>0.0</v>
      </c>
      <c r="AA108" s="121">
        <v>0.0</v>
      </c>
      <c r="AB108" s="121">
        <v>0.0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5:AB54">
    <cfRule type="cellIs" dxfId="5" priority="1" operator="greaterThan">
      <formula>0</formula>
    </cfRule>
  </conditionalFormatting>
  <conditionalFormatting sqref="A25:AB54">
    <cfRule type="expression" dxfId="6" priority="2">
      <formula>MOD(INT((ROW()-13)/3),2)=0</formula>
    </cfRule>
  </conditionalFormatting>
  <conditionalFormatting sqref="C58:AB72">
    <cfRule type="cellIs" dxfId="5" priority="3" operator="greaterThan">
      <formula>0</formula>
    </cfRule>
  </conditionalFormatting>
  <conditionalFormatting sqref="A58:AB72">
    <cfRule type="expression" dxfId="6" priority="4">
      <formula>ISEVEN($A58)</formula>
    </cfRule>
  </conditionalFormatting>
  <conditionalFormatting sqref="C76:AB90">
    <cfRule type="cellIs" dxfId="5" priority="5" operator="greaterThan">
      <formula>0</formula>
    </cfRule>
  </conditionalFormatting>
  <conditionalFormatting sqref="A76:AB90">
    <cfRule type="expression" dxfId="6" priority="6">
      <formula>ISEVEN($A76)</formula>
    </cfRule>
  </conditionalFormatting>
  <conditionalFormatting sqref="C94:AB108">
    <cfRule type="cellIs" dxfId="5" priority="7" operator="greaterThan">
      <formula>0</formula>
    </cfRule>
  </conditionalFormatting>
  <conditionalFormatting sqref="A94:AB108">
    <cfRule type="expression" dxfId="6" priority="8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  <col customWidth="1" min="29" max="32" width="7.63"/>
    <col customWidth="1" min="33" max="33" width="2.5"/>
    <col customWidth="1" min="34" max="34" width="9.63"/>
    <col customWidth="1" min="35" max="35" width="7.0"/>
    <col customWidth="1" min="36" max="36" width="15.75"/>
    <col customWidth="1" min="37" max="37" width="7.0"/>
    <col customWidth="1" min="38" max="38" width="15.75"/>
    <col customWidth="1" min="39" max="39" width="7.0"/>
    <col customWidth="1" min="40" max="40" width="15.75"/>
    <col customWidth="1" min="41" max="41" width="7.0"/>
    <col customWidth="1" min="42" max="42" width="15.75"/>
    <col customWidth="1" min="43" max="43" width="7.0"/>
    <col customWidth="1" min="44" max="44" width="15.75"/>
    <col customWidth="1" min="45" max="45" width="7.63"/>
    <col customWidth="1" min="46" max="46" width="5.25"/>
    <col customWidth="1" min="47" max="47" width="7.0"/>
    <col customWidth="1" min="48" max="48" width="7.13"/>
  </cols>
  <sheetData>
    <row r="1" ht="21.75" customHeight="1">
      <c r="A1" s="219" t="s">
        <v>35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  <c r="AG1" s="220"/>
      <c r="AH1" s="221" t="s">
        <v>278</v>
      </c>
      <c r="AI1" s="220"/>
      <c r="AJ1" s="220"/>
      <c r="AK1" s="220"/>
      <c r="AL1" s="220"/>
      <c r="AM1" s="220"/>
      <c r="AN1" s="220"/>
      <c r="AO1" s="220"/>
      <c r="AP1" s="220"/>
      <c r="AQ1" s="220"/>
      <c r="AR1" s="220"/>
      <c r="AS1" s="220"/>
      <c r="AT1" s="220"/>
      <c r="AU1" s="220"/>
    </row>
    <row r="2" ht="19.5" customHeight="1">
      <c r="A2" s="184" t="s">
        <v>114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220"/>
      <c r="AD2" s="220"/>
      <c r="AE2" s="220"/>
      <c r="AF2" s="220"/>
      <c r="AG2" s="220"/>
      <c r="AH2" s="152" t="s">
        <v>160</v>
      </c>
      <c r="AI2" s="170" t="s">
        <v>184</v>
      </c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0"/>
      <c r="AU2" s="220"/>
    </row>
    <row r="3">
      <c r="A3" s="192" t="s">
        <v>190</v>
      </c>
      <c r="B3" s="222">
        <v>3.0</v>
      </c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  <c r="AC3" s="220"/>
      <c r="AD3" s="220"/>
      <c r="AE3" s="220"/>
      <c r="AF3" s="220"/>
      <c r="AG3" s="220"/>
      <c r="AH3" s="152" t="s">
        <v>162</v>
      </c>
      <c r="AI3" s="170" t="s">
        <v>163</v>
      </c>
      <c r="AJ3" s="220"/>
      <c r="AK3" s="220"/>
      <c r="AL3" s="220"/>
      <c r="AM3" s="220"/>
      <c r="AN3" s="220"/>
      <c r="AO3" s="220"/>
      <c r="AP3" s="220"/>
      <c r="AQ3" s="220"/>
      <c r="AR3" s="220"/>
      <c r="AS3" s="220"/>
      <c r="AT3" s="220"/>
      <c r="AU3" s="220"/>
    </row>
    <row r="4">
      <c r="A4" s="192" t="s">
        <v>153</v>
      </c>
      <c r="B4" s="193">
        <v>1.0</v>
      </c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  <c r="AR4" s="220"/>
      <c r="AS4" s="220"/>
      <c r="AT4" s="220"/>
      <c r="AU4" s="172" t="s">
        <v>279</v>
      </c>
      <c r="AW4" s="172" t="s">
        <v>245</v>
      </c>
      <c r="AX4" s="172" t="s">
        <v>280</v>
      </c>
    </row>
    <row r="5">
      <c r="A5" s="192" t="s">
        <v>154</v>
      </c>
      <c r="B5" s="193">
        <v>17.0</v>
      </c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157" t="s">
        <v>164</v>
      </c>
      <c r="AI5" s="157" t="s">
        <v>165</v>
      </c>
      <c r="AJ5" s="157" t="s">
        <v>166</v>
      </c>
      <c r="AK5" s="157" t="s">
        <v>167</v>
      </c>
      <c r="AL5" s="157" t="s">
        <v>168</v>
      </c>
      <c r="AM5" s="157" t="s">
        <v>169</v>
      </c>
      <c r="AN5" s="157" t="s">
        <v>170</v>
      </c>
      <c r="AO5" s="157" t="s">
        <v>171</v>
      </c>
      <c r="AP5" s="157" t="s">
        <v>172</v>
      </c>
      <c r="AQ5" s="157" t="s">
        <v>173</v>
      </c>
      <c r="AR5" s="157" t="s">
        <v>174</v>
      </c>
      <c r="AS5" s="220"/>
      <c r="AT5" s="173">
        <v>1.0</v>
      </c>
      <c r="AU5" s="223">
        <f t="shared" ref="AU5:AU34" si="1">SUM($F$25:$F25)</f>
        <v>80</v>
      </c>
      <c r="AW5" s="173">
        <v>1.0</v>
      </c>
      <c r="AX5" s="223">
        <v>155.0</v>
      </c>
    </row>
    <row r="6">
      <c r="A6" s="192" t="s">
        <v>227</v>
      </c>
      <c r="B6" s="193" t="b">
        <f>TRUE()</f>
        <v>1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20"/>
      <c r="AC6" s="220"/>
      <c r="AD6" s="220"/>
      <c r="AE6" s="220"/>
      <c r="AF6" s="220"/>
      <c r="AG6" s="220"/>
      <c r="AH6" s="158">
        <f>IF(1&lt;=$B$3,1,"")</f>
        <v>1</v>
      </c>
      <c r="AI6" s="159">
        <f t="array" ref="AI6"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X$5:$AX$14,"&lt;="&amp;bal*shr)))</f>
        <v>0</v>
      </c>
      <c r="AJ6" s="160" t="str">
        <f t="array" ref="AJ6">IF($AH6="","",IF(AI6=0,"{}",LET(m,AI6,s,MMULT(TRANSPOSE((SEQUENCE(10,1,1,1)&lt;=m)*1),VSTACK($H$27:$AB$27,$H$30:$AB$30,$H$33:$AB$33,$H$36:$AB$36,$H$39:$AB$39,$H$42:$AB$42,$H$45:$AB$45,$H$48:$AB$48,$H$51:$AB$51,$H$54:$AB$54)),"{"&amp;TEXTJOIN(",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6" s="159">
        <f t="array" ref="AK6"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X$5:$AX$14,"&lt;="&amp;bal*shr)))</f>
        <v>0</v>
      </c>
      <c r="AL6" s="160" t="str">
        <f t="array" ref="AL6">IF($AH6="","",IF(AK6=0,"{}",LET(m,AK6,s,MMULT(TRANSPOSE((SEQUENCE(10,1,1,1)&lt;=m)*1),VSTACK($H$27:$AB$27,$H$30:$AB$30,$H$33:$AB$33,$H$36:$AB$36,$H$39:$AB$39,$H$42:$AB$42,$H$45:$AB$45,$H$48:$AB$48,$H$51:$AB$51,$H$54:$AB$54)),"{"&amp;TEXTJOIN(",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M6" s="159">
        <f t="array" ref="AM6"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X$5:$AX$14,"&lt;="&amp;bal*shr)))</f>
        <v>1</v>
      </c>
      <c r="AN6" s="160" t="str">
        <f t="array" ref="AN6">IF($AH6="","",IF(AM6=0,"{}",LET(m,AM6,s,MMULT(TRANSPOSE((SEQUENCE(10,1,1,1)&lt;=m)*1),VSTACK($H$27:$AB$27,$H$30:$AB$30,$H$33:$AB$33,$H$36:$AB$36,$H$39:$AB$39,$H$42:$AB$42,$H$45:$AB$45,$H$48:$AB$48,$H$51:$AB$51,$H$54:$AB$54)),"{"&amp;TEXTJOIN(",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O6" s="159">
        <f t="array" ref="AO6"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X$5:$AX$14,"&lt;="&amp;bal*shr)))</f>
        <v>2</v>
      </c>
      <c r="AP6" s="160" t="str">
        <f t="array" ref="AP6">IF($AH6="","",IF(AO6=0,"{}",LET(m,AO6,s,MMULT(TRANSPOSE((SEQUENCE(10,1,1,1)&lt;=m)*1),VSTACK($H$27:$AB$27,$H$30:$AB$30,$H$33:$AB$33,$H$36:$AB$36,$H$39:$AB$39,$H$42:$AB$42,$H$45:$AB$45,$H$48:$AB$48,$H$51:$AB$51,$H$54:$AB$54)),"{"&amp;TEXTJOIN(",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Q6" s="159">
        <f t="array" ref="AQ6"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X$5:$AX$14,"&lt;="&amp;bal*shr)))</f>
        <v>3</v>
      </c>
      <c r="AR6" s="160" t="str">
        <f t="array" ref="AR6">IF($AH6="","",IF(AQ6=0,"{}",LET(m,AQ6,s,MMULT(TRANSPOSE((SEQUENCE(10,1,1,1)&lt;=m)*1),VSTACK($H$27:$AB$27,$H$30:$AB$30,$H$33:$AB$33,$H$36:$AB$36,$H$39:$AB$39,$H$42:$AB$42,$H$45:$AB$45,$H$48:$AB$48,$H$51:$AB$51,$H$54:$AB$54)),"{"&amp;TEXTJOIN(",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S6" s="220"/>
      <c r="AT6" s="173">
        <v>2.0</v>
      </c>
      <c r="AU6" s="223">
        <f t="shared" si="1"/>
        <v>210</v>
      </c>
      <c r="AW6" s="173">
        <v>2.0</v>
      </c>
      <c r="AX6" s="223">
        <v>395.0</v>
      </c>
    </row>
    <row r="7">
      <c r="A7" s="192" t="s">
        <v>228</v>
      </c>
      <c r="B7" s="193" t="b">
        <f>FALSE()</f>
        <v>0</v>
      </c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158">
        <f>IF(2&lt;=$B$3,2,"")</f>
        <v>2</v>
      </c>
      <c r="AI7" s="159">
        <f t="array" ref="AI7"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X$5:$AX$14,"&lt;="&amp;bal*shr)))</f>
        <v>0</v>
      </c>
      <c r="AJ7" s="160" t="str">
        <f t="array" ref="AJ7">IF($AH7="","",IF(AI7=0,"{}",LET(m,AI7,s,MMULT(TRANSPOSE((SEQUENCE(10,1,1,1)&lt;=m)*1),VSTACK($H$27:$AB$27,$H$30:$AB$30,$H$33:$AB$33,$H$36:$AB$36,$H$39:$AB$39,$H$42:$AB$42,$H$45:$AB$45,$H$48:$AB$48,$H$51:$AB$51,$H$54:$AB$54)),"{"&amp;TEXTJOIN(",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7" s="159">
        <f t="array" ref="AK7"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X$5:$AX$14,"&lt;="&amp;bal*shr)))</f>
        <v>1</v>
      </c>
      <c r="AL7" s="160" t="str">
        <f t="array" ref="AL7">IF($AH7="","",IF(AK7=0,"{}",LET(m,AK7,s,MMULT(TRANSPOSE((SEQUENCE(10,1,1,1)&lt;=m)*1),VSTACK($H$27:$AB$27,$H$30:$AB$30,$H$33:$AB$33,$H$36:$AB$36,$H$39:$AB$39,$H$42:$AB$42,$H$45:$AB$45,$H$48:$AB$48,$H$51:$AB$51,$H$54:$AB$54)),"{"&amp;TEXTJOIN(",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7" s="159">
        <f t="array" ref="AM7"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X$5:$AX$14,"&lt;="&amp;bal*shr)))</f>
        <v>2</v>
      </c>
      <c r="AN7" s="160" t="str">
        <f t="array" ref="AN7">IF($AH7="","",IF(AM7=0,"{}",LET(m,AM7,s,MMULT(TRANSPOSE((SEQUENCE(10,1,1,1)&lt;=m)*1),VSTACK($H$27:$AB$27,$H$30:$AB$30,$H$33:$AB$33,$H$36:$AB$36,$H$39:$AB$39,$H$42:$AB$42,$H$45:$AB$45,$H$48:$AB$48,$H$51:$AB$51,$H$54:$AB$54)),"{"&amp;TEXTJOIN(",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O7" s="159">
        <f t="array" ref="AO7"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X$5:$AX$14,"&lt;="&amp;bal*shr)))</f>
        <v>3</v>
      </c>
      <c r="AP7" s="160" t="str">
        <f t="array" ref="AP7">IF($AH7="","",IF(AO7=0,"{}",LET(m,AO7,s,MMULT(TRANSPOSE((SEQUENCE(10,1,1,1)&lt;=m)*1),VSTACK($H$27:$AB$27,$H$30:$AB$30,$H$33:$AB$33,$H$36:$AB$36,$H$39:$AB$39,$H$42:$AB$42,$H$45:$AB$45,$H$48:$AB$48,$H$51:$AB$51,$H$54:$AB$54)),"{"&amp;TEXTJOIN(",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Q7" s="159">
        <f t="array" ref="AQ7"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X$5:$AX$14,"&lt;="&amp;bal*shr)))</f>
        <v>5</v>
      </c>
      <c r="AR7" s="160" t="str">
        <f t="array" ref="AR7">IF($AH7="","",IF(AQ7=0,"{}",LET(m,AQ7,s,MMULT(TRANSPOSE((SEQUENCE(10,1,1,1)&lt;=m)*1),VSTACK($H$27:$AB$27,$H$30:$AB$30,$H$33:$AB$33,$H$36:$AB$36,$H$39:$AB$39,$H$42:$AB$42,$H$45:$AB$45,$H$48:$AB$48,$H$51:$AB$51,$H$54:$AB$54)),"{"&amp;TEXTJOIN(",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Red: 1, Chuck: 1, Unlimited Lives: 60, Unlimited Red: 15}</v>
      </c>
      <c r="AS7" s="220"/>
      <c r="AT7" s="173">
        <v>3.0</v>
      </c>
      <c r="AU7" s="223">
        <f t="shared" si="1"/>
        <v>365</v>
      </c>
      <c r="AW7" s="173">
        <v>3.0</v>
      </c>
      <c r="AX7" s="223">
        <v>640.0</v>
      </c>
    </row>
    <row r="8">
      <c r="A8" s="192" t="s">
        <v>200</v>
      </c>
      <c r="B8" s="224" t="s">
        <v>229</v>
      </c>
      <c r="C8" s="220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20"/>
      <c r="AC8" s="220"/>
      <c r="AD8" s="220"/>
      <c r="AE8" s="220"/>
      <c r="AF8" s="220"/>
      <c r="AG8" s="220"/>
      <c r="AH8" s="158">
        <f>IF(3&lt;=$B$3,3,"")</f>
        <v>3</v>
      </c>
      <c r="AI8" s="159">
        <f t="array" ref="AI8"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X$5:$AX$14,"&lt;="&amp;bal*shr)))</f>
        <v>0</v>
      </c>
      <c r="AJ8" s="160" t="str">
        <f t="array" ref="AJ8">IF($AH8="","",IF(AI8=0,"{}",LET(m,AI8,s,MMULT(TRANSPOSE((SEQUENCE(10,1,1,1)&lt;=m)*1),VSTACK($H$27:$AB$27,$H$30:$AB$30,$H$33:$AB$33,$H$36:$AB$36,$H$39:$AB$39,$H$42:$AB$42,$H$45:$AB$45,$H$48:$AB$48,$H$51:$AB$51,$H$54:$AB$54)),"{"&amp;TEXTJOIN(",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8" s="159">
        <f t="array" ref="AK8"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X$5:$AX$14,"&lt;="&amp;bal*shr)))</f>
        <v>1</v>
      </c>
      <c r="AL8" s="160" t="str">
        <f t="array" ref="AL8">IF($AH8="","",IF(AK8=0,"{}",LET(m,AK8,s,MMULT(TRANSPOSE((SEQUENCE(10,1,1,1)&lt;=m)*1),VSTACK($H$27:$AB$27,$H$30:$AB$30,$H$33:$AB$33,$H$36:$AB$36,$H$39:$AB$39,$H$42:$AB$42,$H$45:$AB$45,$H$48:$AB$48,$H$51:$AB$51,$H$54:$AB$54)),"{"&amp;TEXTJOIN(",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8" s="159">
        <f t="array" ref="AM8"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X$5:$AX$14,"&lt;="&amp;bal*shr)))</f>
        <v>3</v>
      </c>
      <c r="AN8" s="160" t="str">
        <f t="array" ref="AN8">IF($AH8="","",IF(AM8=0,"{}",LET(m,AM8,s,MMULT(TRANSPOSE((SEQUENCE(10,1,1,1)&lt;=m)*1),VSTACK($H$27:$AB$27,$H$30:$AB$30,$H$33:$AB$33,$H$36:$AB$36,$H$39:$AB$39,$H$42:$AB$42,$H$45:$AB$45,$H$48:$AB$48,$H$51:$AB$51,$H$54:$AB$54)),"{"&amp;TEXTJOIN(",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O8" s="159">
        <f t="array" ref="AO8"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X$5:$AX$14,"&lt;="&amp;bal*shr)))</f>
        <v>4</v>
      </c>
      <c r="AP8" s="160" t="str">
        <f t="array" ref="AP8">IF($AH8="","",IF(AO8=0,"{}",LET(m,AO8,s,MMULT(TRANSPOSE((SEQUENCE(10,1,1,1)&lt;=m)*1),VSTACK($H$27:$AB$27,$H$30:$AB$30,$H$33:$AB$33,$H$36:$AB$36,$H$39:$AB$39,$H$42:$AB$42,$H$45:$AB$45,$H$48:$AB$48,$H$51:$AB$51,$H$54:$AB$54)),"{"&amp;TEXTJOIN(",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60, Unlimited Red: 15}</v>
      </c>
      <c r="AQ8" s="159">
        <f t="array" ref="AQ8"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X$5:$AX$14,"&lt;="&amp;bal*shr)))</f>
        <v>6</v>
      </c>
      <c r="AR8" s="160" t="str">
        <f t="array" ref="AR8">IF($AH8="","",IF(AQ8=0,"{}",LET(m,AQ8,s,MMULT(TRANSPOSE((SEQUENCE(10,1,1,1)&lt;=m)*1),VSTACK($H$27:$AB$27,$H$30:$AB$30,$H$33:$AB$33,$H$36:$AB$36,$H$39:$AB$39,$H$42:$AB$42,$H$45:$AB$45,$H$48:$AB$48,$H$51:$AB$51,$H$54:$AB$54)),"{"&amp;TEXTJOIN(",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Red: 1, Chuck: 1, Unlimited Lives: 90, Unlimited Red: 15, Unlimited Chuck: 15}</v>
      </c>
      <c r="AS8" s="220"/>
      <c r="AT8" s="173">
        <v>4.0</v>
      </c>
      <c r="AU8" s="223">
        <f t="shared" si="1"/>
        <v>445</v>
      </c>
      <c r="AW8" s="173">
        <v>4.0</v>
      </c>
      <c r="AX8" s="223">
        <v>985.0</v>
      </c>
    </row>
    <row r="9">
      <c r="A9" s="192" t="s">
        <v>230</v>
      </c>
      <c r="B9" s="193">
        <v>30.0</v>
      </c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  <c r="AA9" s="220"/>
      <c r="AB9" s="220"/>
      <c r="AC9" s="220"/>
      <c r="AD9" s="220"/>
      <c r="AE9" s="220"/>
      <c r="AF9" s="220"/>
      <c r="AG9" s="220"/>
      <c r="AH9" s="158" t="str">
        <f>IF(4&lt;=$B$3,4,"")</f>
        <v/>
      </c>
      <c r="AI9" s="159" t="str">
        <f t="array" ref="AI9"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X$5:$AX$14,"&lt;="&amp;bal*shr)))</f>
        <v/>
      </c>
      <c r="AJ9" s="160" t="str">
        <f t="array" ref="AJ9">IF($AH9="","",IF(AI9=0,"{}",LET(m,AI9,s,MMULT(TRANSPOSE((SEQUENCE(10,1,1,1)&lt;=m)*1),VSTACK($H$27:$AB$27,$H$30:$AB$30,$H$33:$AB$33,$H$36:$AB$36,$H$39:$AB$39,$H$42:$AB$42,$H$45:$AB$45,$H$48:$AB$48,$H$51:$AB$51,$H$54:$AB$54)),"{"&amp;TEXTJOIN(",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9" s="159" t="str">
        <f t="array" ref="AK9"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X$5:$AX$14,"&lt;="&amp;bal*shr)))</f>
        <v/>
      </c>
      <c r="AL9" s="160" t="str">
        <f t="array" ref="AL9">IF($AH9="","",IF(AK9=0,"{}",LET(m,AK9,s,MMULT(TRANSPOSE((SEQUENCE(10,1,1,1)&lt;=m)*1),VSTACK($H$27:$AB$27,$H$30:$AB$30,$H$33:$AB$33,$H$36:$AB$36,$H$39:$AB$39,$H$42:$AB$42,$H$45:$AB$45,$H$48:$AB$48,$H$51:$AB$51,$H$54:$AB$54)),"{"&amp;TEXTJOIN(",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9" s="159" t="str">
        <f t="array" ref="AM9"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X$5:$AX$14,"&lt;="&amp;bal*shr)))</f>
        <v/>
      </c>
      <c r="AN9" s="160" t="str">
        <f t="array" ref="AN9">IF($AH9="","",IF(AM9=0,"{}",LET(m,AM9,s,MMULT(TRANSPOSE((SEQUENCE(10,1,1,1)&lt;=m)*1),VSTACK($H$27:$AB$27,$H$30:$AB$30,$H$33:$AB$33,$H$36:$AB$36,$H$39:$AB$39,$H$42:$AB$42,$H$45:$AB$45,$H$48:$AB$48,$H$51:$AB$51,$H$54:$AB$54)),"{"&amp;TEXTJOIN(",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9" s="159" t="str">
        <f t="array" ref="AO9"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X$5:$AX$14,"&lt;="&amp;bal*shr)))</f>
        <v/>
      </c>
      <c r="AP9" s="160" t="str">
        <f t="array" ref="AP9">IF($AH9="","",IF(AO9=0,"{}",LET(m,AO9,s,MMULT(TRANSPOSE((SEQUENCE(10,1,1,1)&lt;=m)*1),VSTACK($H$27:$AB$27,$H$30:$AB$30,$H$33:$AB$33,$H$36:$AB$36,$H$39:$AB$39,$H$42:$AB$42,$H$45:$AB$45,$H$48:$AB$48,$H$51:$AB$51,$H$54:$AB$54)),"{"&amp;TEXTJOIN(",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9" s="159" t="str">
        <f t="array" ref="AQ9"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X$5:$AX$14,"&lt;="&amp;bal*shr)))</f>
        <v/>
      </c>
      <c r="AR9" s="160" t="str">
        <f t="array" ref="AR9">IF($AH9="","",IF(AQ9=0,"{}",LET(m,AQ9,s,MMULT(TRANSPOSE((SEQUENCE(10,1,1,1)&lt;=m)*1),VSTACK($H$27:$AB$27,$H$30:$AB$30,$H$33:$AB$33,$H$36:$AB$36,$H$39:$AB$39,$H$42:$AB$42,$H$45:$AB$45,$H$48:$AB$48,$H$51:$AB$51,$H$54:$AB$54)),"{"&amp;TEXTJOIN(",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9" s="220"/>
      <c r="AT9" s="173">
        <v>5.0</v>
      </c>
      <c r="AU9" s="223">
        <f t="shared" si="1"/>
        <v>575</v>
      </c>
      <c r="AW9" s="173">
        <v>5.0</v>
      </c>
      <c r="AX9" s="223">
        <v>1415.0</v>
      </c>
    </row>
    <row r="10">
      <c r="A10" s="192" t="s">
        <v>231</v>
      </c>
      <c r="B10" s="193">
        <v>10.0</v>
      </c>
      <c r="C10" s="220"/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  <c r="AA10" s="220"/>
      <c r="AB10" s="220"/>
      <c r="AC10" s="220"/>
      <c r="AD10" s="220"/>
      <c r="AE10" s="220"/>
      <c r="AF10" s="220"/>
      <c r="AG10" s="220"/>
      <c r="AH10" s="158" t="str">
        <f>IF(5&lt;=$B$3,5,"")</f>
        <v/>
      </c>
      <c r="AI10" s="159" t="str">
        <f t="array" ref="AI10"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X$5:$AX$14,"&lt;="&amp;bal*shr)))</f>
        <v/>
      </c>
      <c r="AJ10" s="160" t="str">
        <f t="array" ref="AJ10">IF($AH10="","",IF(AI10=0,"{}",LET(m,AI10,s,MMULT(TRANSPOSE((SEQUENCE(10,1,1,1)&lt;=m)*1),VSTACK($H$27:$AB$27,$H$30:$AB$30,$H$33:$AB$33,$H$36:$AB$36,$H$39:$AB$39,$H$42:$AB$42,$H$45:$AB$45,$H$48:$AB$48,$H$51:$AB$51,$H$54:$AB$54)),"{"&amp;TEXTJOIN(",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0" s="159" t="str">
        <f t="array" ref="AK10"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X$5:$AX$14,"&lt;="&amp;bal*shr)))</f>
        <v/>
      </c>
      <c r="AL10" s="160" t="str">
        <f t="array" ref="AL10">IF($AH10="","",IF(AK10=0,"{}",LET(m,AK10,s,MMULT(TRANSPOSE((SEQUENCE(10,1,1,1)&lt;=m)*1),VSTACK($H$27:$AB$27,$H$30:$AB$30,$H$33:$AB$33,$H$36:$AB$36,$H$39:$AB$39,$H$42:$AB$42,$H$45:$AB$45,$H$48:$AB$48,$H$51:$AB$51,$H$54:$AB$54)),"{"&amp;TEXTJOIN(",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0" s="159" t="str">
        <f t="array" ref="AM10"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X$5:$AX$14,"&lt;="&amp;bal*shr)))</f>
        <v/>
      </c>
      <c r="AN10" s="160" t="str">
        <f t="array" ref="AN10">IF($AH10="","",IF(AM10=0,"{}",LET(m,AM10,s,MMULT(TRANSPOSE((SEQUENCE(10,1,1,1)&lt;=m)*1),VSTACK($H$27:$AB$27,$H$30:$AB$30,$H$33:$AB$33,$H$36:$AB$36,$H$39:$AB$39,$H$42:$AB$42,$H$45:$AB$45,$H$48:$AB$48,$H$51:$AB$51,$H$54:$AB$54)),"{"&amp;TEXTJOIN(",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0" s="159" t="str">
        <f t="array" ref="AO10"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X$5:$AX$14,"&lt;="&amp;bal*shr)))</f>
        <v/>
      </c>
      <c r="AP10" s="160" t="str">
        <f t="array" ref="AP10">IF($AH10="","",IF(AO10=0,"{}",LET(m,AO10,s,MMULT(TRANSPOSE((SEQUENCE(10,1,1,1)&lt;=m)*1),VSTACK($H$27:$AB$27,$H$30:$AB$30,$H$33:$AB$33,$H$36:$AB$36,$H$39:$AB$39,$H$42:$AB$42,$H$45:$AB$45,$H$48:$AB$48,$H$51:$AB$51,$H$54:$AB$54)),"{"&amp;TEXTJOIN(",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0" s="159" t="str">
        <f t="array" ref="AQ10"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X$5:$AX$14,"&lt;="&amp;bal*shr)))</f>
        <v/>
      </c>
      <c r="AR10" s="160" t="str">
        <f t="array" ref="AR10">IF($AH10="","",IF(AQ10=0,"{}",LET(m,AQ10,s,MMULT(TRANSPOSE((SEQUENCE(10,1,1,1)&lt;=m)*1),VSTACK($H$27:$AB$27,$H$30:$AB$30,$H$33:$AB$33,$H$36:$AB$36,$H$39:$AB$39,$H$42:$AB$42,$H$45:$AB$45,$H$48:$AB$48,$H$51:$AB$51,$H$54:$AB$54)),"{"&amp;TEXTJOIN(",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0" s="220"/>
      <c r="AT10" s="173">
        <v>6.0</v>
      </c>
      <c r="AU10" s="223">
        <f t="shared" si="1"/>
        <v>735</v>
      </c>
      <c r="AW10" s="173">
        <v>6.0</v>
      </c>
      <c r="AX10" s="223">
        <v>1845.0</v>
      </c>
    </row>
    <row r="11">
      <c r="A11" s="192" t="s">
        <v>232</v>
      </c>
      <c r="B11" s="193">
        <v>3.0</v>
      </c>
      <c r="C11" s="220"/>
      <c r="D11" s="220"/>
      <c r="E11" s="220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158" t="str">
        <f>IF(6&lt;=$B$3,6,"")</f>
        <v/>
      </c>
      <c r="AI11" s="159" t="str">
        <f t="array" ref="AI11"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X$5:$AX$14,"&lt;="&amp;bal*shr)))</f>
        <v/>
      </c>
      <c r="AJ11" s="160" t="str">
        <f t="array" ref="AJ11">IF($AH11="","",IF(AI11=0,"{}",LET(m,AI11,s,MMULT(TRANSPOSE((SEQUENCE(10,1,1,1)&lt;=m)*1),VSTACK($H$27:$AB$27,$H$30:$AB$30,$H$33:$AB$33,$H$36:$AB$36,$H$39:$AB$39,$H$42:$AB$42,$H$45:$AB$45,$H$48:$AB$48,$H$51:$AB$51,$H$54:$AB$54)),"{"&amp;TEXTJOIN(",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1" s="159" t="str">
        <f t="array" ref="AK11"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X$5:$AX$14,"&lt;="&amp;bal*shr)))</f>
        <v/>
      </c>
      <c r="AL11" s="160" t="str">
        <f t="array" ref="AL11">IF($AH11="","",IF(AK11=0,"{}",LET(m,AK11,s,MMULT(TRANSPOSE((SEQUENCE(10,1,1,1)&lt;=m)*1),VSTACK($H$27:$AB$27,$H$30:$AB$30,$H$33:$AB$33,$H$36:$AB$36,$H$39:$AB$39,$H$42:$AB$42,$H$45:$AB$45,$H$48:$AB$48,$H$51:$AB$51,$H$54:$AB$54)),"{"&amp;TEXTJOIN(",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1" s="159" t="str">
        <f t="array" ref="AM11"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X$5:$AX$14,"&lt;="&amp;bal*shr)))</f>
        <v/>
      </c>
      <c r="AN11" s="160" t="str">
        <f t="array" ref="AN11">IF($AH11="","",IF(AM11=0,"{}",LET(m,AM11,s,MMULT(TRANSPOSE((SEQUENCE(10,1,1,1)&lt;=m)*1),VSTACK($H$27:$AB$27,$H$30:$AB$30,$H$33:$AB$33,$H$36:$AB$36,$H$39:$AB$39,$H$42:$AB$42,$H$45:$AB$45,$H$48:$AB$48,$H$51:$AB$51,$H$54:$AB$54)),"{"&amp;TEXTJOIN(",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1" s="159" t="str">
        <f t="array" ref="AO11"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X$5:$AX$14,"&lt;="&amp;bal*shr)))</f>
        <v/>
      </c>
      <c r="AP11" s="160" t="str">
        <f t="array" ref="AP11">IF($AH11="","",IF(AO11=0,"{}",LET(m,AO11,s,MMULT(TRANSPOSE((SEQUENCE(10,1,1,1)&lt;=m)*1),VSTACK($H$27:$AB$27,$H$30:$AB$30,$H$33:$AB$33,$H$36:$AB$36,$H$39:$AB$39,$H$42:$AB$42,$H$45:$AB$45,$H$48:$AB$48,$H$51:$AB$51,$H$54:$AB$54)),"{"&amp;TEXTJOIN(",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1" s="159" t="str">
        <f t="array" ref="AQ11"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X$5:$AX$14,"&lt;="&amp;bal*shr)))</f>
        <v/>
      </c>
      <c r="AR11" s="160" t="str">
        <f t="array" ref="AR11">IF($AH11="","",IF(AQ11=0,"{}",LET(m,AQ11,s,MMULT(TRANSPOSE((SEQUENCE(10,1,1,1)&lt;=m)*1),VSTACK($H$27:$AB$27,$H$30:$AB$30,$H$33:$AB$33,$H$36:$AB$36,$H$39:$AB$39,$H$42:$AB$42,$H$45:$AB$45,$H$48:$AB$48,$H$51:$AB$51,$H$54:$AB$54)),"{"&amp;TEXTJOIN(",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1" s="220"/>
      <c r="AT11" s="173">
        <v>7.0</v>
      </c>
      <c r="AU11" s="223">
        <f t="shared" si="1"/>
        <v>815</v>
      </c>
      <c r="AW11" s="173">
        <v>7.0</v>
      </c>
      <c r="AX11" s="223">
        <v>2555.0</v>
      </c>
    </row>
    <row r="12">
      <c r="A12" s="192" t="s">
        <v>233</v>
      </c>
      <c r="B12" s="193">
        <v>15.0</v>
      </c>
      <c r="C12" s="220"/>
      <c r="D12" s="220"/>
      <c r="E12" s="220"/>
      <c r="F12" s="220"/>
      <c r="G12" s="220"/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158" t="str">
        <f>IF(7&lt;=$B$3,7,"")</f>
        <v/>
      </c>
      <c r="AI12" s="159" t="str">
        <f t="array" ref="AI12"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X$5:$AX$14,"&lt;="&amp;bal*shr)))</f>
        <v/>
      </c>
      <c r="AJ12" s="160" t="str">
        <f t="array" ref="AJ12">IF($AH12="","",IF(AI12=0,"{}",LET(m,AI12,s,MMULT(TRANSPOSE((SEQUENCE(10,1,1,1)&lt;=m)*1),VSTACK($H$27:$AB$27,$H$30:$AB$30,$H$33:$AB$33,$H$36:$AB$36,$H$39:$AB$39,$H$42:$AB$42,$H$45:$AB$45,$H$48:$AB$48,$H$51:$AB$51,$H$54:$AB$54)),"{"&amp;TEXTJOIN(",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2" s="159" t="str">
        <f t="array" ref="AK12"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X$5:$AX$14,"&lt;="&amp;bal*shr)))</f>
        <v/>
      </c>
      <c r="AL12" s="160" t="str">
        <f t="array" ref="AL12">IF($AH12="","",IF(AK12=0,"{}",LET(m,AK12,s,MMULT(TRANSPOSE((SEQUENCE(10,1,1,1)&lt;=m)*1),VSTACK($H$27:$AB$27,$H$30:$AB$30,$H$33:$AB$33,$H$36:$AB$36,$H$39:$AB$39,$H$42:$AB$42,$H$45:$AB$45,$H$48:$AB$48,$H$51:$AB$51,$H$54:$AB$54)),"{"&amp;TEXTJOIN(",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2" s="159" t="str">
        <f t="array" ref="AM12"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X$5:$AX$14,"&lt;="&amp;bal*shr)))</f>
        <v/>
      </c>
      <c r="AN12" s="160" t="str">
        <f t="array" ref="AN12">IF($AH12="","",IF(AM12=0,"{}",LET(m,AM12,s,MMULT(TRANSPOSE((SEQUENCE(10,1,1,1)&lt;=m)*1),VSTACK($H$27:$AB$27,$H$30:$AB$30,$H$33:$AB$33,$H$36:$AB$36,$H$39:$AB$39,$H$42:$AB$42,$H$45:$AB$45,$H$48:$AB$48,$H$51:$AB$51,$H$54:$AB$54)),"{"&amp;TEXTJOIN(",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2" s="159" t="str">
        <f t="array" ref="AO12"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X$5:$AX$14,"&lt;="&amp;bal*shr)))</f>
        <v/>
      </c>
      <c r="AP12" s="160" t="str">
        <f t="array" ref="AP12">IF($AH12="","",IF(AO12=0,"{}",LET(m,AO12,s,MMULT(TRANSPOSE((SEQUENCE(10,1,1,1)&lt;=m)*1),VSTACK($H$27:$AB$27,$H$30:$AB$30,$H$33:$AB$33,$H$36:$AB$36,$H$39:$AB$39,$H$42:$AB$42,$H$45:$AB$45,$H$48:$AB$48,$H$51:$AB$51,$H$54:$AB$54)),"{"&amp;TEXTJOIN(",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2" s="159" t="str">
        <f t="array" ref="AQ12"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X$5:$AX$14,"&lt;="&amp;bal*shr)))</f>
        <v/>
      </c>
      <c r="AR12" s="160" t="str">
        <f t="array" ref="AR12">IF($AH12="","",IF(AQ12=0,"{}",LET(m,AQ12,s,MMULT(TRANSPOSE((SEQUENCE(10,1,1,1)&lt;=m)*1),VSTACK($H$27:$AB$27,$H$30:$AB$30,$H$33:$AB$33,$H$36:$AB$36,$H$39:$AB$39,$H$42:$AB$42,$H$45:$AB$45,$H$48:$AB$48,$H$51:$AB$51,$H$54:$AB$54)),"{"&amp;TEXTJOIN(",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2" s="220"/>
      <c r="AT12" s="173">
        <v>8.0</v>
      </c>
      <c r="AU12" s="223">
        <f t="shared" si="1"/>
        <v>950</v>
      </c>
      <c r="AW12" s="173">
        <v>8.0</v>
      </c>
      <c r="AX12" s="223">
        <v>3415.0</v>
      </c>
    </row>
    <row r="13">
      <c r="A13" s="192" t="s">
        <v>234</v>
      </c>
      <c r="B13" s="193" t="s">
        <v>235</v>
      </c>
      <c r="C13" s="220"/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173">
        <v>9.0</v>
      </c>
      <c r="AU13" s="223">
        <f t="shared" si="1"/>
        <v>1115</v>
      </c>
      <c r="AW13" s="173">
        <v>9.0</v>
      </c>
      <c r="AX13" s="223">
        <v>4675.0</v>
      </c>
    </row>
    <row r="14">
      <c r="A14" s="220"/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173">
        <v>10.0</v>
      </c>
      <c r="AU14" s="223">
        <f t="shared" si="1"/>
        <v>1280</v>
      </c>
      <c r="AW14" s="173">
        <v>10.0</v>
      </c>
      <c r="AX14" s="223">
        <v>6735.0</v>
      </c>
    </row>
    <row r="15" ht="19.5" customHeight="1">
      <c r="A15" s="184" t="s">
        <v>236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  <c r="AR15" s="220"/>
      <c r="AS15" s="220"/>
      <c r="AT15" s="173">
        <v>11.0</v>
      </c>
      <c r="AU15" s="223">
        <f t="shared" si="1"/>
        <v>1510</v>
      </c>
    </row>
    <row r="16" ht="21.75" customHeight="1">
      <c r="A16" s="161" t="s">
        <v>98</v>
      </c>
      <c r="B16" s="161" t="s">
        <v>237</v>
      </c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0"/>
      <c r="AQ16" s="220"/>
      <c r="AR16" s="220"/>
      <c r="AS16" s="220"/>
      <c r="AT16" s="173">
        <v>12.0</v>
      </c>
      <c r="AU16" s="223">
        <f t="shared" si="1"/>
        <v>1775</v>
      </c>
      <c r="AW16" s="225" t="s">
        <v>281</v>
      </c>
    </row>
    <row r="17">
      <c r="A17" s="195">
        <v>1.0</v>
      </c>
      <c r="B17" s="195" t="s">
        <v>238</v>
      </c>
      <c r="C17" s="220"/>
      <c r="D17" s="220"/>
      <c r="E17" s="220"/>
      <c r="F17" s="220"/>
      <c r="G17" s="220"/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173">
        <v>13.0</v>
      </c>
      <c r="AU17" s="223">
        <f t="shared" si="1"/>
        <v>1955</v>
      </c>
    </row>
    <row r="18">
      <c r="A18" s="195">
        <v>2.0</v>
      </c>
      <c r="B18" s="195" t="s">
        <v>239</v>
      </c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173">
        <v>14.0</v>
      </c>
      <c r="AU18" s="223">
        <f t="shared" si="1"/>
        <v>2205</v>
      </c>
    </row>
    <row r="19">
      <c r="A19" s="195">
        <v>3.0</v>
      </c>
      <c r="B19" s="195" t="s">
        <v>240</v>
      </c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173">
        <v>15.0</v>
      </c>
      <c r="AU19" s="223">
        <f t="shared" si="1"/>
        <v>2505</v>
      </c>
    </row>
    <row r="20">
      <c r="A20" s="195">
        <v>4.0</v>
      </c>
      <c r="B20" s="195" t="s">
        <v>241</v>
      </c>
      <c r="C20" s="220"/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173">
        <v>16.0</v>
      </c>
      <c r="AU20" s="223">
        <f t="shared" si="1"/>
        <v>2685</v>
      </c>
    </row>
    <row r="21" ht="15.75" customHeight="1">
      <c r="A21" s="195">
        <v>5.0</v>
      </c>
      <c r="B21" s="195" t="s">
        <v>242</v>
      </c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220"/>
      <c r="AQ21" s="220"/>
      <c r="AR21" s="220"/>
      <c r="AS21" s="220"/>
      <c r="AT21" s="173">
        <v>17.0</v>
      </c>
      <c r="AU21" s="223">
        <f t="shared" si="1"/>
        <v>2945</v>
      </c>
    </row>
    <row r="22" ht="15.75" customHeight="1">
      <c r="A22" s="220"/>
      <c r="B22" s="220"/>
      <c r="C22" s="220"/>
      <c r="D22" s="220"/>
      <c r="E22" s="220"/>
      <c r="F22" s="220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173">
        <v>18.0</v>
      </c>
      <c r="AU22" s="223">
        <f t="shared" si="1"/>
        <v>3245</v>
      </c>
    </row>
    <row r="23" ht="19.5" customHeight="1">
      <c r="A23" s="184" t="s">
        <v>243</v>
      </c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173">
        <v>19.0</v>
      </c>
      <c r="AU23" s="223">
        <f t="shared" si="1"/>
        <v>3545</v>
      </c>
    </row>
    <row r="24" ht="90.0" customHeight="1">
      <c r="A24" s="161" t="s">
        <v>244</v>
      </c>
      <c r="B24" s="161" t="s">
        <v>245</v>
      </c>
      <c r="C24" s="161" t="s">
        <v>246</v>
      </c>
      <c r="D24" s="161" t="s">
        <v>247</v>
      </c>
      <c r="E24" s="161" t="s">
        <v>248</v>
      </c>
      <c r="F24" s="161" t="s">
        <v>249</v>
      </c>
      <c r="G24" s="162" t="s">
        <v>250</v>
      </c>
      <c r="H24" s="226" t="s">
        <v>82</v>
      </c>
      <c r="I24" s="197" t="s">
        <v>68</v>
      </c>
      <c r="J24" s="197" t="s">
        <v>103</v>
      </c>
      <c r="K24" s="197" t="s">
        <v>69</v>
      </c>
      <c r="L24" s="197" t="s">
        <v>70</v>
      </c>
      <c r="M24" s="197" t="s">
        <v>71</v>
      </c>
      <c r="N24" s="197" t="s">
        <v>72</v>
      </c>
      <c r="O24" s="197" t="s">
        <v>73</v>
      </c>
      <c r="P24" s="197" t="s">
        <v>74</v>
      </c>
      <c r="Q24" s="197" t="s">
        <v>75</v>
      </c>
      <c r="R24" s="197" t="s">
        <v>76</v>
      </c>
      <c r="S24" s="197" t="s">
        <v>77</v>
      </c>
      <c r="T24" s="197" t="s">
        <v>78</v>
      </c>
      <c r="U24" s="197" t="s">
        <v>118</v>
      </c>
      <c r="V24" s="197" t="s">
        <v>104</v>
      </c>
      <c r="W24" s="197" t="s">
        <v>105</v>
      </c>
      <c r="X24" s="197" t="s">
        <v>106</v>
      </c>
      <c r="Y24" s="197" t="s">
        <v>107</v>
      </c>
      <c r="Z24" s="197" t="s">
        <v>108</v>
      </c>
      <c r="AA24" s="197" t="s">
        <v>109</v>
      </c>
      <c r="AB24" s="197" t="s">
        <v>110</v>
      </c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173">
        <v>20.0</v>
      </c>
      <c r="AU24" s="223">
        <f t="shared" si="1"/>
        <v>3920</v>
      </c>
    </row>
    <row r="25" ht="15.75" customHeight="1">
      <c r="A25" s="195">
        <v>1.0</v>
      </c>
      <c r="B25" s="195">
        <v>1.0</v>
      </c>
      <c r="C25" s="227" t="s">
        <v>251</v>
      </c>
      <c r="D25" s="227" t="s">
        <v>252</v>
      </c>
      <c r="E25" s="195">
        <v>0.0</v>
      </c>
      <c r="F25" s="195">
        <v>80.0</v>
      </c>
      <c r="G25" s="228">
        <f t="shared" ref="G25:G54" si="2">A25</f>
        <v>1</v>
      </c>
      <c r="H25" s="229">
        <v>0.0</v>
      </c>
      <c r="I25" s="195">
        <v>0.0</v>
      </c>
      <c r="J25" s="195">
        <v>0.0</v>
      </c>
      <c r="K25" s="195">
        <v>0.0</v>
      </c>
      <c r="L25" s="195">
        <v>0.0</v>
      </c>
      <c r="M25" s="195">
        <v>0.0</v>
      </c>
      <c r="N25" s="195">
        <v>0.0</v>
      </c>
      <c r="O25" s="195">
        <v>0.0</v>
      </c>
      <c r="P25" s="195">
        <v>0.0</v>
      </c>
      <c r="Q25" s="195">
        <v>0.0</v>
      </c>
      <c r="R25" s="195">
        <v>0.0</v>
      </c>
      <c r="S25" s="195">
        <v>0.0</v>
      </c>
      <c r="T25" s="195">
        <v>0.0</v>
      </c>
      <c r="U25" s="195">
        <v>0.0</v>
      </c>
      <c r="V25" s="195">
        <v>0.0</v>
      </c>
      <c r="W25" s="195">
        <v>0.0</v>
      </c>
      <c r="X25" s="195">
        <v>0.0</v>
      </c>
      <c r="Y25" s="195">
        <v>0.0</v>
      </c>
      <c r="Z25" s="195">
        <v>0.0</v>
      </c>
      <c r="AA25" s="195">
        <v>0.0</v>
      </c>
      <c r="AB25" s="195">
        <v>0.0</v>
      </c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173">
        <v>21.0</v>
      </c>
      <c r="AU25" s="223">
        <f t="shared" si="1"/>
        <v>4330</v>
      </c>
    </row>
    <row r="26" ht="15.75" customHeight="1">
      <c r="A26" s="195">
        <v>2.0</v>
      </c>
      <c r="B26" s="195">
        <v>1.0</v>
      </c>
      <c r="C26" s="227" t="s">
        <v>251</v>
      </c>
      <c r="D26" s="227" t="s">
        <v>253</v>
      </c>
      <c r="E26" s="195">
        <v>0.0</v>
      </c>
      <c r="F26" s="195">
        <v>130.0</v>
      </c>
      <c r="G26" s="228">
        <f t="shared" si="2"/>
        <v>2</v>
      </c>
      <c r="H26" s="229">
        <v>0.0</v>
      </c>
      <c r="I26" s="195">
        <v>0.0</v>
      </c>
      <c r="J26" s="195">
        <v>0.0</v>
      </c>
      <c r="K26" s="195">
        <v>0.0</v>
      </c>
      <c r="L26" s="195">
        <v>0.0</v>
      </c>
      <c r="M26" s="195">
        <v>0.0</v>
      </c>
      <c r="N26" s="195">
        <v>0.0</v>
      </c>
      <c r="O26" s="195">
        <v>0.0</v>
      </c>
      <c r="P26" s="195">
        <v>0.0</v>
      </c>
      <c r="Q26" s="195">
        <v>0.0</v>
      </c>
      <c r="R26" s="195">
        <v>0.0</v>
      </c>
      <c r="S26" s="195">
        <v>0.0</v>
      </c>
      <c r="T26" s="195">
        <v>0.0</v>
      </c>
      <c r="U26" s="195">
        <v>0.0</v>
      </c>
      <c r="V26" s="195">
        <v>0.0</v>
      </c>
      <c r="W26" s="195">
        <v>0.0</v>
      </c>
      <c r="X26" s="195">
        <v>0.0</v>
      </c>
      <c r="Y26" s="195">
        <v>0.0</v>
      </c>
      <c r="Z26" s="195">
        <v>0.0</v>
      </c>
      <c r="AA26" s="195">
        <v>0.0</v>
      </c>
      <c r="AB26" s="195">
        <v>0.0</v>
      </c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173">
        <v>22.0</v>
      </c>
      <c r="AU26" s="223">
        <f t="shared" si="1"/>
        <v>4715</v>
      </c>
    </row>
    <row r="27" ht="15.75" customHeight="1">
      <c r="A27" s="195">
        <v>3.0</v>
      </c>
      <c r="B27" s="195">
        <v>1.0</v>
      </c>
      <c r="C27" s="227" t="s">
        <v>251</v>
      </c>
      <c r="D27" s="227" t="s">
        <v>254</v>
      </c>
      <c r="E27" s="195">
        <v>0.0</v>
      </c>
      <c r="F27" s="195">
        <v>155.0</v>
      </c>
      <c r="G27" s="228">
        <f t="shared" si="2"/>
        <v>3</v>
      </c>
      <c r="H27" s="229">
        <v>0.0</v>
      </c>
      <c r="I27" s="195">
        <v>0.0</v>
      </c>
      <c r="J27" s="195">
        <v>0.0</v>
      </c>
      <c r="K27" s="195">
        <v>0.0</v>
      </c>
      <c r="L27" s="195">
        <v>1.0</v>
      </c>
      <c r="M27" s="195">
        <v>0.0</v>
      </c>
      <c r="N27" s="195">
        <v>0.0</v>
      </c>
      <c r="O27" s="195">
        <v>0.0</v>
      </c>
      <c r="P27" s="195">
        <v>0.0</v>
      </c>
      <c r="Q27" s="195">
        <v>0.0</v>
      </c>
      <c r="R27" s="195">
        <v>0.0</v>
      </c>
      <c r="S27" s="195">
        <v>0.0</v>
      </c>
      <c r="T27" s="195">
        <v>0.0</v>
      </c>
      <c r="U27" s="195">
        <v>0.0</v>
      </c>
      <c r="V27" s="195">
        <v>0.0</v>
      </c>
      <c r="W27" s="195">
        <v>0.0</v>
      </c>
      <c r="X27" s="195">
        <v>0.0</v>
      </c>
      <c r="Y27" s="195">
        <v>0.0</v>
      </c>
      <c r="Z27" s="195">
        <v>0.0</v>
      </c>
      <c r="AA27" s="195">
        <v>0.0</v>
      </c>
      <c r="AB27" s="195">
        <v>0.0</v>
      </c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173">
        <v>23.0</v>
      </c>
      <c r="AU27" s="223">
        <f t="shared" si="1"/>
        <v>5190</v>
      </c>
    </row>
    <row r="28" ht="15.75" customHeight="1">
      <c r="A28" s="195">
        <v>4.0</v>
      </c>
      <c r="B28" s="195">
        <v>2.0</v>
      </c>
      <c r="C28" s="227" t="s">
        <v>255</v>
      </c>
      <c r="D28" s="227" t="s">
        <v>256</v>
      </c>
      <c r="E28" s="195">
        <v>2.0</v>
      </c>
      <c r="F28" s="195">
        <v>80.0</v>
      </c>
      <c r="G28" s="228">
        <f t="shared" si="2"/>
        <v>4</v>
      </c>
      <c r="H28" s="229">
        <v>0.0</v>
      </c>
      <c r="I28" s="195">
        <v>0.0</v>
      </c>
      <c r="J28" s="195">
        <v>0.0</v>
      </c>
      <c r="K28" s="195">
        <v>0.0</v>
      </c>
      <c r="L28" s="195">
        <v>0.0</v>
      </c>
      <c r="M28" s="195">
        <v>0.0</v>
      </c>
      <c r="N28" s="195">
        <v>0.0</v>
      </c>
      <c r="O28" s="195">
        <v>0.0</v>
      </c>
      <c r="P28" s="195">
        <v>0.0</v>
      </c>
      <c r="Q28" s="195">
        <v>0.0</v>
      </c>
      <c r="R28" s="195">
        <v>0.0</v>
      </c>
      <c r="S28" s="195">
        <v>0.0</v>
      </c>
      <c r="T28" s="195">
        <v>0.0</v>
      </c>
      <c r="U28" s="195">
        <v>0.0</v>
      </c>
      <c r="V28" s="195">
        <v>0.0</v>
      </c>
      <c r="W28" s="195">
        <v>0.0</v>
      </c>
      <c r="X28" s="195">
        <v>0.0</v>
      </c>
      <c r="Y28" s="195">
        <v>0.0</v>
      </c>
      <c r="Z28" s="195">
        <v>0.0</v>
      </c>
      <c r="AA28" s="195">
        <v>0.0</v>
      </c>
      <c r="AB28" s="195">
        <v>0.0</v>
      </c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173">
        <v>24.0</v>
      </c>
      <c r="AU28" s="223">
        <f t="shared" si="1"/>
        <v>5690</v>
      </c>
    </row>
    <row r="29" ht="15.75" customHeight="1">
      <c r="A29" s="195">
        <v>5.0</v>
      </c>
      <c r="B29" s="195">
        <v>2.0</v>
      </c>
      <c r="C29" s="227" t="s">
        <v>255</v>
      </c>
      <c r="D29" s="227" t="s">
        <v>257</v>
      </c>
      <c r="E29" s="195">
        <v>2.0</v>
      </c>
      <c r="F29" s="195">
        <v>130.0</v>
      </c>
      <c r="G29" s="228">
        <f t="shared" si="2"/>
        <v>5</v>
      </c>
      <c r="H29" s="229">
        <v>0.0</v>
      </c>
      <c r="I29" s="195">
        <v>0.0</v>
      </c>
      <c r="J29" s="195">
        <v>0.0</v>
      </c>
      <c r="K29" s="195">
        <v>0.0</v>
      </c>
      <c r="L29" s="195">
        <v>0.0</v>
      </c>
      <c r="M29" s="195">
        <v>0.0</v>
      </c>
      <c r="N29" s="195">
        <v>0.0</v>
      </c>
      <c r="O29" s="195">
        <v>0.0</v>
      </c>
      <c r="P29" s="195">
        <v>0.0</v>
      </c>
      <c r="Q29" s="195">
        <v>0.0</v>
      </c>
      <c r="R29" s="195">
        <v>0.0</v>
      </c>
      <c r="S29" s="195">
        <v>0.0</v>
      </c>
      <c r="T29" s="195">
        <v>0.0</v>
      </c>
      <c r="U29" s="195">
        <v>0.0</v>
      </c>
      <c r="V29" s="195">
        <v>0.0</v>
      </c>
      <c r="W29" s="195">
        <v>0.0</v>
      </c>
      <c r="X29" s="195">
        <v>0.0</v>
      </c>
      <c r="Y29" s="195">
        <v>0.0</v>
      </c>
      <c r="Z29" s="195">
        <v>0.0</v>
      </c>
      <c r="AA29" s="195">
        <v>0.0</v>
      </c>
      <c r="AB29" s="195">
        <v>0.0</v>
      </c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20"/>
      <c r="AT29" s="173">
        <v>25.0</v>
      </c>
      <c r="AU29" s="223">
        <f t="shared" si="1"/>
        <v>6090</v>
      </c>
    </row>
    <row r="30" ht="15.75" customHeight="1">
      <c r="A30" s="195">
        <v>6.0</v>
      </c>
      <c r="B30" s="195">
        <v>2.0</v>
      </c>
      <c r="C30" s="227" t="s">
        <v>255</v>
      </c>
      <c r="D30" s="227" t="s">
        <v>258</v>
      </c>
      <c r="E30" s="195">
        <v>2.0</v>
      </c>
      <c r="F30" s="195">
        <v>160.0</v>
      </c>
      <c r="G30" s="228">
        <f t="shared" si="2"/>
        <v>6</v>
      </c>
      <c r="H30" s="229">
        <v>0.0</v>
      </c>
      <c r="I30" s="195">
        <v>0.0</v>
      </c>
      <c r="J30" s="195">
        <v>0.0</v>
      </c>
      <c r="K30" s="195">
        <v>0.0</v>
      </c>
      <c r="L30" s="195">
        <v>0.0</v>
      </c>
      <c r="M30" s="195">
        <v>0.0</v>
      </c>
      <c r="N30" s="195">
        <v>0.0</v>
      </c>
      <c r="O30" s="195">
        <v>0.0</v>
      </c>
      <c r="P30" s="195">
        <v>0.0</v>
      </c>
      <c r="Q30" s="195">
        <v>30.0</v>
      </c>
      <c r="R30" s="195">
        <v>0.0</v>
      </c>
      <c r="S30" s="195">
        <v>0.0</v>
      </c>
      <c r="T30" s="195">
        <v>0.0</v>
      </c>
      <c r="U30" s="195">
        <v>0.0</v>
      </c>
      <c r="V30" s="195">
        <v>0.0</v>
      </c>
      <c r="W30" s="195">
        <v>0.0</v>
      </c>
      <c r="X30" s="195">
        <v>0.0</v>
      </c>
      <c r="Y30" s="195">
        <v>0.0</v>
      </c>
      <c r="Z30" s="195">
        <v>0.0</v>
      </c>
      <c r="AA30" s="195">
        <v>0.0</v>
      </c>
      <c r="AB30" s="195">
        <v>0.0</v>
      </c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0"/>
      <c r="AT30" s="173">
        <v>26.0</v>
      </c>
      <c r="AU30" s="223">
        <f t="shared" si="1"/>
        <v>6570</v>
      </c>
    </row>
    <row r="31" ht="15.75" customHeight="1">
      <c r="A31" s="195">
        <v>7.0</v>
      </c>
      <c r="B31" s="195">
        <v>3.0</v>
      </c>
      <c r="C31" s="227" t="s">
        <v>259</v>
      </c>
      <c r="D31" s="227" t="s">
        <v>252</v>
      </c>
      <c r="E31" s="195">
        <v>4.0</v>
      </c>
      <c r="F31" s="195">
        <v>80.0</v>
      </c>
      <c r="G31" s="228">
        <f t="shared" si="2"/>
        <v>7</v>
      </c>
      <c r="H31" s="229">
        <v>0.0</v>
      </c>
      <c r="I31" s="195">
        <v>0.0</v>
      </c>
      <c r="J31" s="195">
        <v>0.0</v>
      </c>
      <c r="K31" s="195">
        <v>0.0</v>
      </c>
      <c r="L31" s="195">
        <v>0.0</v>
      </c>
      <c r="M31" s="195">
        <v>0.0</v>
      </c>
      <c r="N31" s="195">
        <v>0.0</v>
      </c>
      <c r="O31" s="195">
        <v>0.0</v>
      </c>
      <c r="P31" s="195">
        <v>0.0</v>
      </c>
      <c r="Q31" s="195">
        <v>0.0</v>
      </c>
      <c r="R31" s="195">
        <v>0.0</v>
      </c>
      <c r="S31" s="195">
        <v>0.0</v>
      </c>
      <c r="T31" s="195">
        <v>0.0</v>
      </c>
      <c r="U31" s="195">
        <v>0.0</v>
      </c>
      <c r="V31" s="195">
        <v>0.0</v>
      </c>
      <c r="W31" s="195">
        <v>0.0</v>
      </c>
      <c r="X31" s="195">
        <v>0.0</v>
      </c>
      <c r="Y31" s="195">
        <v>0.0</v>
      </c>
      <c r="Z31" s="195">
        <v>0.0</v>
      </c>
      <c r="AA31" s="195">
        <v>0.0</v>
      </c>
      <c r="AB31" s="195">
        <v>0.0</v>
      </c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173">
        <v>27.0</v>
      </c>
      <c r="AU31" s="223">
        <f t="shared" si="1"/>
        <v>7090</v>
      </c>
    </row>
    <row r="32" ht="15.75" customHeight="1">
      <c r="A32" s="195">
        <v>8.0</v>
      </c>
      <c r="B32" s="195">
        <v>3.0</v>
      </c>
      <c r="C32" s="227" t="s">
        <v>259</v>
      </c>
      <c r="D32" s="227" t="s">
        <v>253</v>
      </c>
      <c r="E32" s="195">
        <v>4.0</v>
      </c>
      <c r="F32" s="195">
        <v>135.0</v>
      </c>
      <c r="G32" s="228">
        <f t="shared" si="2"/>
        <v>8</v>
      </c>
      <c r="H32" s="229">
        <v>0.0</v>
      </c>
      <c r="I32" s="195">
        <v>0.0</v>
      </c>
      <c r="J32" s="195">
        <v>0.0</v>
      </c>
      <c r="K32" s="195">
        <v>0.0</v>
      </c>
      <c r="L32" s="195">
        <v>0.0</v>
      </c>
      <c r="M32" s="195">
        <v>0.0</v>
      </c>
      <c r="N32" s="195">
        <v>0.0</v>
      </c>
      <c r="O32" s="195">
        <v>0.0</v>
      </c>
      <c r="P32" s="195">
        <v>0.0</v>
      </c>
      <c r="Q32" s="195">
        <v>0.0</v>
      </c>
      <c r="R32" s="195">
        <v>0.0</v>
      </c>
      <c r="S32" s="195">
        <v>0.0</v>
      </c>
      <c r="T32" s="195">
        <v>0.0</v>
      </c>
      <c r="U32" s="195">
        <v>0.0</v>
      </c>
      <c r="V32" s="195">
        <v>0.0</v>
      </c>
      <c r="W32" s="195">
        <v>0.0</v>
      </c>
      <c r="X32" s="195">
        <v>0.0</v>
      </c>
      <c r="Y32" s="195">
        <v>0.0</v>
      </c>
      <c r="Z32" s="195">
        <v>0.0</v>
      </c>
      <c r="AA32" s="195">
        <v>0.0</v>
      </c>
      <c r="AB32" s="195">
        <v>0.0</v>
      </c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173">
        <v>28.0</v>
      </c>
      <c r="AU32" s="223">
        <f t="shared" si="1"/>
        <v>7690</v>
      </c>
    </row>
    <row r="33" ht="15.75" customHeight="1">
      <c r="A33" s="195">
        <v>9.0</v>
      </c>
      <c r="B33" s="195">
        <v>3.0</v>
      </c>
      <c r="C33" s="227" t="s">
        <v>259</v>
      </c>
      <c r="D33" s="227" t="s">
        <v>254</v>
      </c>
      <c r="E33" s="195">
        <v>4.0</v>
      </c>
      <c r="F33" s="195">
        <v>165.0</v>
      </c>
      <c r="G33" s="228">
        <f t="shared" si="2"/>
        <v>9</v>
      </c>
      <c r="H33" s="229">
        <v>25.0</v>
      </c>
      <c r="I33" s="195">
        <v>0.0</v>
      </c>
      <c r="J33" s="195">
        <v>0.0</v>
      </c>
      <c r="K33" s="195">
        <v>0.0</v>
      </c>
      <c r="L33" s="195">
        <v>0.0</v>
      </c>
      <c r="M33" s="195">
        <v>0.0</v>
      </c>
      <c r="N33" s="195">
        <v>0.0</v>
      </c>
      <c r="O33" s="195">
        <v>0.0</v>
      </c>
      <c r="P33" s="195">
        <v>0.0</v>
      </c>
      <c r="Q33" s="195">
        <v>0.0</v>
      </c>
      <c r="R33" s="195">
        <v>0.0</v>
      </c>
      <c r="S33" s="195">
        <v>0.0</v>
      </c>
      <c r="T33" s="195">
        <v>0.0</v>
      </c>
      <c r="U33" s="195">
        <v>0.0</v>
      </c>
      <c r="V33" s="195">
        <v>0.0</v>
      </c>
      <c r="W33" s="195">
        <v>0.0</v>
      </c>
      <c r="X33" s="195">
        <v>0.0</v>
      </c>
      <c r="Y33" s="195">
        <v>0.0</v>
      </c>
      <c r="Z33" s="195">
        <v>0.0</v>
      </c>
      <c r="AA33" s="195">
        <v>0.0</v>
      </c>
      <c r="AB33" s="195">
        <v>0.0</v>
      </c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220"/>
      <c r="AP33" s="220"/>
      <c r="AQ33" s="220"/>
      <c r="AR33" s="220"/>
      <c r="AS33" s="220"/>
      <c r="AT33" s="173">
        <v>29.0</v>
      </c>
      <c r="AU33" s="223">
        <f t="shared" si="1"/>
        <v>8290</v>
      </c>
    </row>
    <row r="34" ht="15.75" customHeight="1">
      <c r="A34" s="195">
        <v>10.0</v>
      </c>
      <c r="B34" s="195">
        <v>4.0</v>
      </c>
      <c r="C34" s="227" t="s">
        <v>260</v>
      </c>
      <c r="D34" s="227" t="s">
        <v>252</v>
      </c>
      <c r="E34" s="195">
        <v>6.0</v>
      </c>
      <c r="F34" s="195">
        <v>165.0</v>
      </c>
      <c r="G34" s="228">
        <f t="shared" si="2"/>
        <v>10</v>
      </c>
      <c r="H34" s="229">
        <v>0.0</v>
      </c>
      <c r="I34" s="195">
        <v>0.0</v>
      </c>
      <c r="J34" s="195">
        <v>0.0</v>
      </c>
      <c r="K34" s="195">
        <v>0.0</v>
      </c>
      <c r="L34" s="195">
        <v>0.0</v>
      </c>
      <c r="M34" s="195">
        <v>0.0</v>
      </c>
      <c r="N34" s="195">
        <v>0.0</v>
      </c>
      <c r="O34" s="195">
        <v>0.0</v>
      </c>
      <c r="P34" s="195">
        <v>0.0</v>
      </c>
      <c r="Q34" s="195">
        <v>0.0</v>
      </c>
      <c r="R34" s="195">
        <v>0.0</v>
      </c>
      <c r="S34" s="195">
        <v>0.0</v>
      </c>
      <c r="T34" s="195">
        <v>0.0</v>
      </c>
      <c r="U34" s="195">
        <v>0.0</v>
      </c>
      <c r="V34" s="195">
        <v>0.0</v>
      </c>
      <c r="W34" s="195">
        <v>0.0</v>
      </c>
      <c r="X34" s="195">
        <v>0.0</v>
      </c>
      <c r="Y34" s="195">
        <v>0.0</v>
      </c>
      <c r="Z34" s="195">
        <v>0.0</v>
      </c>
      <c r="AA34" s="195">
        <v>0.0</v>
      </c>
      <c r="AB34" s="195">
        <v>0.0</v>
      </c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20"/>
      <c r="AT34" s="173">
        <v>30.0</v>
      </c>
      <c r="AU34" s="223">
        <f t="shared" si="1"/>
        <v>8890</v>
      </c>
    </row>
    <row r="35" ht="15.75" customHeight="1">
      <c r="A35" s="195">
        <v>11.0</v>
      </c>
      <c r="B35" s="195">
        <v>4.0</v>
      </c>
      <c r="C35" s="227" t="s">
        <v>260</v>
      </c>
      <c r="D35" s="227" t="s">
        <v>253</v>
      </c>
      <c r="E35" s="195">
        <v>6.0</v>
      </c>
      <c r="F35" s="195">
        <v>230.0</v>
      </c>
      <c r="G35" s="228">
        <f t="shared" si="2"/>
        <v>11</v>
      </c>
      <c r="H35" s="229">
        <v>0.0</v>
      </c>
      <c r="I35" s="195">
        <v>0.0</v>
      </c>
      <c r="J35" s="195">
        <v>0.0</v>
      </c>
      <c r="K35" s="195">
        <v>0.0</v>
      </c>
      <c r="L35" s="195">
        <v>0.0</v>
      </c>
      <c r="M35" s="195">
        <v>0.0</v>
      </c>
      <c r="N35" s="195">
        <v>0.0</v>
      </c>
      <c r="O35" s="195">
        <v>0.0</v>
      </c>
      <c r="P35" s="195">
        <v>0.0</v>
      </c>
      <c r="Q35" s="195">
        <v>0.0</v>
      </c>
      <c r="R35" s="195">
        <v>0.0</v>
      </c>
      <c r="S35" s="195">
        <v>0.0</v>
      </c>
      <c r="T35" s="195">
        <v>0.0</v>
      </c>
      <c r="U35" s="195">
        <v>0.0</v>
      </c>
      <c r="V35" s="195">
        <v>0.0</v>
      </c>
      <c r="W35" s="195">
        <v>0.0</v>
      </c>
      <c r="X35" s="195">
        <v>0.0</v>
      </c>
      <c r="Y35" s="195">
        <v>0.0</v>
      </c>
      <c r="Z35" s="195">
        <v>0.0</v>
      </c>
      <c r="AA35" s="195">
        <v>0.0</v>
      </c>
      <c r="AB35" s="195">
        <v>0.0</v>
      </c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  <c r="AN35" s="220"/>
      <c r="AO35" s="220"/>
      <c r="AP35" s="220"/>
      <c r="AQ35" s="220"/>
      <c r="AR35" s="220"/>
      <c r="AS35" s="220"/>
      <c r="AT35" s="220"/>
      <c r="AU35" s="220"/>
    </row>
    <row r="36" ht="15.75" customHeight="1">
      <c r="A36" s="195">
        <v>12.0</v>
      </c>
      <c r="B36" s="195">
        <v>4.0</v>
      </c>
      <c r="C36" s="227" t="s">
        <v>260</v>
      </c>
      <c r="D36" s="227" t="s">
        <v>254</v>
      </c>
      <c r="E36" s="195">
        <v>6.0</v>
      </c>
      <c r="F36" s="195">
        <v>265.0</v>
      </c>
      <c r="G36" s="228">
        <f t="shared" si="2"/>
        <v>12</v>
      </c>
      <c r="H36" s="229">
        <v>0.0</v>
      </c>
      <c r="I36" s="195">
        <v>0.0</v>
      </c>
      <c r="J36" s="195">
        <v>0.0</v>
      </c>
      <c r="K36" s="195">
        <v>0.0</v>
      </c>
      <c r="L36" s="195">
        <v>0.0</v>
      </c>
      <c r="M36" s="195">
        <v>0.0</v>
      </c>
      <c r="N36" s="195">
        <v>0.0</v>
      </c>
      <c r="O36" s="195">
        <v>0.0</v>
      </c>
      <c r="P36" s="195">
        <v>0.0</v>
      </c>
      <c r="Q36" s="195">
        <v>30.0</v>
      </c>
      <c r="R36" s="195">
        <v>15.0</v>
      </c>
      <c r="S36" s="195">
        <v>0.0</v>
      </c>
      <c r="T36" s="195">
        <v>0.0</v>
      </c>
      <c r="U36" s="195">
        <v>0.0</v>
      </c>
      <c r="V36" s="195">
        <v>0.0</v>
      </c>
      <c r="W36" s="195">
        <v>0.0</v>
      </c>
      <c r="X36" s="195">
        <v>0.0</v>
      </c>
      <c r="Y36" s="195">
        <v>0.0</v>
      </c>
      <c r="Z36" s="195">
        <v>0.0</v>
      </c>
      <c r="AA36" s="195">
        <v>0.0</v>
      </c>
      <c r="AB36" s="195">
        <v>0.0</v>
      </c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0"/>
      <c r="AR36" s="220"/>
      <c r="AS36" s="220"/>
      <c r="AT36" s="176" t="s">
        <v>282</v>
      </c>
      <c r="AU36" s="220"/>
    </row>
    <row r="37" ht="15.75" customHeight="1">
      <c r="A37" s="195">
        <v>13.0</v>
      </c>
      <c r="B37" s="195">
        <v>5.0</v>
      </c>
      <c r="C37" s="227" t="s">
        <v>261</v>
      </c>
      <c r="D37" s="227" t="s">
        <v>256</v>
      </c>
      <c r="E37" s="195">
        <v>8.0</v>
      </c>
      <c r="F37" s="195">
        <v>180.0</v>
      </c>
      <c r="G37" s="228">
        <f t="shared" si="2"/>
        <v>13</v>
      </c>
      <c r="H37" s="229">
        <v>0.0</v>
      </c>
      <c r="I37" s="195">
        <v>0.0</v>
      </c>
      <c r="J37" s="195">
        <v>0.0</v>
      </c>
      <c r="K37" s="195">
        <v>0.0</v>
      </c>
      <c r="L37" s="195">
        <v>0.0</v>
      </c>
      <c r="M37" s="195">
        <v>0.0</v>
      </c>
      <c r="N37" s="195">
        <v>0.0</v>
      </c>
      <c r="O37" s="195">
        <v>0.0</v>
      </c>
      <c r="P37" s="195">
        <v>0.0</v>
      </c>
      <c r="Q37" s="195">
        <v>0.0</v>
      </c>
      <c r="R37" s="195">
        <v>0.0</v>
      </c>
      <c r="S37" s="195">
        <v>0.0</v>
      </c>
      <c r="T37" s="195">
        <v>0.0</v>
      </c>
      <c r="U37" s="195">
        <v>0.0</v>
      </c>
      <c r="V37" s="195">
        <v>0.0</v>
      </c>
      <c r="W37" s="195">
        <v>0.0</v>
      </c>
      <c r="X37" s="195">
        <v>0.0</v>
      </c>
      <c r="Y37" s="195">
        <v>0.0</v>
      </c>
      <c r="Z37" s="195">
        <v>0.0</v>
      </c>
      <c r="AA37" s="195">
        <v>0.0</v>
      </c>
      <c r="AB37" s="195">
        <v>0.0</v>
      </c>
      <c r="AC37" s="220"/>
      <c r="AD37" s="220"/>
      <c r="AE37" s="220"/>
      <c r="AF37" s="220"/>
      <c r="AG37" s="220"/>
      <c r="AH37" s="220"/>
      <c r="AI37" s="220"/>
      <c r="AJ37" s="220"/>
      <c r="AK37" s="220"/>
      <c r="AL37" s="220"/>
      <c r="AM37" s="220"/>
      <c r="AN37" s="220"/>
      <c r="AO37" s="220"/>
      <c r="AP37" s="220"/>
      <c r="AQ37" s="220"/>
      <c r="AR37" s="220"/>
      <c r="AS37" s="220"/>
      <c r="AT37" s="220"/>
      <c r="AU37" s="220"/>
    </row>
    <row r="38" ht="15.75" customHeight="1">
      <c r="A38" s="195">
        <v>14.0</v>
      </c>
      <c r="B38" s="195">
        <v>5.0</v>
      </c>
      <c r="C38" s="227" t="s">
        <v>261</v>
      </c>
      <c r="D38" s="227" t="s">
        <v>257</v>
      </c>
      <c r="E38" s="195">
        <v>8.0</v>
      </c>
      <c r="F38" s="195">
        <v>250.0</v>
      </c>
      <c r="G38" s="228">
        <f t="shared" si="2"/>
        <v>14</v>
      </c>
      <c r="H38" s="229">
        <v>0.0</v>
      </c>
      <c r="I38" s="195">
        <v>0.0</v>
      </c>
      <c r="J38" s="195">
        <v>0.0</v>
      </c>
      <c r="K38" s="195">
        <v>0.0</v>
      </c>
      <c r="L38" s="195">
        <v>0.0</v>
      </c>
      <c r="M38" s="195">
        <v>0.0</v>
      </c>
      <c r="N38" s="195">
        <v>0.0</v>
      </c>
      <c r="O38" s="195">
        <v>0.0</v>
      </c>
      <c r="P38" s="195">
        <v>0.0</v>
      </c>
      <c r="Q38" s="195">
        <v>0.0</v>
      </c>
      <c r="R38" s="195">
        <v>0.0</v>
      </c>
      <c r="S38" s="195">
        <v>0.0</v>
      </c>
      <c r="T38" s="195">
        <v>0.0</v>
      </c>
      <c r="U38" s="195">
        <v>0.0</v>
      </c>
      <c r="V38" s="195">
        <v>0.0</v>
      </c>
      <c r="W38" s="195">
        <v>0.0</v>
      </c>
      <c r="X38" s="195">
        <v>0.0</v>
      </c>
      <c r="Y38" s="195">
        <v>0.0</v>
      </c>
      <c r="Z38" s="195">
        <v>0.0</v>
      </c>
      <c r="AA38" s="195">
        <v>0.0</v>
      </c>
      <c r="AB38" s="195">
        <v>0.0</v>
      </c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</row>
    <row r="39" ht="15.75" customHeight="1">
      <c r="A39" s="195">
        <v>15.0</v>
      </c>
      <c r="B39" s="195">
        <v>5.0</v>
      </c>
      <c r="C39" s="227" t="s">
        <v>261</v>
      </c>
      <c r="D39" s="227" t="s">
        <v>258</v>
      </c>
      <c r="E39" s="195">
        <v>8.0</v>
      </c>
      <c r="F39" s="195">
        <v>300.0</v>
      </c>
      <c r="G39" s="228">
        <f t="shared" si="2"/>
        <v>15</v>
      </c>
      <c r="H39" s="229">
        <v>0.0</v>
      </c>
      <c r="I39" s="195">
        <v>0.0</v>
      </c>
      <c r="J39" s="195">
        <v>0.0</v>
      </c>
      <c r="K39" s="195">
        <v>1.0</v>
      </c>
      <c r="L39" s="195">
        <v>0.0</v>
      </c>
      <c r="M39" s="195">
        <v>0.0</v>
      </c>
      <c r="N39" s="195">
        <v>0.0</v>
      </c>
      <c r="O39" s="195">
        <v>0.0</v>
      </c>
      <c r="P39" s="195">
        <v>0.0</v>
      </c>
      <c r="Q39" s="195">
        <v>0.0</v>
      </c>
      <c r="R39" s="195">
        <v>0.0</v>
      </c>
      <c r="S39" s="195">
        <v>0.0</v>
      </c>
      <c r="T39" s="195">
        <v>0.0</v>
      </c>
      <c r="U39" s="195">
        <v>0.0</v>
      </c>
      <c r="V39" s="195">
        <v>0.0</v>
      </c>
      <c r="W39" s="195">
        <v>0.0</v>
      </c>
      <c r="X39" s="195">
        <v>0.0</v>
      </c>
      <c r="Y39" s="195">
        <v>0.0</v>
      </c>
      <c r="Z39" s="195">
        <v>0.0</v>
      </c>
      <c r="AA39" s="195">
        <v>0.0</v>
      </c>
      <c r="AB39" s="195">
        <v>0.0</v>
      </c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220"/>
      <c r="AR39" s="220"/>
      <c r="AS39" s="220"/>
      <c r="AT39" s="220"/>
      <c r="AU39" s="220"/>
    </row>
    <row r="40" ht="15.75" customHeight="1">
      <c r="A40" s="195">
        <v>16.0</v>
      </c>
      <c r="B40" s="195">
        <v>6.0</v>
      </c>
      <c r="C40" s="227" t="s">
        <v>262</v>
      </c>
      <c r="D40" s="227" t="s">
        <v>256</v>
      </c>
      <c r="E40" s="195">
        <v>10.0</v>
      </c>
      <c r="F40" s="195">
        <v>180.0</v>
      </c>
      <c r="G40" s="228">
        <f t="shared" si="2"/>
        <v>16</v>
      </c>
      <c r="H40" s="229">
        <v>0.0</v>
      </c>
      <c r="I40" s="195">
        <v>0.0</v>
      </c>
      <c r="J40" s="195">
        <v>0.0</v>
      </c>
      <c r="K40" s="195">
        <v>0.0</v>
      </c>
      <c r="L40" s="195">
        <v>0.0</v>
      </c>
      <c r="M40" s="195">
        <v>0.0</v>
      </c>
      <c r="N40" s="195">
        <v>0.0</v>
      </c>
      <c r="O40" s="195">
        <v>0.0</v>
      </c>
      <c r="P40" s="195">
        <v>0.0</v>
      </c>
      <c r="Q40" s="195">
        <v>0.0</v>
      </c>
      <c r="R40" s="195">
        <v>0.0</v>
      </c>
      <c r="S40" s="195">
        <v>0.0</v>
      </c>
      <c r="T40" s="195">
        <v>0.0</v>
      </c>
      <c r="U40" s="195">
        <v>0.0</v>
      </c>
      <c r="V40" s="195">
        <v>0.0</v>
      </c>
      <c r="W40" s="195">
        <v>0.0</v>
      </c>
      <c r="X40" s="195">
        <v>0.0</v>
      </c>
      <c r="Y40" s="195">
        <v>0.0</v>
      </c>
      <c r="Z40" s="195">
        <v>0.0</v>
      </c>
      <c r="AA40" s="195">
        <v>0.0</v>
      </c>
      <c r="AB40" s="195">
        <v>0.0</v>
      </c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</row>
    <row r="41" ht="15.75" customHeight="1">
      <c r="A41" s="195">
        <v>17.0</v>
      </c>
      <c r="B41" s="195">
        <v>6.0</v>
      </c>
      <c r="C41" s="227" t="s">
        <v>262</v>
      </c>
      <c r="D41" s="227" t="s">
        <v>257</v>
      </c>
      <c r="E41" s="195">
        <v>10.0</v>
      </c>
      <c r="F41" s="195">
        <v>260.0</v>
      </c>
      <c r="G41" s="228">
        <f t="shared" si="2"/>
        <v>17</v>
      </c>
      <c r="H41" s="229">
        <v>0.0</v>
      </c>
      <c r="I41" s="195">
        <v>0.0</v>
      </c>
      <c r="J41" s="195">
        <v>0.0</v>
      </c>
      <c r="K41" s="195">
        <v>0.0</v>
      </c>
      <c r="L41" s="195">
        <v>0.0</v>
      </c>
      <c r="M41" s="195">
        <v>0.0</v>
      </c>
      <c r="N41" s="195">
        <v>0.0</v>
      </c>
      <c r="O41" s="195">
        <v>0.0</v>
      </c>
      <c r="P41" s="195">
        <v>0.0</v>
      </c>
      <c r="Q41" s="195">
        <v>0.0</v>
      </c>
      <c r="R41" s="195">
        <v>0.0</v>
      </c>
      <c r="S41" s="195">
        <v>0.0</v>
      </c>
      <c r="T41" s="195">
        <v>0.0</v>
      </c>
      <c r="U41" s="195">
        <v>0.0</v>
      </c>
      <c r="V41" s="195">
        <v>0.0</v>
      </c>
      <c r="W41" s="195">
        <v>0.0</v>
      </c>
      <c r="X41" s="195">
        <v>0.0</v>
      </c>
      <c r="Y41" s="195">
        <v>0.0</v>
      </c>
      <c r="Z41" s="195">
        <v>0.0</v>
      </c>
      <c r="AA41" s="195">
        <v>0.0</v>
      </c>
      <c r="AB41" s="195">
        <v>0.0</v>
      </c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  <c r="AM41" s="220"/>
      <c r="AN41" s="220"/>
      <c r="AO41" s="220"/>
      <c r="AP41" s="220"/>
      <c r="AQ41" s="220"/>
      <c r="AR41" s="220"/>
      <c r="AS41" s="220"/>
      <c r="AT41" s="220"/>
      <c r="AU41" s="220"/>
    </row>
    <row r="42" ht="15.75" customHeight="1">
      <c r="A42" s="195">
        <v>18.0</v>
      </c>
      <c r="B42" s="195">
        <v>6.0</v>
      </c>
      <c r="C42" s="227" t="s">
        <v>262</v>
      </c>
      <c r="D42" s="227" t="s">
        <v>258</v>
      </c>
      <c r="E42" s="195">
        <v>10.0</v>
      </c>
      <c r="F42" s="195">
        <v>300.0</v>
      </c>
      <c r="G42" s="228">
        <f t="shared" si="2"/>
        <v>18</v>
      </c>
      <c r="H42" s="229">
        <v>0.0</v>
      </c>
      <c r="I42" s="195">
        <v>0.0</v>
      </c>
      <c r="J42" s="195">
        <v>0.0</v>
      </c>
      <c r="K42" s="195">
        <v>0.0</v>
      </c>
      <c r="L42" s="195">
        <v>0.0</v>
      </c>
      <c r="M42" s="195">
        <v>0.0</v>
      </c>
      <c r="N42" s="195">
        <v>0.0</v>
      </c>
      <c r="O42" s="195">
        <v>0.0</v>
      </c>
      <c r="P42" s="195">
        <v>0.0</v>
      </c>
      <c r="Q42" s="195">
        <v>30.0</v>
      </c>
      <c r="R42" s="195">
        <v>0.0</v>
      </c>
      <c r="S42" s="195">
        <v>15.0</v>
      </c>
      <c r="T42" s="195">
        <v>0.0</v>
      </c>
      <c r="U42" s="195">
        <v>0.0</v>
      </c>
      <c r="V42" s="195">
        <v>0.0</v>
      </c>
      <c r="W42" s="195">
        <v>0.0</v>
      </c>
      <c r="X42" s="195">
        <v>0.0</v>
      </c>
      <c r="Y42" s="195">
        <v>0.0</v>
      </c>
      <c r="Z42" s="195">
        <v>0.0</v>
      </c>
      <c r="AA42" s="195">
        <v>0.0</v>
      </c>
      <c r="AB42" s="195">
        <v>0.0</v>
      </c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</row>
    <row r="43" ht="15.75" customHeight="1">
      <c r="A43" s="195">
        <v>19.0</v>
      </c>
      <c r="B43" s="195">
        <v>7.0</v>
      </c>
      <c r="C43" s="227" t="s">
        <v>263</v>
      </c>
      <c r="D43" s="227" t="s">
        <v>264</v>
      </c>
      <c r="E43" s="195">
        <v>13.0</v>
      </c>
      <c r="F43" s="195">
        <v>300.0</v>
      </c>
      <c r="G43" s="228">
        <f t="shared" si="2"/>
        <v>19</v>
      </c>
      <c r="H43" s="229">
        <v>0.0</v>
      </c>
      <c r="I43" s="195">
        <v>0.0</v>
      </c>
      <c r="J43" s="195">
        <v>0.0</v>
      </c>
      <c r="K43" s="195">
        <v>0.0</v>
      </c>
      <c r="L43" s="195">
        <v>0.0</v>
      </c>
      <c r="M43" s="195">
        <v>0.0</v>
      </c>
      <c r="N43" s="195">
        <v>0.0</v>
      </c>
      <c r="O43" s="195">
        <v>0.0</v>
      </c>
      <c r="P43" s="195">
        <v>0.0</v>
      </c>
      <c r="Q43" s="195">
        <v>0.0</v>
      </c>
      <c r="R43" s="195">
        <v>0.0</v>
      </c>
      <c r="S43" s="195">
        <v>0.0</v>
      </c>
      <c r="T43" s="195">
        <v>0.0</v>
      </c>
      <c r="U43" s="195">
        <v>0.0</v>
      </c>
      <c r="V43" s="195">
        <v>0.0</v>
      </c>
      <c r="W43" s="195">
        <v>0.0</v>
      </c>
      <c r="X43" s="195">
        <v>0.0</v>
      </c>
      <c r="Y43" s="195">
        <v>0.0</v>
      </c>
      <c r="Z43" s="195">
        <v>0.0</v>
      </c>
      <c r="AA43" s="195">
        <v>0.0</v>
      </c>
      <c r="AB43" s="195">
        <v>0.0</v>
      </c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</row>
    <row r="44" ht="15.75" customHeight="1">
      <c r="A44" s="195">
        <v>20.0</v>
      </c>
      <c r="B44" s="195">
        <v>7.0</v>
      </c>
      <c r="C44" s="227" t="s">
        <v>263</v>
      </c>
      <c r="D44" s="227" t="s">
        <v>265</v>
      </c>
      <c r="E44" s="195">
        <v>13.0</v>
      </c>
      <c r="F44" s="195">
        <v>375.0</v>
      </c>
      <c r="G44" s="228">
        <f t="shared" si="2"/>
        <v>20</v>
      </c>
      <c r="H44" s="229">
        <v>0.0</v>
      </c>
      <c r="I44" s="195">
        <v>0.0</v>
      </c>
      <c r="J44" s="195">
        <v>0.0</v>
      </c>
      <c r="K44" s="195">
        <v>0.0</v>
      </c>
      <c r="L44" s="195">
        <v>0.0</v>
      </c>
      <c r="M44" s="195">
        <v>0.0</v>
      </c>
      <c r="N44" s="195">
        <v>0.0</v>
      </c>
      <c r="O44" s="195">
        <v>0.0</v>
      </c>
      <c r="P44" s="195">
        <v>0.0</v>
      </c>
      <c r="Q44" s="195">
        <v>0.0</v>
      </c>
      <c r="R44" s="195">
        <v>0.0</v>
      </c>
      <c r="S44" s="195">
        <v>0.0</v>
      </c>
      <c r="T44" s="195">
        <v>0.0</v>
      </c>
      <c r="U44" s="195">
        <v>0.0</v>
      </c>
      <c r="V44" s="195">
        <v>0.0</v>
      </c>
      <c r="W44" s="195">
        <v>0.0</v>
      </c>
      <c r="X44" s="195">
        <v>0.0</v>
      </c>
      <c r="Y44" s="195">
        <v>0.0</v>
      </c>
      <c r="Z44" s="195">
        <v>0.0</v>
      </c>
      <c r="AA44" s="195">
        <v>0.0</v>
      </c>
      <c r="AB44" s="195">
        <v>0.0</v>
      </c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</row>
    <row r="45" ht="15.75" customHeight="1">
      <c r="A45" s="195">
        <v>21.0</v>
      </c>
      <c r="B45" s="195">
        <v>7.0</v>
      </c>
      <c r="C45" s="227" t="s">
        <v>263</v>
      </c>
      <c r="D45" s="227" t="s">
        <v>266</v>
      </c>
      <c r="E45" s="195">
        <v>13.0</v>
      </c>
      <c r="F45" s="195">
        <v>410.0</v>
      </c>
      <c r="G45" s="228">
        <f t="shared" si="2"/>
        <v>21</v>
      </c>
      <c r="H45" s="229">
        <v>25.0</v>
      </c>
      <c r="I45" s="195">
        <v>0.0</v>
      </c>
      <c r="J45" s="195">
        <v>0.0</v>
      </c>
      <c r="K45" s="195">
        <v>0.0</v>
      </c>
      <c r="L45" s="195">
        <v>0.0</v>
      </c>
      <c r="M45" s="195">
        <v>0.0</v>
      </c>
      <c r="N45" s="195">
        <v>0.0</v>
      </c>
      <c r="O45" s="195">
        <v>0.0</v>
      </c>
      <c r="P45" s="195">
        <v>0.0</v>
      </c>
      <c r="Q45" s="195">
        <v>0.0</v>
      </c>
      <c r="R45" s="195">
        <v>0.0</v>
      </c>
      <c r="S45" s="195">
        <v>0.0</v>
      </c>
      <c r="T45" s="195">
        <v>0.0</v>
      </c>
      <c r="U45" s="195">
        <v>0.0</v>
      </c>
      <c r="V45" s="195">
        <v>0.0</v>
      </c>
      <c r="W45" s="195">
        <v>0.0</v>
      </c>
      <c r="X45" s="195">
        <v>0.0</v>
      </c>
      <c r="Y45" s="195">
        <v>0.0</v>
      </c>
      <c r="Z45" s="195">
        <v>0.0</v>
      </c>
      <c r="AA45" s="195">
        <v>0.0</v>
      </c>
      <c r="AB45" s="195">
        <v>0.0</v>
      </c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</row>
    <row r="46" ht="15.75" customHeight="1">
      <c r="A46" s="195">
        <v>22.0</v>
      </c>
      <c r="B46" s="195">
        <v>8.0</v>
      </c>
      <c r="C46" s="227" t="s">
        <v>267</v>
      </c>
      <c r="D46" s="227" t="s">
        <v>264</v>
      </c>
      <c r="E46" s="195">
        <v>16.0</v>
      </c>
      <c r="F46" s="195">
        <v>385.0</v>
      </c>
      <c r="G46" s="228">
        <f t="shared" si="2"/>
        <v>22</v>
      </c>
      <c r="H46" s="229">
        <v>0.0</v>
      </c>
      <c r="I46" s="195">
        <v>0.0</v>
      </c>
      <c r="J46" s="195">
        <v>0.0</v>
      </c>
      <c r="K46" s="195">
        <v>0.0</v>
      </c>
      <c r="L46" s="195">
        <v>0.0</v>
      </c>
      <c r="M46" s="195">
        <v>0.0</v>
      </c>
      <c r="N46" s="195">
        <v>0.0</v>
      </c>
      <c r="O46" s="195">
        <v>0.0</v>
      </c>
      <c r="P46" s="195">
        <v>0.0</v>
      </c>
      <c r="Q46" s="195">
        <v>0.0</v>
      </c>
      <c r="R46" s="195">
        <v>0.0</v>
      </c>
      <c r="S46" s="195">
        <v>0.0</v>
      </c>
      <c r="T46" s="195">
        <v>0.0</v>
      </c>
      <c r="U46" s="195">
        <v>0.0</v>
      </c>
      <c r="V46" s="195">
        <v>0.0</v>
      </c>
      <c r="W46" s="195">
        <v>0.0</v>
      </c>
      <c r="X46" s="195">
        <v>0.0</v>
      </c>
      <c r="Y46" s="195">
        <v>0.0</v>
      </c>
      <c r="Z46" s="195">
        <v>0.0</v>
      </c>
      <c r="AA46" s="195">
        <v>0.0</v>
      </c>
      <c r="AB46" s="195">
        <v>0.0</v>
      </c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0"/>
      <c r="AR46" s="220"/>
      <c r="AS46" s="220"/>
      <c r="AT46" s="220"/>
      <c r="AU46" s="220"/>
    </row>
    <row r="47" ht="15.75" customHeight="1">
      <c r="A47" s="195">
        <v>23.0</v>
      </c>
      <c r="B47" s="195">
        <v>8.0</v>
      </c>
      <c r="C47" s="227" t="s">
        <v>267</v>
      </c>
      <c r="D47" s="227" t="s">
        <v>265</v>
      </c>
      <c r="E47" s="195">
        <v>16.0</v>
      </c>
      <c r="F47" s="195">
        <v>475.0</v>
      </c>
      <c r="G47" s="228">
        <f t="shared" si="2"/>
        <v>23</v>
      </c>
      <c r="H47" s="229">
        <v>0.0</v>
      </c>
      <c r="I47" s="195">
        <v>0.0</v>
      </c>
      <c r="J47" s="195">
        <v>0.0</v>
      </c>
      <c r="K47" s="195">
        <v>0.0</v>
      </c>
      <c r="L47" s="195">
        <v>0.0</v>
      </c>
      <c r="M47" s="195">
        <v>0.0</v>
      </c>
      <c r="N47" s="195">
        <v>0.0</v>
      </c>
      <c r="O47" s="195">
        <v>0.0</v>
      </c>
      <c r="P47" s="195">
        <v>0.0</v>
      </c>
      <c r="Q47" s="195">
        <v>0.0</v>
      </c>
      <c r="R47" s="195">
        <v>0.0</v>
      </c>
      <c r="S47" s="195">
        <v>0.0</v>
      </c>
      <c r="T47" s="195">
        <v>0.0</v>
      </c>
      <c r="U47" s="195">
        <v>0.0</v>
      </c>
      <c r="V47" s="195">
        <v>0.0</v>
      </c>
      <c r="W47" s="195">
        <v>0.0</v>
      </c>
      <c r="X47" s="195">
        <v>0.0</v>
      </c>
      <c r="Y47" s="195">
        <v>0.0</v>
      </c>
      <c r="Z47" s="195">
        <v>0.0</v>
      </c>
      <c r="AA47" s="195">
        <v>0.0</v>
      </c>
      <c r="AB47" s="195">
        <v>0.0</v>
      </c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</row>
    <row r="48" ht="15.75" customHeight="1">
      <c r="A48" s="195">
        <v>24.0</v>
      </c>
      <c r="B48" s="195">
        <v>8.0</v>
      </c>
      <c r="C48" s="227" t="s">
        <v>267</v>
      </c>
      <c r="D48" s="227" t="s">
        <v>266</v>
      </c>
      <c r="E48" s="195">
        <v>16.0</v>
      </c>
      <c r="F48" s="195">
        <v>500.0</v>
      </c>
      <c r="G48" s="228">
        <f t="shared" si="2"/>
        <v>24</v>
      </c>
      <c r="H48" s="229">
        <v>0.0</v>
      </c>
      <c r="I48" s="195">
        <v>0.0</v>
      </c>
      <c r="J48" s="195">
        <v>0.0</v>
      </c>
      <c r="K48" s="195">
        <v>0.0</v>
      </c>
      <c r="L48" s="195">
        <v>0.0</v>
      </c>
      <c r="M48" s="195">
        <v>0.0</v>
      </c>
      <c r="N48" s="195">
        <v>0.0</v>
      </c>
      <c r="O48" s="195">
        <v>0.0</v>
      </c>
      <c r="P48" s="195">
        <v>0.0</v>
      </c>
      <c r="Q48" s="195">
        <v>60.0</v>
      </c>
      <c r="R48" s="195">
        <v>0.0</v>
      </c>
      <c r="S48" s="195">
        <v>0.0</v>
      </c>
      <c r="T48" s="195">
        <v>15.0</v>
      </c>
      <c r="U48" s="195">
        <v>0.0</v>
      </c>
      <c r="V48" s="195">
        <v>0.0</v>
      </c>
      <c r="W48" s="195">
        <v>0.0</v>
      </c>
      <c r="X48" s="195">
        <v>0.0</v>
      </c>
      <c r="Y48" s="195">
        <v>0.0</v>
      </c>
      <c r="Z48" s="195">
        <v>0.0</v>
      </c>
      <c r="AA48" s="195">
        <v>0.0</v>
      </c>
      <c r="AB48" s="195">
        <v>0.0</v>
      </c>
      <c r="AC48" s="220"/>
      <c r="AD48" s="220"/>
      <c r="AE48" s="220"/>
      <c r="AF48" s="220"/>
      <c r="AG48" s="220"/>
      <c r="AH48" s="220"/>
      <c r="AI48" s="220"/>
      <c r="AJ48" s="220"/>
      <c r="AK48" s="220"/>
      <c r="AL48" s="220"/>
      <c r="AM48" s="220"/>
      <c r="AN48" s="220"/>
      <c r="AO48" s="220"/>
      <c r="AP48" s="220"/>
      <c r="AQ48" s="220"/>
      <c r="AR48" s="220"/>
      <c r="AS48" s="220"/>
      <c r="AT48" s="220"/>
      <c r="AU48" s="220"/>
    </row>
    <row r="49" ht="15.75" customHeight="1">
      <c r="A49" s="195">
        <v>25.0</v>
      </c>
      <c r="B49" s="195">
        <v>9.0</v>
      </c>
      <c r="C49" s="227" t="s">
        <v>268</v>
      </c>
      <c r="D49" s="227" t="s">
        <v>264</v>
      </c>
      <c r="E49" s="195">
        <v>20.0</v>
      </c>
      <c r="F49" s="195">
        <v>400.0</v>
      </c>
      <c r="G49" s="228">
        <f t="shared" si="2"/>
        <v>25</v>
      </c>
      <c r="H49" s="229">
        <v>0.0</v>
      </c>
      <c r="I49" s="195">
        <v>0.0</v>
      </c>
      <c r="J49" s="195">
        <v>0.0</v>
      </c>
      <c r="K49" s="195">
        <v>0.0</v>
      </c>
      <c r="L49" s="195">
        <v>0.0</v>
      </c>
      <c r="M49" s="195">
        <v>0.0</v>
      </c>
      <c r="N49" s="195">
        <v>0.0</v>
      </c>
      <c r="O49" s="195">
        <v>0.0</v>
      </c>
      <c r="P49" s="195">
        <v>0.0</v>
      </c>
      <c r="Q49" s="195">
        <v>0.0</v>
      </c>
      <c r="R49" s="195">
        <v>0.0</v>
      </c>
      <c r="S49" s="195">
        <v>0.0</v>
      </c>
      <c r="T49" s="195">
        <v>0.0</v>
      </c>
      <c r="U49" s="195">
        <v>0.0</v>
      </c>
      <c r="V49" s="195">
        <v>0.0</v>
      </c>
      <c r="W49" s="195">
        <v>0.0</v>
      </c>
      <c r="X49" s="195">
        <v>0.0</v>
      </c>
      <c r="Y49" s="195">
        <v>0.0</v>
      </c>
      <c r="Z49" s="195">
        <v>0.0</v>
      </c>
      <c r="AA49" s="195">
        <v>0.0</v>
      </c>
      <c r="AB49" s="195">
        <v>0.0</v>
      </c>
      <c r="AC49" s="220"/>
      <c r="AD49" s="220"/>
      <c r="AE49" s="220"/>
      <c r="AF49" s="220"/>
      <c r="AG49" s="220"/>
      <c r="AH49" s="220"/>
      <c r="AI49" s="220"/>
      <c r="AJ49" s="220"/>
      <c r="AK49" s="220"/>
      <c r="AL49" s="220"/>
      <c r="AM49" s="220"/>
      <c r="AN49" s="220"/>
      <c r="AO49" s="220"/>
      <c r="AP49" s="220"/>
      <c r="AQ49" s="220"/>
      <c r="AR49" s="220"/>
      <c r="AS49" s="220"/>
      <c r="AT49" s="220"/>
      <c r="AU49" s="220"/>
    </row>
    <row r="50" ht="15.75" customHeight="1">
      <c r="A50" s="195">
        <v>26.0</v>
      </c>
      <c r="B50" s="195">
        <v>9.0</v>
      </c>
      <c r="C50" s="227" t="s">
        <v>268</v>
      </c>
      <c r="D50" s="227" t="s">
        <v>265</v>
      </c>
      <c r="E50" s="195">
        <v>20.0</v>
      </c>
      <c r="F50" s="195">
        <v>480.0</v>
      </c>
      <c r="G50" s="228">
        <f t="shared" si="2"/>
        <v>26</v>
      </c>
      <c r="H50" s="229">
        <v>0.0</v>
      </c>
      <c r="I50" s="195">
        <v>0.0</v>
      </c>
      <c r="J50" s="195">
        <v>0.0</v>
      </c>
      <c r="K50" s="195">
        <v>0.0</v>
      </c>
      <c r="L50" s="195">
        <v>0.0</v>
      </c>
      <c r="M50" s="195">
        <v>0.0</v>
      </c>
      <c r="N50" s="195">
        <v>0.0</v>
      </c>
      <c r="O50" s="195">
        <v>0.0</v>
      </c>
      <c r="P50" s="195">
        <v>0.0</v>
      </c>
      <c r="Q50" s="195">
        <v>0.0</v>
      </c>
      <c r="R50" s="195">
        <v>0.0</v>
      </c>
      <c r="S50" s="195">
        <v>0.0</v>
      </c>
      <c r="T50" s="195">
        <v>0.0</v>
      </c>
      <c r="U50" s="195">
        <v>0.0</v>
      </c>
      <c r="V50" s="195">
        <v>0.0</v>
      </c>
      <c r="W50" s="195">
        <v>0.0</v>
      </c>
      <c r="X50" s="195">
        <v>0.0</v>
      </c>
      <c r="Y50" s="195">
        <v>0.0</v>
      </c>
      <c r="Z50" s="195">
        <v>0.0</v>
      </c>
      <c r="AA50" s="195">
        <v>0.0</v>
      </c>
      <c r="AB50" s="195">
        <v>0.0</v>
      </c>
      <c r="AC50" s="220"/>
      <c r="AD50" s="220"/>
      <c r="AE50" s="220"/>
      <c r="AF50" s="220"/>
      <c r="AG50" s="220"/>
      <c r="AH50" s="220"/>
      <c r="AI50" s="220"/>
      <c r="AJ50" s="220"/>
      <c r="AK50" s="220"/>
      <c r="AL50" s="220"/>
      <c r="AM50" s="220"/>
      <c r="AN50" s="220"/>
      <c r="AO50" s="220"/>
      <c r="AP50" s="220"/>
      <c r="AQ50" s="220"/>
      <c r="AR50" s="220"/>
      <c r="AS50" s="220"/>
      <c r="AT50" s="220"/>
      <c r="AU50" s="220"/>
    </row>
    <row r="51" ht="15.75" customHeight="1">
      <c r="A51" s="195">
        <v>27.0</v>
      </c>
      <c r="B51" s="195">
        <v>9.0</v>
      </c>
      <c r="C51" s="227" t="s">
        <v>268</v>
      </c>
      <c r="D51" s="227" t="s">
        <v>266</v>
      </c>
      <c r="E51" s="195">
        <v>20.0</v>
      </c>
      <c r="F51" s="195">
        <v>520.0</v>
      </c>
      <c r="G51" s="228">
        <f t="shared" si="2"/>
        <v>27</v>
      </c>
      <c r="H51" s="229">
        <v>0.0</v>
      </c>
      <c r="I51" s="195">
        <v>0.0</v>
      </c>
      <c r="J51" s="195">
        <v>0.0</v>
      </c>
      <c r="K51" s="195">
        <v>0.0</v>
      </c>
      <c r="L51" s="195">
        <v>0.0</v>
      </c>
      <c r="M51" s="195">
        <v>0.0</v>
      </c>
      <c r="N51" s="195">
        <v>0.0</v>
      </c>
      <c r="O51" s="195">
        <v>1.0</v>
      </c>
      <c r="P51" s="195">
        <v>0.0</v>
      </c>
      <c r="Q51" s="195">
        <v>0.0</v>
      </c>
      <c r="R51" s="195">
        <v>0.0</v>
      </c>
      <c r="S51" s="195">
        <v>0.0</v>
      </c>
      <c r="T51" s="195">
        <v>0.0</v>
      </c>
      <c r="U51" s="195">
        <v>0.0</v>
      </c>
      <c r="V51" s="195">
        <v>0.0</v>
      </c>
      <c r="W51" s="195">
        <v>0.0</v>
      </c>
      <c r="X51" s="195">
        <v>0.0</v>
      </c>
      <c r="Y51" s="195">
        <v>0.0</v>
      </c>
      <c r="Z51" s="195">
        <v>0.0</v>
      </c>
      <c r="AA51" s="195">
        <v>0.0</v>
      </c>
      <c r="AB51" s="195">
        <v>0.0</v>
      </c>
      <c r="AC51" s="220"/>
      <c r="AD51" s="220"/>
      <c r="AE51" s="220"/>
      <c r="AF51" s="220"/>
      <c r="AG51" s="220"/>
      <c r="AH51" s="220"/>
      <c r="AI51" s="220"/>
      <c r="AJ51" s="220"/>
      <c r="AK51" s="220"/>
      <c r="AL51" s="220"/>
      <c r="AM51" s="220"/>
      <c r="AN51" s="220"/>
      <c r="AO51" s="220"/>
      <c r="AP51" s="220"/>
      <c r="AQ51" s="220"/>
      <c r="AR51" s="220"/>
      <c r="AS51" s="220"/>
      <c r="AT51" s="220"/>
      <c r="AU51" s="220"/>
    </row>
    <row r="52" ht="15.75" customHeight="1">
      <c r="A52" s="195">
        <v>28.0</v>
      </c>
      <c r="B52" s="195">
        <v>10.0</v>
      </c>
      <c r="C52" s="227" t="s">
        <v>269</v>
      </c>
      <c r="D52" s="227" t="s">
        <v>270</v>
      </c>
      <c r="E52" s="195">
        <v>25.0</v>
      </c>
      <c r="F52" s="195">
        <v>600.0</v>
      </c>
      <c r="G52" s="228">
        <f t="shared" si="2"/>
        <v>28</v>
      </c>
      <c r="H52" s="229">
        <v>0.0</v>
      </c>
      <c r="I52" s="195">
        <v>0.0</v>
      </c>
      <c r="J52" s="195">
        <v>0.0</v>
      </c>
      <c r="K52" s="195">
        <v>0.0</v>
      </c>
      <c r="L52" s="195">
        <v>0.0</v>
      </c>
      <c r="M52" s="195">
        <v>0.0</v>
      </c>
      <c r="N52" s="195">
        <v>0.0</v>
      </c>
      <c r="O52" s="195">
        <v>0.0</v>
      </c>
      <c r="P52" s="195">
        <v>0.0</v>
      </c>
      <c r="Q52" s="195">
        <v>0.0</v>
      </c>
      <c r="R52" s="195">
        <v>0.0</v>
      </c>
      <c r="S52" s="195">
        <v>0.0</v>
      </c>
      <c r="T52" s="195">
        <v>0.0</v>
      </c>
      <c r="U52" s="195">
        <v>0.0</v>
      </c>
      <c r="V52" s="195">
        <v>0.0</v>
      </c>
      <c r="W52" s="195">
        <v>0.0</v>
      </c>
      <c r="X52" s="195">
        <v>0.0</v>
      </c>
      <c r="Y52" s="195">
        <v>0.0</v>
      </c>
      <c r="Z52" s="195">
        <v>0.0</v>
      </c>
      <c r="AA52" s="195">
        <v>0.0</v>
      </c>
      <c r="AB52" s="195">
        <v>0.0</v>
      </c>
      <c r="AC52" s="220"/>
      <c r="AD52" s="220"/>
      <c r="AE52" s="220"/>
      <c r="AF52" s="220"/>
      <c r="AG52" s="220"/>
      <c r="AH52" s="220"/>
      <c r="AI52" s="220"/>
      <c r="AJ52" s="220"/>
      <c r="AK52" s="220"/>
      <c r="AL52" s="220"/>
      <c r="AM52" s="220"/>
      <c r="AN52" s="220"/>
      <c r="AO52" s="220"/>
      <c r="AP52" s="220"/>
      <c r="AQ52" s="220"/>
      <c r="AR52" s="220"/>
      <c r="AS52" s="220"/>
      <c r="AT52" s="220"/>
      <c r="AU52" s="220"/>
    </row>
    <row r="53" ht="15.75" customHeight="1">
      <c r="A53" s="195">
        <v>29.0</v>
      </c>
      <c r="B53" s="195">
        <v>10.0</v>
      </c>
      <c r="C53" s="227" t="s">
        <v>269</v>
      </c>
      <c r="D53" s="227" t="s">
        <v>271</v>
      </c>
      <c r="E53" s="195">
        <v>25.0</v>
      </c>
      <c r="F53" s="195">
        <v>600.0</v>
      </c>
      <c r="G53" s="228">
        <f t="shared" si="2"/>
        <v>29</v>
      </c>
      <c r="H53" s="229">
        <v>0.0</v>
      </c>
      <c r="I53" s="195">
        <v>0.0</v>
      </c>
      <c r="J53" s="195">
        <v>0.0</v>
      </c>
      <c r="K53" s="195">
        <v>0.0</v>
      </c>
      <c r="L53" s="195">
        <v>0.0</v>
      </c>
      <c r="M53" s="195">
        <v>0.0</v>
      </c>
      <c r="N53" s="195">
        <v>0.0</v>
      </c>
      <c r="O53" s="195">
        <v>0.0</v>
      </c>
      <c r="P53" s="195">
        <v>0.0</v>
      </c>
      <c r="Q53" s="195">
        <v>0.0</v>
      </c>
      <c r="R53" s="195">
        <v>0.0</v>
      </c>
      <c r="S53" s="195">
        <v>0.0</v>
      </c>
      <c r="T53" s="195">
        <v>0.0</v>
      </c>
      <c r="U53" s="195">
        <v>0.0</v>
      </c>
      <c r="V53" s="195">
        <v>0.0</v>
      </c>
      <c r="W53" s="195">
        <v>0.0</v>
      </c>
      <c r="X53" s="195">
        <v>0.0</v>
      </c>
      <c r="Y53" s="195">
        <v>0.0</v>
      </c>
      <c r="Z53" s="195">
        <v>0.0</v>
      </c>
      <c r="AA53" s="195">
        <v>0.0</v>
      </c>
      <c r="AB53" s="195">
        <v>0.0</v>
      </c>
      <c r="AC53" s="220"/>
      <c r="AD53" s="220"/>
      <c r="AE53" s="220"/>
      <c r="AF53" s="220"/>
      <c r="AG53" s="220"/>
      <c r="AH53" s="220"/>
      <c r="AI53" s="220"/>
      <c r="AJ53" s="220"/>
      <c r="AK53" s="220"/>
      <c r="AL53" s="220"/>
      <c r="AM53" s="220"/>
      <c r="AN53" s="220"/>
      <c r="AO53" s="220"/>
      <c r="AP53" s="220"/>
      <c r="AQ53" s="220"/>
      <c r="AR53" s="220"/>
      <c r="AS53" s="220"/>
      <c r="AT53" s="220"/>
      <c r="AU53" s="220"/>
    </row>
    <row r="54" ht="15.75" customHeight="1">
      <c r="A54" s="195">
        <v>30.0</v>
      </c>
      <c r="B54" s="195">
        <v>10.0</v>
      </c>
      <c r="C54" s="227" t="s">
        <v>269</v>
      </c>
      <c r="D54" s="227" t="s">
        <v>272</v>
      </c>
      <c r="E54" s="195">
        <v>25.0</v>
      </c>
      <c r="F54" s="195">
        <v>600.0</v>
      </c>
      <c r="G54" s="228">
        <f t="shared" si="2"/>
        <v>30</v>
      </c>
      <c r="H54" s="229">
        <v>50.0</v>
      </c>
      <c r="I54" s="195">
        <v>0.0</v>
      </c>
      <c r="J54" s="195">
        <v>0.0</v>
      </c>
      <c r="K54" s="195">
        <v>0.0</v>
      </c>
      <c r="L54" s="195">
        <v>0.0</v>
      </c>
      <c r="M54" s="195">
        <v>1.0</v>
      </c>
      <c r="N54" s="195">
        <v>0.0</v>
      </c>
      <c r="O54" s="195">
        <v>0.0</v>
      </c>
      <c r="P54" s="195">
        <v>0.0</v>
      </c>
      <c r="Q54" s="195">
        <v>120.0</v>
      </c>
      <c r="R54" s="195">
        <v>0.0</v>
      </c>
      <c r="S54" s="195">
        <v>0.0</v>
      </c>
      <c r="T54" s="195">
        <v>0.0</v>
      </c>
      <c r="U54" s="195">
        <v>0.0</v>
      </c>
      <c r="V54" s="195">
        <v>0.0</v>
      </c>
      <c r="W54" s="195">
        <v>0.0</v>
      </c>
      <c r="X54" s="195">
        <v>0.0</v>
      </c>
      <c r="Y54" s="195">
        <v>0.0</v>
      </c>
      <c r="Z54" s="195">
        <v>0.0</v>
      </c>
      <c r="AA54" s="195">
        <v>0.0</v>
      </c>
      <c r="AB54" s="195">
        <v>0.0</v>
      </c>
      <c r="AC54" s="220"/>
      <c r="AD54" s="220"/>
      <c r="AE54" s="220"/>
      <c r="AF54" s="220"/>
      <c r="AG54" s="220"/>
      <c r="AH54" s="220"/>
      <c r="AI54" s="220"/>
      <c r="AJ54" s="220"/>
      <c r="AK54" s="220"/>
      <c r="AL54" s="220"/>
      <c r="AM54" s="220"/>
      <c r="AN54" s="220"/>
      <c r="AO54" s="220"/>
      <c r="AP54" s="220"/>
      <c r="AQ54" s="220"/>
      <c r="AR54" s="220"/>
      <c r="AS54" s="220"/>
      <c r="AT54" s="220"/>
      <c r="AU54" s="220"/>
    </row>
    <row r="55" ht="15.75" customHeight="1">
      <c r="A55" s="220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0"/>
      <c r="AB55" s="220"/>
      <c r="AC55" s="220"/>
      <c r="AD55" s="220"/>
      <c r="AE55" s="220"/>
      <c r="AF55" s="220"/>
      <c r="AG55" s="220"/>
      <c r="AH55" s="220"/>
      <c r="AI55" s="220"/>
      <c r="AJ55" s="220"/>
      <c r="AK55" s="220"/>
      <c r="AL55" s="220"/>
      <c r="AM55" s="220"/>
      <c r="AN55" s="220"/>
      <c r="AO55" s="220"/>
      <c r="AP55" s="220"/>
      <c r="AQ55" s="220"/>
      <c r="AR55" s="220"/>
      <c r="AS55" s="220"/>
      <c r="AT55" s="220"/>
      <c r="AU55" s="220"/>
    </row>
    <row r="56" ht="19.5" customHeight="1">
      <c r="A56" s="184" t="s">
        <v>273</v>
      </c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220"/>
      <c r="AD56" s="220"/>
      <c r="AE56" s="220"/>
      <c r="AF56" s="220"/>
      <c r="AG56" s="220"/>
      <c r="AH56" s="220"/>
      <c r="AI56" s="220"/>
      <c r="AJ56" s="220"/>
      <c r="AK56" s="220"/>
      <c r="AL56" s="220"/>
      <c r="AM56" s="220"/>
      <c r="AN56" s="220"/>
      <c r="AO56" s="220"/>
      <c r="AP56" s="220"/>
      <c r="AQ56" s="220"/>
      <c r="AR56" s="220"/>
      <c r="AS56" s="220"/>
      <c r="AT56" s="220"/>
      <c r="AU56" s="220"/>
    </row>
    <row r="57" ht="90.0" customHeight="1">
      <c r="A57" s="161" t="s">
        <v>274</v>
      </c>
      <c r="B57" s="161" t="s">
        <v>275</v>
      </c>
      <c r="C57" s="220"/>
      <c r="D57" s="220"/>
      <c r="E57" s="220"/>
      <c r="F57" s="220"/>
      <c r="G57" s="220"/>
      <c r="H57" s="226" t="s">
        <v>82</v>
      </c>
      <c r="I57" s="197" t="s">
        <v>68</v>
      </c>
      <c r="J57" s="197" t="s">
        <v>103</v>
      </c>
      <c r="K57" s="197" t="s">
        <v>69</v>
      </c>
      <c r="L57" s="197" t="s">
        <v>70</v>
      </c>
      <c r="M57" s="197" t="s">
        <v>71</v>
      </c>
      <c r="N57" s="197" t="s">
        <v>72</v>
      </c>
      <c r="O57" s="197" t="s">
        <v>73</v>
      </c>
      <c r="P57" s="197" t="s">
        <v>74</v>
      </c>
      <c r="Q57" s="197" t="s">
        <v>75</v>
      </c>
      <c r="R57" s="197" t="s">
        <v>76</v>
      </c>
      <c r="S57" s="197" t="s">
        <v>77</v>
      </c>
      <c r="T57" s="197" t="s">
        <v>78</v>
      </c>
      <c r="U57" s="197" t="s">
        <v>118</v>
      </c>
      <c r="V57" s="197" t="s">
        <v>104</v>
      </c>
      <c r="W57" s="197" t="s">
        <v>105</v>
      </c>
      <c r="X57" s="197" t="s">
        <v>106</v>
      </c>
      <c r="Y57" s="197" t="s">
        <v>107</v>
      </c>
      <c r="Z57" s="197" t="s">
        <v>108</v>
      </c>
      <c r="AA57" s="197" t="s">
        <v>109</v>
      </c>
      <c r="AB57" s="197" t="s">
        <v>110</v>
      </c>
      <c r="AC57" s="220"/>
      <c r="AD57" s="220"/>
      <c r="AE57" s="220"/>
      <c r="AF57" s="220"/>
      <c r="AG57" s="220"/>
      <c r="AH57" s="220"/>
      <c r="AI57" s="220"/>
      <c r="AJ57" s="220"/>
      <c r="AK57" s="220"/>
      <c r="AL57" s="220"/>
      <c r="AM57" s="220"/>
      <c r="AN57" s="220"/>
      <c r="AO57" s="220"/>
      <c r="AP57" s="220"/>
      <c r="AQ57" s="220"/>
      <c r="AR57" s="220"/>
      <c r="AS57" s="220"/>
      <c r="AT57" s="220"/>
      <c r="AU57" s="220"/>
    </row>
    <row r="58" ht="15.75" customHeight="1">
      <c r="A58" s="195">
        <v>1.0</v>
      </c>
      <c r="B58" s="195">
        <v>840.0</v>
      </c>
      <c r="C58" s="220"/>
      <c r="D58" s="220"/>
      <c r="E58" s="220"/>
      <c r="F58" s="220"/>
      <c r="G58" s="220"/>
      <c r="H58" s="229">
        <v>0.0</v>
      </c>
      <c r="I58" s="195">
        <v>0.0</v>
      </c>
      <c r="J58" s="195">
        <v>0.0</v>
      </c>
      <c r="K58" s="195">
        <v>0.0</v>
      </c>
      <c r="L58" s="195">
        <v>0.0</v>
      </c>
      <c r="M58" s="195">
        <v>1.0</v>
      </c>
      <c r="N58" s="195">
        <v>0.0</v>
      </c>
      <c r="O58" s="195">
        <v>0.0</v>
      </c>
      <c r="P58" s="195">
        <v>0.0</v>
      </c>
      <c r="Q58" s="195">
        <v>0.0</v>
      </c>
      <c r="R58" s="195">
        <v>0.0</v>
      </c>
      <c r="S58" s="195">
        <v>0.0</v>
      </c>
      <c r="T58" s="195">
        <v>0.0</v>
      </c>
      <c r="U58" s="195">
        <v>0.0</v>
      </c>
      <c r="V58" s="195">
        <v>0.0</v>
      </c>
      <c r="W58" s="195">
        <v>0.0</v>
      </c>
      <c r="X58" s="195">
        <v>0.0</v>
      </c>
      <c r="Y58" s="195">
        <v>0.0</v>
      </c>
      <c r="Z58" s="195">
        <v>0.0</v>
      </c>
      <c r="AA58" s="195">
        <v>0.0</v>
      </c>
      <c r="AB58" s="195">
        <v>0.0</v>
      </c>
      <c r="AC58" s="220"/>
      <c r="AD58" s="220"/>
      <c r="AE58" s="220"/>
      <c r="AF58" s="220"/>
      <c r="AG58" s="220"/>
      <c r="AH58" s="220"/>
      <c r="AI58" s="220"/>
      <c r="AJ58" s="220"/>
      <c r="AK58" s="220"/>
      <c r="AL58" s="220"/>
      <c r="AM58" s="220"/>
      <c r="AN58" s="220"/>
      <c r="AO58" s="220"/>
      <c r="AP58" s="220"/>
      <c r="AQ58" s="220"/>
      <c r="AR58" s="220"/>
      <c r="AS58" s="220"/>
      <c r="AT58" s="220"/>
      <c r="AU58" s="220"/>
    </row>
    <row r="59" ht="15.75" customHeight="1">
      <c r="A59" s="195">
        <v>2.0</v>
      </c>
      <c r="B59" s="195">
        <v>840.0</v>
      </c>
      <c r="C59" s="230"/>
      <c r="D59" s="230"/>
      <c r="E59" s="230"/>
      <c r="F59" s="230"/>
      <c r="G59" s="230"/>
      <c r="H59" s="229">
        <v>0.0</v>
      </c>
      <c r="I59" s="195">
        <v>0.0</v>
      </c>
      <c r="J59" s="195">
        <v>0.0</v>
      </c>
      <c r="K59" s="195">
        <v>2.0</v>
      </c>
      <c r="L59" s="195">
        <v>0.0</v>
      </c>
      <c r="M59" s="195">
        <v>0.0</v>
      </c>
      <c r="N59" s="195">
        <v>0.0</v>
      </c>
      <c r="O59" s="195">
        <v>0.0</v>
      </c>
      <c r="P59" s="195">
        <v>0.0</v>
      </c>
      <c r="Q59" s="195">
        <v>0.0</v>
      </c>
      <c r="R59" s="195">
        <v>0.0</v>
      </c>
      <c r="S59" s="195">
        <v>0.0</v>
      </c>
      <c r="T59" s="195">
        <v>0.0</v>
      </c>
      <c r="U59" s="195">
        <v>0.0</v>
      </c>
      <c r="V59" s="195">
        <v>0.0</v>
      </c>
      <c r="W59" s="195">
        <v>0.0</v>
      </c>
      <c r="X59" s="195">
        <v>0.0</v>
      </c>
      <c r="Y59" s="195">
        <v>0.0</v>
      </c>
      <c r="Z59" s="195">
        <v>0.0</v>
      </c>
      <c r="AA59" s="195">
        <v>0.0</v>
      </c>
      <c r="AB59" s="195">
        <v>0.0</v>
      </c>
      <c r="AC59" s="220"/>
      <c r="AD59" s="220"/>
      <c r="AE59" s="220"/>
      <c r="AF59" s="220"/>
      <c r="AG59" s="220"/>
      <c r="AH59" s="220"/>
      <c r="AI59" s="220"/>
      <c r="AJ59" s="220"/>
      <c r="AK59" s="220"/>
      <c r="AL59" s="220"/>
      <c r="AM59" s="220"/>
      <c r="AN59" s="220"/>
      <c r="AO59" s="220"/>
      <c r="AP59" s="220"/>
      <c r="AQ59" s="220"/>
      <c r="AR59" s="220"/>
      <c r="AS59" s="220"/>
      <c r="AT59" s="220"/>
      <c r="AU59" s="220"/>
    </row>
    <row r="60" ht="15.75" customHeight="1">
      <c r="A60" s="195">
        <v>3.0</v>
      </c>
      <c r="B60" s="195">
        <v>830.0</v>
      </c>
      <c r="C60" s="220"/>
      <c r="D60" s="220"/>
      <c r="E60" s="220"/>
      <c r="F60" s="220"/>
      <c r="G60" s="220"/>
      <c r="H60" s="229">
        <v>0.0</v>
      </c>
      <c r="I60" s="195">
        <v>0.0</v>
      </c>
      <c r="J60" s="195">
        <v>0.0</v>
      </c>
      <c r="K60" s="195">
        <v>0.0</v>
      </c>
      <c r="L60" s="195">
        <v>1.0</v>
      </c>
      <c r="M60" s="195">
        <v>0.0</v>
      </c>
      <c r="N60" s="195">
        <v>0.0</v>
      </c>
      <c r="O60" s="195">
        <v>0.0</v>
      </c>
      <c r="P60" s="195">
        <v>0.0</v>
      </c>
      <c r="Q60" s="195">
        <v>0.0</v>
      </c>
      <c r="R60" s="195">
        <v>0.0</v>
      </c>
      <c r="S60" s="195">
        <v>0.0</v>
      </c>
      <c r="T60" s="195">
        <v>0.0</v>
      </c>
      <c r="U60" s="195">
        <v>0.0</v>
      </c>
      <c r="V60" s="195">
        <v>0.0</v>
      </c>
      <c r="W60" s="195">
        <v>0.0</v>
      </c>
      <c r="X60" s="195">
        <v>0.0</v>
      </c>
      <c r="Y60" s="195">
        <v>0.0</v>
      </c>
      <c r="Z60" s="195">
        <v>0.0</v>
      </c>
      <c r="AA60" s="195">
        <v>0.0</v>
      </c>
      <c r="AB60" s="195">
        <v>0.0</v>
      </c>
      <c r="AC60" s="220"/>
      <c r="AD60" s="220"/>
      <c r="AE60" s="220"/>
      <c r="AF60" s="220"/>
      <c r="AG60" s="220"/>
      <c r="AH60" s="220"/>
      <c r="AI60" s="220"/>
      <c r="AJ60" s="220"/>
      <c r="AK60" s="220"/>
      <c r="AL60" s="220"/>
      <c r="AM60" s="220"/>
      <c r="AN60" s="220"/>
      <c r="AO60" s="220"/>
      <c r="AP60" s="220"/>
      <c r="AQ60" s="220"/>
      <c r="AR60" s="220"/>
      <c r="AS60" s="220"/>
      <c r="AT60" s="220"/>
      <c r="AU60" s="220"/>
    </row>
    <row r="61" ht="15.75" customHeight="1">
      <c r="A61" s="195">
        <v>4.0</v>
      </c>
      <c r="B61" s="195">
        <v>800.0</v>
      </c>
      <c r="C61" s="230"/>
      <c r="D61" s="230"/>
      <c r="E61" s="230"/>
      <c r="F61" s="230"/>
      <c r="G61" s="230"/>
      <c r="H61" s="229">
        <v>25.0</v>
      </c>
      <c r="I61" s="195">
        <v>0.0</v>
      </c>
      <c r="J61" s="195">
        <v>0.0</v>
      </c>
      <c r="K61" s="195">
        <v>0.0</v>
      </c>
      <c r="L61" s="195">
        <v>0.0</v>
      </c>
      <c r="M61" s="195">
        <v>0.0</v>
      </c>
      <c r="N61" s="195">
        <v>0.0</v>
      </c>
      <c r="O61" s="195">
        <v>0.0</v>
      </c>
      <c r="P61" s="195">
        <v>0.0</v>
      </c>
      <c r="Q61" s="195">
        <v>0.0</v>
      </c>
      <c r="R61" s="195">
        <v>0.0</v>
      </c>
      <c r="S61" s="195">
        <v>0.0</v>
      </c>
      <c r="T61" s="195">
        <v>0.0</v>
      </c>
      <c r="U61" s="195">
        <v>0.0</v>
      </c>
      <c r="V61" s="195">
        <v>0.0</v>
      </c>
      <c r="W61" s="195">
        <v>0.0</v>
      </c>
      <c r="X61" s="195">
        <v>0.0</v>
      </c>
      <c r="Y61" s="195">
        <v>0.0</v>
      </c>
      <c r="Z61" s="195">
        <v>0.0</v>
      </c>
      <c r="AA61" s="195">
        <v>0.0</v>
      </c>
      <c r="AB61" s="195">
        <v>0.0</v>
      </c>
      <c r="AC61" s="220"/>
      <c r="AD61" s="220"/>
      <c r="AE61" s="220"/>
      <c r="AF61" s="220"/>
      <c r="AG61" s="220"/>
      <c r="AH61" s="220"/>
      <c r="AI61" s="220"/>
      <c r="AJ61" s="220"/>
      <c r="AK61" s="220"/>
      <c r="AL61" s="220"/>
      <c r="AM61" s="220"/>
      <c r="AN61" s="220"/>
      <c r="AO61" s="220"/>
      <c r="AP61" s="220"/>
      <c r="AQ61" s="220"/>
      <c r="AR61" s="220"/>
      <c r="AS61" s="220"/>
      <c r="AT61" s="220"/>
      <c r="AU61" s="220"/>
    </row>
    <row r="62" ht="15.75" customHeight="1">
      <c r="A62" s="195">
        <v>5.0</v>
      </c>
      <c r="B62" s="195">
        <v>810.0</v>
      </c>
      <c r="C62" s="220"/>
      <c r="D62" s="220"/>
      <c r="E62" s="220"/>
      <c r="F62" s="220"/>
      <c r="G62" s="220"/>
      <c r="H62" s="229">
        <v>0.0</v>
      </c>
      <c r="I62" s="195">
        <v>0.0</v>
      </c>
      <c r="J62" s="195">
        <v>0.0</v>
      </c>
      <c r="K62" s="195">
        <v>1.0</v>
      </c>
      <c r="L62" s="195">
        <v>0.0</v>
      </c>
      <c r="M62" s="195">
        <v>0.0</v>
      </c>
      <c r="N62" s="195">
        <v>0.0</v>
      </c>
      <c r="O62" s="195">
        <v>0.0</v>
      </c>
      <c r="P62" s="195">
        <v>0.0</v>
      </c>
      <c r="Q62" s="195">
        <v>0.0</v>
      </c>
      <c r="R62" s="195">
        <v>0.0</v>
      </c>
      <c r="S62" s="195">
        <v>0.0</v>
      </c>
      <c r="T62" s="195">
        <v>0.0</v>
      </c>
      <c r="U62" s="195">
        <v>0.0</v>
      </c>
      <c r="V62" s="195">
        <v>0.0</v>
      </c>
      <c r="W62" s="195">
        <v>0.0</v>
      </c>
      <c r="X62" s="195">
        <v>0.0</v>
      </c>
      <c r="Y62" s="195">
        <v>0.0</v>
      </c>
      <c r="Z62" s="195">
        <v>0.0</v>
      </c>
      <c r="AA62" s="195">
        <v>0.0</v>
      </c>
      <c r="AB62" s="195">
        <v>0.0</v>
      </c>
      <c r="AC62" s="220"/>
      <c r="AD62" s="220"/>
      <c r="AE62" s="220"/>
      <c r="AF62" s="220"/>
      <c r="AG62" s="220"/>
      <c r="AH62" s="220"/>
      <c r="AI62" s="220"/>
      <c r="AJ62" s="220"/>
      <c r="AK62" s="220"/>
      <c r="AL62" s="220"/>
      <c r="AM62" s="220"/>
      <c r="AN62" s="220"/>
      <c r="AO62" s="220"/>
      <c r="AP62" s="220"/>
      <c r="AQ62" s="220"/>
      <c r="AR62" s="220"/>
      <c r="AS62" s="220"/>
      <c r="AT62" s="220"/>
      <c r="AU62" s="220"/>
    </row>
    <row r="63" ht="15.75" customHeight="1">
      <c r="A63" s="195">
        <v>6.0</v>
      </c>
      <c r="B63" s="195">
        <v>880.0</v>
      </c>
      <c r="C63" s="230"/>
      <c r="D63" s="230"/>
      <c r="E63" s="230"/>
      <c r="F63" s="230"/>
      <c r="G63" s="230"/>
      <c r="H63" s="229">
        <v>0.0</v>
      </c>
      <c r="I63" s="195">
        <v>0.0</v>
      </c>
      <c r="J63" s="195">
        <v>0.0</v>
      </c>
      <c r="K63" s="195">
        <v>0.0</v>
      </c>
      <c r="L63" s="195">
        <v>2.0</v>
      </c>
      <c r="M63" s="195">
        <v>0.0</v>
      </c>
      <c r="N63" s="195">
        <v>0.0</v>
      </c>
      <c r="O63" s="195">
        <v>0.0</v>
      </c>
      <c r="P63" s="195">
        <v>0.0</v>
      </c>
      <c r="Q63" s="195">
        <v>0.0</v>
      </c>
      <c r="R63" s="195">
        <v>0.0</v>
      </c>
      <c r="S63" s="195">
        <v>0.0</v>
      </c>
      <c r="T63" s="195">
        <v>0.0</v>
      </c>
      <c r="U63" s="195">
        <v>0.0</v>
      </c>
      <c r="V63" s="195">
        <v>0.0</v>
      </c>
      <c r="W63" s="195">
        <v>0.0</v>
      </c>
      <c r="X63" s="195">
        <v>0.0</v>
      </c>
      <c r="Y63" s="195">
        <v>0.0</v>
      </c>
      <c r="Z63" s="195">
        <v>0.0</v>
      </c>
      <c r="AA63" s="195">
        <v>0.0</v>
      </c>
      <c r="AB63" s="195">
        <v>0.0</v>
      </c>
      <c r="AC63" s="220"/>
      <c r="AD63" s="220"/>
      <c r="AE63" s="220"/>
      <c r="AF63" s="220"/>
      <c r="AG63" s="220"/>
      <c r="AH63" s="220"/>
      <c r="AI63" s="220"/>
      <c r="AJ63" s="220"/>
      <c r="AK63" s="220"/>
      <c r="AL63" s="220"/>
      <c r="AM63" s="220"/>
      <c r="AN63" s="220"/>
      <c r="AO63" s="220"/>
      <c r="AP63" s="220"/>
      <c r="AQ63" s="220"/>
      <c r="AR63" s="220"/>
      <c r="AS63" s="220"/>
      <c r="AT63" s="220"/>
      <c r="AU63" s="220"/>
    </row>
    <row r="64" ht="15.75" customHeight="1">
      <c r="A64" s="195">
        <v>7.0</v>
      </c>
      <c r="B64" s="195">
        <v>840.0</v>
      </c>
      <c r="C64" s="220"/>
      <c r="D64" s="220"/>
      <c r="E64" s="220"/>
      <c r="F64" s="220"/>
      <c r="G64" s="220"/>
      <c r="H64" s="229">
        <v>0.0</v>
      </c>
      <c r="I64" s="195">
        <v>0.0</v>
      </c>
      <c r="J64" s="195">
        <v>0.0</v>
      </c>
      <c r="K64" s="195">
        <v>0.0</v>
      </c>
      <c r="L64" s="195">
        <v>0.0</v>
      </c>
      <c r="M64" s="195">
        <v>1.0</v>
      </c>
      <c r="N64" s="195">
        <v>0.0</v>
      </c>
      <c r="O64" s="195">
        <v>0.0</v>
      </c>
      <c r="P64" s="195">
        <v>0.0</v>
      </c>
      <c r="Q64" s="195">
        <v>0.0</v>
      </c>
      <c r="R64" s="195">
        <v>0.0</v>
      </c>
      <c r="S64" s="195">
        <v>0.0</v>
      </c>
      <c r="T64" s="195">
        <v>0.0</v>
      </c>
      <c r="U64" s="195">
        <v>0.0</v>
      </c>
      <c r="V64" s="195">
        <v>0.0</v>
      </c>
      <c r="W64" s="195">
        <v>0.0</v>
      </c>
      <c r="X64" s="195">
        <v>0.0</v>
      </c>
      <c r="Y64" s="195">
        <v>0.0</v>
      </c>
      <c r="Z64" s="195">
        <v>0.0</v>
      </c>
      <c r="AA64" s="195">
        <v>0.0</v>
      </c>
      <c r="AB64" s="195">
        <v>0.0</v>
      </c>
      <c r="AC64" s="220"/>
      <c r="AD64" s="220"/>
      <c r="AE64" s="220"/>
      <c r="AF64" s="220"/>
      <c r="AG64" s="220"/>
      <c r="AH64" s="220"/>
      <c r="AI64" s="220"/>
      <c r="AJ64" s="220"/>
      <c r="AK64" s="220"/>
      <c r="AL64" s="220"/>
      <c r="AM64" s="220"/>
      <c r="AN64" s="220"/>
      <c r="AO64" s="220"/>
      <c r="AP64" s="220"/>
      <c r="AQ64" s="220"/>
      <c r="AR64" s="220"/>
      <c r="AS64" s="220"/>
      <c r="AT64" s="220"/>
      <c r="AU64" s="220"/>
    </row>
    <row r="65" ht="15.75" customHeight="1">
      <c r="A65" s="195">
        <v>8.0</v>
      </c>
      <c r="B65" s="195">
        <v>880.0</v>
      </c>
      <c r="C65" s="230"/>
      <c r="D65" s="230"/>
      <c r="E65" s="230"/>
      <c r="F65" s="230"/>
      <c r="G65" s="230"/>
      <c r="H65" s="229">
        <v>0.0</v>
      </c>
      <c r="I65" s="195">
        <v>0.0</v>
      </c>
      <c r="J65" s="195">
        <v>0.0</v>
      </c>
      <c r="K65" s="195">
        <v>3.0</v>
      </c>
      <c r="L65" s="195">
        <v>0.0</v>
      </c>
      <c r="M65" s="195">
        <v>0.0</v>
      </c>
      <c r="N65" s="195">
        <v>0.0</v>
      </c>
      <c r="O65" s="195">
        <v>0.0</v>
      </c>
      <c r="P65" s="195">
        <v>0.0</v>
      </c>
      <c r="Q65" s="195">
        <v>0.0</v>
      </c>
      <c r="R65" s="195">
        <v>0.0</v>
      </c>
      <c r="S65" s="195">
        <v>0.0</v>
      </c>
      <c r="T65" s="195">
        <v>0.0</v>
      </c>
      <c r="U65" s="195">
        <v>0.0</v>
      </c>
      <c r="V65" s="195">
        <v>0.0</v>
      </c>
      <c r="W65" s="195">
        <v>0.0</v>
      </c>
      <c r="X65" s="195">
        <v>0.0</v>
      </c>
      <c r="Y65" s="195">
        <v>0.0</v>
      </c>
      <c r="Z65" s="195">
        <v>0.0</v>
      </c>
      <c r="AA65" s="195">
        <v>0.0</v>
      </c>
      <c r="AB65" s="195">
        <v>0.0</v>
      </c>
      <c r="AC65" s="220"/>
      <c r="AD65" s="220"/>
      <c r="AE65" s="220"/>
      <c r="AF65" s="220"/>
      <c r="AG65" s="220"/>
      <c r="AH65" s="220"/>
      <c r="AI65" s="220"/>
      <c r="AJ65" s="220"/>
      <c r="AK65" s="220"/>
      <c r="AL65" s="220"/>
      <c r="AM65" s="220"/>
      <c r="AN65" s="220"/>
      <c r="AO65" s="220"/>
      <c r="AP65" s="220"/>
      <c r="AQ65" s="220"/>
      <c r="AR65" s="220"/>
      <c r="AS65" s="220"/>
      <c r="AT65" s="220"/>
      <c r="AU65" s="220"/>
    </row>
    <row r="66" ht="15.75" customHeight="1">
      <c r="A66" s="195">
        <v>9.0</v>
      </c>
      <c r="B66" s="195">
        <v>840.0</v>
      </c>
      <c r="C66" s="220"/>
      <c r="D66" s="220"/>
      <c r="E66" s="220"/>
      <c r="F66" s="220"/>
      <c r="G66" s="220"/>
      <c r="H66" s="229">
        <v>0.0</v>
      </c>
      <c r="I66" s="195">
        <v>0.0</v>
      </c>
      <c r="J66" s="195">
        <v>0.0</v>
      </c>
      <c r="K66" s="195">
        <v>0.0</v>
      </c>
      <c r="L66" s="195">
        <v>0.0</v>
      </c>
      <c r="M66" s="195">
        <v>1.0</v>
      </c>
      <c r="N66" s="195">
        <v>0.0</v>
      </c>
      <c r="O66" s="195">
        <v>0.0</v>
      </c>
      <c r="P66" s="195">
        <v>0.0</v>
      </c>
      <c r="Q66" s="195">
        <v>0.0</v>
      </c>
      <c r="R66" s="195">
        <v>0.0</v>
      </c>
      <c r="S66" s="195">
        <v>0.0</v>
      </c>
      <c r="T66" s="195">
        <v>0.0</v>
      </c>
      <c r="U66" s="195">
        <v>0.0</v>
      </c>
      <c r="V66" s="195">
        <v>0.0</v>
      </c>
      <c r="W66" s="195">
        <v>0.0</v>
      </c>
      <c r="X66" s="195">
        <v>0.0</v>
      </c>
      <c r="Y66" s="195">
        <v>0.0</v>
      </c>
      <c r="Z66" s="195">
        <v>0.0</v>
      </c>
      <c r="AA66" s="195">
        <v>0.0</v>
      </c>
      <c r="AB66" s="195">
        <v>0.0</v>
      </c>
      <c r="AC66" s="220"/>
      <c r="AD66" s="220"/>
      <c r="AE66" s="220"/>
      <c r="AF66" s="220"/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</row>
    <row r="67" ht="15.75" customHeight="1">
      <c r="A67" s="195">
        <v>10.0</v>
      </c>
      <c r="B67" s="195">
        <v>930.0</v>
      </c>
      <c r="C67" s="230"/>
      <c r="D67" s="230"/>
      <c r="E67" s="230"/>
      <c r="F67" s="230"/>
      <c r="G67" s="230"/>
      <c r="H67" s="229">
        <v>0.0</v>
      </c>
      <c r="I67" s="195">
        <v>0.0</v>
      </c>
      <c r="J67" s="195">
        <v>0.0</v>
      </c>
      <c r="K67" s="195">
        <v>0.0</v>
      </c>
      <c r="L67" s="195">
        <v>3.0</v>
      </c>
      <c r="M67" s="195">
        <v>0.0</v>
      </c>
      <c r="N67" s="195">
        <v>0.0</v>
      </c>
      <c r="O67" s="195">
        <v>0.0</v>
      </c>
      <c r="P67" s="195">
        <v>0.0</v>
      </c>
      <c r="Q67" s="195">
        <v>0.0</v>
      </c>
      <c r="R67" s="195">
        <v>0.0</v>
      </c>
      <c r="S67" s="195">
        <v>0.0</v>
      </c>
      <c r="T67" s="195">
        <v>0.0</v>
      </c>
      <c r="U67" s="195">
        <v>0.0</v>
      </c>
      <c r="V67" s="195">
        <v>0.0</v>
      </c>
      <c r="W67" s="195">
        <v>0.0</v>
      </c>
      <c r="X67" s="195">
        <v>0.0</v>
      </c>
      <c r="Y67" s="195">
        <v>0.0</v>
      </c>
      <c r="Z67" s="195">
        <v>0.0</v>
      </c>
      <c r="AA67" s="195">
        <v>0.0</v>
      </c>
      <c r="AB67" s="195">
        <v>0.0</v>
      </c>
      <c r="AC67" s="220"/>
      <c r="AD67" s="220"/>
      <c r="AE67" s="220"/>
      <c r="AF67" s="220"/>
      <c r="AG67" s="220"/>
      <c r="AH67" s="220"/>
      <c r="AI67" s="220"/>
      <c r="AJ67" s="220"/>
      <c r="AK67" s="220"/>
      <c r="AL67" s="220"/>
      <c r="AM67" s="220"/>
      <c r="AN67" s="220"/>
      <c r="AO67" s="220"/>
      <c r="AP67" s="220"/>
      <c r="AQ67" s="220"/>
      <c r="AR67" s="220"/>
      <c r="AS67" s="220"/>
      <c r="AT67" s="220"/>
      <c r="AU67" s="220"/>
    </row>
    <row r="68" ht="15.75" customHeight="1">
      <c r="A68" s="195">
        <v>11.0</v>
      </c>
      <c r="B68" s="195">
        <v>980.0</v>
      </c>
      <c r="C68" s="220"/>
      <c r="D68" s="220"/>
      <c r="E68" s="220"/>
      <c r="F68" s="220"/>
      <c r="G68" s="220"/>
      <c r="H68" s="229">
        <v>0.0</v>
      </c>
      <c r="I68" s="195">
        <v>0.0</v>
      </c>
      <c r="J68" s="195">
        <v>0.0</v>
      </c>
      <c r="K68" s="195">
        <v>0.0</v>
      </c>
      <c r="L68" s="195">
        <v>0.0</v>
      </c>
      <c r="M68" s="195">
        <v>3.0</v>
      </c>
      <c r="N68" s="195">
        <v>0.0</v>
      </c>
      <c r="O68" s="195">
        <v>0.0</v>
      </c>
      <c r="P68" s="195">
        <v>0.0</v>
      </c>
      <c r="Q68" s="195">
        <v>0.0</v>
      </c>
      <c r="R68" s="195">
        <v>0.0</v>
      </c>
      <c r="S68" s="195">
        <v>0.0</v>
      </c>
      <c r="T68" s="195">
        <v>0.0</v>
      </c>
      <c r="U68" s="195">
        <v>0.0</v>
      </c>
      <c r="V68" s="195">
        <v>0.0</v>
      </c>
      <c r="W68" s="195">
        <v>0.0</v>
      </c>
      <c r="X68" s="195">
        <v>0.0</v>
      </c>
      <c r="Y68" s="195">
        <v>0.0</v>
      </c>
      <c r="Z68" s="195">
        <v>0.0</v>
      </c>
      <c r="AA68" s="195">
        <v>0.0</v>
      </c>
      <c r="AB68" s="195">
        <v>0.0</v>
      </c>
      <c r="AC68" s="220"/>
      <c r="AD68" s="220"/>
      <c r="AE68" s="220"/>
      <c r="AF68" s="220"/>
      <c r="AG68" s="220"/>
      <c r="AH68" s="220"/>
      <c r="AI68" s="220"/>
      <c r="AJ68" s="220"/>
      <c r="AK68" s="220"/>
      <c r="AL68" s="220"/>
      <c r="AM68" s="220"/>
      <c r="AN68" s="220"/>
      <c r="AO68" s="220"/>
      <c r="AP68" s="220"/>
      <c r="AQ68" s="220"/>
      <c r="AR68" s="220"/>
      <c r="AS68" s="220"/>
      <c r="AT68" s="220"/>
      <c r="AU68" s="220"/>
    </row>
    <row r="69" ht="15.75" customHeight="1">
      <c r="A69" s="195">
        <v>12.0</v>
      </c>
      <c r="B69" s="195">
        <v>840.0</v>
      </c>
      <c r="C69" s="230"/>
      <c r="D69" s="230"/>
      <c r="E69" s="230"/>
      <c r="F69" s="230"/>
      <c r="G69" s="230"/>
      <c r="H69" s="229">
        <v>0.0</v>
      </c>
      <c r="I69" s="195">
        <v>0.0</v>
      </c>
      <c r="J69" s="195">
        <v>0.0</v>
      </c>
      <c r="K69" s="195">
        <v>2.0</v>
      </c>
      <c r="L69" s="195">
        <v>0.0</v>
      </c>
      <c r="M69" s="195">
        <v>0.0</v>
      </c>
      <c r="N69" s="195">
        <v>0.0</v>
      </c>
      <c r="O69" s="195">
        <v>0.0</v>
      </c>
      <c r="P69" s="195">
        <v>0.0</v>
      </c>
      <c r="Q69" s="195">
        <v>0.0</v>
      </c>
      <c r="R69" s="195">
        <v>0.0</v>
      </c>
      <c r="S69" s="195">
        <v>0.0</v>
      </c>
      <c r="T69" s="195">
        <v>0.0</v>
      </c>
      <c r="U69" s="195">
        <v>0.0</v>
      </c>
      <c r="V69" s="195">
        <v>0.0</v>
      </c>
      <c r="W69" s="195">
        <v>0.0</v>
      </c>
      <c r="X69" s="195">
        <v>0.0</v>
      </c>
      <c r="Y69" s="195">
        <v>0.0</v>
      </c>
      <c r="Z69" s="195">
        <v>0.0</v>
      </c>
      <c r="AA69" s="195">
        <v>0.0</v>
      </c>
      <c r="AB69" s="195">
        <v>0.0</v>
      </c>
      <c r="AC69" s="220"/>
      <c r="AD69" s="220"/>
      <c r="AE69" s="220"/>
      <c r="AF69" s="220"/>
      <c r="AG69" s="220"/>
      <c r="AH69" s="220"/>
      <c r="AI69" s="220"/>
      <c r="AJ69" s="220"/>
      <c r="AK69" s="220"/>
      <c r="AL69" s="220"/>
      <c r="AM69" s="220"/>
      <c r="AN69" s="220"/>
      <c r="AO69" s="220"/>
      <c r="AP69" s="220"/>
      <c r="AQ69" s="220"/>
      <c r="AR69" s="220"/>
      <c r="AS69" s="220"/>
      <c r="AT69" s="220"/>
      <c r="AU69" s="220"/>
    </row>
    <row r="70" ht="15.75" customHeight="1">
      <c r="A70" s="195">
        <v>13.0</v>
      </c>
      <c r="B70" s="195">
        <v>1110.0</v>
      </c>
      <c r="C70" s="220"/>
      <c r="D70" s="220"/>
      <c r="E70" s="220"/>
      <c r="F70" s="220"/>
      <c r="G70" s="220"/>
      <c r="H70" s="229">
        <v>0.0</v>
      </c>
      <c r="I70" s="195">
        <v>0.0</v>
      </c>
      <c r="J70" s="195">
        <v>0.0</v>
      </c>
      <c r="K70" s="195">
        <v>0.0</v>
      </c>
      <c r="L70" s="195">
        <v>0.0</v>
      </c>
      <c r="M70" s="195">
        <v>5.0</v>
      </c>
      <c r="N70" s="195">
        <v>0.0</v>
      </c>
      <c r="O70" s="195">
        <v>0.0</v>
      </c>
      <c r="P70" s="195">
        <v>0.0</v>
      </c>
      <c r="Q70" s="195">
        <v>0.0</v>
      </c>
      <c r="R70" s="195">
        <v>0.0</v>
      </c>
      <c r="S70" s="195">
        <v>0.0</v>
      </c>
      <c r="T70" s="195">
        <v>0.0</v>
      </c>
      <c r="U70" s="195">
        <v>0.0</v>
      </c>
      <c r="V70" s="195">
        <v>0.0</v>
      </c>
      <c r="W70" s="195">
        <v>0.0</v>
      </c>
      <c r="X70" s="195">
        <v>0.0</v>
      </c>
      <c r="Y70" s="195">
        <v>0.0</v>
      </c>
      <c r="Z70" s="195">
        <v>0.0</v>
      </c>
      <c r="AA70" s="195">
        <v>0.0</v>
      </c>
      <c r="AB70" s="195">
        <v>0.0</v>
      </c>
      <c r="AC70" s="220"/>
      <c r="AD70" s="220"/>
      <c r="AE70" s="220"/>
      <c r="AF70" s="220"/>
      <c r="AG70" s="220"/>
      <c r="AH70" s="220"/>
      <c r="AI70" s="220"/>
      <c r="AJ70" s="220"/>
      <c r="AK70" s="220"/>
      <c r="AL70" s="220"/>
      <c r="AM70" s="220"/>
      <c r="AN70" s="220"/>
      <c r="AO70" s="220"/>
      <c r="AP70" s="220"/>
      <c r="AQ70" s="220"/>
      <c r="AR70" s="220"/>
      <c r="AS70" s="220"/>
      <c r="AT70" s="220"/>
      <c r="AU70" s="220"/>
    </row>
    <row r="71" ht="15.75" customHeight="1">
      <c r="A71" s="195">
        <v>14.0</v>
      </c>
      <c r="B71" s="195">
        <v>830.0</v>
      </c>
      <c r="C71" s="230"/>
      <c r="D71" s="230"/>
      <c r="E71" s="230"/>
      <c r="F71" s="230"/>
      <c r="G71" s="230"/>
      <c r="H71" s="229">
        <v>50.0</v>
      </c>
      <c r="I71" s="195">
        <v>0.0</v>
      </c>
      <c r="J71" s="195">
        <v>0.0</v>
      </c>
      <c r="K71" s="195">
        <v>0.0</v>
      </c>
      <c r="L71" s="195">
        <v>0.0</v>
      </c>
      <c r="M71" s="195">
        <v>0.0</v>
      </c>
      <c r="N71" s="195">
        <v>0.0</v>
      </c>
      <c r="O71" s="195">
        <v>0.0</v>
      </c>
      <c r="P71" s="195">
        <v>0.0</v>
      </c>
      <c r="Q71" s="195">
        <v>0.0</v>
      </c>
      <c r="R71" s="195">
        <v>0.0</v>
      </c>
      <c r="S71" s="195">
        <v>0.0</v>
      </c>
      <c r="T71" s="195">
        <v>0.0</v>
      </c>
      <c r="U71" s="195">
        <v>0.0</v>
      </c>
      <c r="V71" s="195">
        <v>0.0</v>
      </c>
      <c r="W71" s="195">
        <v>0.0</v>
      </c>
      <c r="X71" s="195">
        <v>0.0</v>
      </c>
      <c r="Y71" s="195">
        <v>0.0</v>
      </c>
      <c r="Z71" s="195">
        <v>0.0</v>
      </c>
      <c r="AA71" s="195">
        <v>0.0</v>
      </c>
      <c r="AB71" s="195">
        <v>0.0</v>
      </c>
      <c r="AC71" s="220"/>
      <c r="AD71" s="220"/>
      <c r="AE71" s="220"/>
      <c r="AF71" s="220"/>
      <c r="AG71" s="220"/>
      <c r="AH71" s="220"/>
      <c r="AI71" s="220"/>
      <c r="AJ71" s="220"/>
      <c r="AK71" s="220"/>
      <c r="AL71" s="220"/>
      <c r="AM71" s="220"/>
      <c r="AN71" s="220"/>
      <c r="AO71" s="220"/>
      <c r="AP71" s="220"/>
      <c r="AQ71" s="220"/>
      <c r="AR71" s="220"/>
      <c r="AS71" s="220"/>
      <c r="AT71" s="220"/>
      <c r="AU71" s="220"/>
    </row>
    <row r="72" ht="15.75" customHeight="1">
      <c r="A72" s="195">
        <v>15.0</v>
      </c>
      <c r="B72" s="195">
        <v>880.0</v>
      </c>
      <c r="C72" s="220"/>
      <c r="D72" s="220"/>
      <c r="E72" s="220"/>
      <c r="F72" s="220"/>
      <c r="G72" s="220"/>
      <c r="H72" s="229">
        <v>0.0</v>
      </c>
      <c r="I72" s="195">
        <v>0.0</v>
      </c>
      <c r="J72" s="195">
        <v>0.0</v>
      </c>
      <c r="K72" s="195">
        <v>0.0</v>
      </c>
      <c r="L72" s="195">
        <v>2.0</v>
      </c>
      <c r="M72" s="195">
        <v>0.0</v>
      </c>
      <c r="N72" s="195">
        <v>0.0</v>
      </c>
      <c r="O72" s="195">
        <v>0.0</v>
      </c>
      <c r="P72" s="195">
        <v>0.0</v>
      </c>
      <c r="Q72" s="195">
        <v>0.0</v>
      </c>
      <c r="R72" s="195">
        <v>0.0</v>
      </c>
      <c r="S72" s="195">
        <v>0.0</v>
      </c>
      <c r="T72" s="195">
        <v>0.0</v>
      </c>
      <c r="U72" s="195">
        <v>0.0</v>
      </c>
      <c r="V72" s="195">
        <v>0.0</v>
      </c>
      <c r="W72" s="195">
        <v>0.0</v>
      </c>
      <c r="X72" s="195">
        <v>0.0</v>
      </c>
      <c r="Y72" s="195">
        <v>0.0</v>
      </c>
      <c r="Z72" s="195">
        <v>0.0</v>
      </c>
      <c r="AA72" s="195">
        <v>0.0</v>
      </c>
      <c r="AB72" s="195">
        <v>0.0</v>
      </c>
      <c r="AC72" s="220"/>
      <c r="AD72" s="220"/>
      <c r="AE72" s="220"/>
      <c r="AF72" s="220"/>
      <c r="AG72" s="220"/>
      <c r="AH72" s="220"/>
      <c r="AI72" s="220"/>
      <c r="AJ72" s="220"/>
      <c r="AK72" s="220"/>
      <c r="AL72" s="220"/>
      <c r="AM72" s="220"/>
      <c r="AN72" s="220"/>
      <c r="AO72" s="220"/>
      <c r="AP72" s="220"/>
      <c r="AQ72" s="220"/>
      <c r="AR72" s="220"/>
      <c r="AS72" s="220"/>
      <c r="AT72" s="220"/>
      <c r="AU72" s="220"/>
    </row>
    <row r="73" ht="15.75" customHeight="1">
      <c r="A73" s="220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220"/>
      <c r="AD73" s="220"/>
      <c r="AE73" s="220"/>
      <c r="AF73" s="220"/>
      <c r="AG73" s="220"/>
      <c r="AH73" s="220"/>
      <c r="AI73" s="220"/>
      <c r="AJ73" s="220"/>
      <c r="AK73" s="220"/>
      <c r="AL73" s="220"/>
      <c r="AM73" s="220"/>
      <c r="AN73" s="220"/>
      <c r="AO73" s="220"/>
      <c r="AP73" s="220"/>
      <c r="AQ73" s="220"/>
      <c r="AR73" s="220"/>
      <c r="AS73" s="220"/>
      <c r="AT73" s="220"/>
      <c r="AU73" s="220"/>
    </row>
    <row r="74" ht="19.5" customHeight="1">
      <c r="A74" s="184" t="s">
        <v>276</v>
      </c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4"/>
      <c r="AB74" s="184"/>
      <c r="AC74" s="220"/>
      <c r="AD74" s="220"/>
      <c r="AE74" s="220"/>
      <c r="AF74" s="220"/>
      <c r="AG74" s="220"/>
      <c r="AH74" s="220"/>
      <c r="AI74" s="220"/>
      <c r="AJ74" s="220"/>
      <c r="AK74" s="220"/>
      <c r="AL74" s="220"/>
      <c r="AM74" s="220"/>
      <c r="AN74" s="220"/>
      <c r="AO74" s="220"/>
      <c r="AP74" s="220"/>
      <c r="AQ74" s="220"/>
      <c r="AR74" s="220"/>
      <c r="AS74" s="220"/>
      <c r="AT74" s="220"/>
      <c r="AU74" s="220"/>
    </row>
    <row r="75" ht="90.0" customHeight="1">
      <c r="A75" s="161" t="s">
        <v>274</v>
      </c>
      <c r="B75" s="161" t="s">
        <v>275</v>
      </c>
      <c r="C75" s="220"/>
      <c r="D75" s="220"/>
      <c r="E75" s="220"/>
      <c r="F75" s="220"/>
      <c r="G75" s="220"/>
      <c r="H75" s="226" t="s">
        <v>82</v>
      </c>
      <c r="I75" s="197" t="s">
        <v>68</v>
      </c>
      <c r="J75" s="197" t="s">
        <v>103</v>
      </c>
      <c r="K75" s="197" t="s">
        <v>69</v>
      </c>
      <c r="L75" s="197" t="s">
        <v>70</v>
      </c>
      <c r="M75" s="197" t="s">
        <v>71</v>
      </c>
      <c r="N75" s="197" t="s">
        <v>72</v>
      </c>
      <c r="O75" s="197" t="s">
        <v>73</v>
      </c>
      <c r="P75" s="197" t="s">
        <v>74</v>
      </c>
      <c r="Q75" s="197" t="s">
        <v>75</v>
      </c>
      <c r="R75" s="197" t="s">
        <v>76</v>
      </c>
      <c r="S75" s="197" t="s">
        <v>77</v>
      </c>
      <c r="T75" s="197" t="s">
        <v>78</v>
      </c>
      <c r="U75" s="197" t="s">
        <v>118</v>
      </c>
      <c r="V75" s="197" t="s">
        <v>104</v>
      </c>
      <c r="W75" s="197" t="s">
        <v>105</v>
      </c>
      <c r="X75" s="197" t="s">
        <v>106</v>
      </c>
      <c r="Y75" s="197" t="s">
        <v>107</v>
      </c>
      <c r="Z75" s="197" t="s">
        <v>108</v>
      </c>
      <c r="AA75" s="197" t="s">
        <v>109</v>
      </c>
      <c r="AB75" s="197" t="s">
        <v>110</v>
      </c>
      <c r="AC75" s="220"/>
      <c r="AD75" s="220"/>
      <c r="AE75" s="220"/>
      <c r="AF75" s="220"/>
      <c r="AG75" s="220"/>
      <c r="AH75" s="220"/>
      <c r="AI75" s="220"/>
      <c r="AJ75" s="220"/>
      <c r="AK75" s="220"/>
      <c r="AL75" s="220"/>
      <c r="AM75" s="220"/>
      <c r="AN75" s="220"/>
      <c r="AO75" s="220"/>
      <c r="AP75" s="220"/>
      <c r="AQ75" s="220"/>
      <c r="AR75" s="220"/>
      <c r="AS75" s="220"/>
      <c r="AT75" s="220"/>
      <c r="AU75" s="220"/>
    </row>
    <row r="76" ht="15.75" customHeight="1">
      <c r="A76" s="195">
        <v>1.0</v>
      </c>
      <c r="B76" s="195">
        <v>830.0</v>
      </c>
      <c r="C76" s="220"/>
      <c r="D76" s="220"/>
      <c r="E76" s="220"/>
      <c r="F76" s="220"/>
      <c r="G76" s="220"/>
      <c r="H76" s="229">
        <v>0.0</v>
      </c>
      <c r="I76" s="195">
        <v>0.0</v>
      </c>
      <c r="J76" s="195">
        <v>0.0</v>
      </c>
      <c r="K76" s="195">
        <v>0.0</v>
      </c>
      <c r="L76" s="195">
        <v>0.0</v>
      </c>
      <c r="M76" s="195">
        <v>0.0</v>
      </c>
      <c r="N76" s="195">
        <v>1.0</v>
      </c>
      <c r="O76" s="195">
        <v>0.0</v>
      </c>
      <c r="P76" s="195">
        <v>0.0</v>
      </c>
      <c r="Q76" s="195">
        <v>0.0</v>
      </c>
      <c r="R76" s="195">
        <v>0.0</v>
      </c>
      <c r="S76" s="195">
        <v>0.0</v>
      </c>
      <c r="T76" s="195">
        <v>0.0</v>
      </c>
      <c r="U76" s="195">
        <v>0.0</v>
      </c>
      <c r="V76" s="195">
        <v>0.0</v>
      </c>
      <c r="W76" s="195">
        <v>0.0</v>
      </c>
      <c r="X76" s="195">
        <v>0.0</v>
      </c>
      <c r="Y76" s="195">
        <v>0.0</v>
      </c>
      <c r="Z76" s="195">
        <v>0.0</v>
      </c>
      <c r="AA76" s="195">
        <v>0.0</v>
      </c>
      <c r="AB76" s="195">
        <v>0.0</v>
      </c>
      <c r="AC76" s="220"/>
      <c r="AD76" s="220"/>
      <c r="AE76" s="220"/>
      <c r="AF76" s="220"/>
      <c r="AG76" s="220"/>
      <c r="AH76" s="220"/>
      <c r="AI76" s="220"/>
      <c r="AJ76" s="220"/>
      <c r="AK76" s="220"/>
      <c r="AL76" s="220"/>
      <c r="AM76" s="220"/>
      <c r="AN76" s="220"/>
      <c r="AO76" s="220"/>
      <c r="AP76" s="220"/>
      <c r="AQ76" s="220"/>
      <c r="AR76" s="220"/>
      <c r="AS76" s="220"/>
      <c r="AT76" s="220"/>
      <c r="AU76" s="220"/>
    </row>
    <row r="77" ht="15.75" customHeight="1">
      <c r="A77" s="195">
        <v>2.0</v>
      </c>
      <c r="B77" s="195">
        <v>800.0</v>
      </c>
      <c r="C77" s="230"/>
      <c r="D77" s="230"/>
      <c r="E77" s="230"/>
      <c r="F77" s="230"/>
      <c r="G77" s="230"/>
      <c r="H77" s="229">
        <v>25.0</v>
      </c>
      <c r="I77" s="195">
        <v>0.0</v>
      </c>
      <c r="J77" s="195">
        <v>0.0</v>
      </c>
      <c r="K77" s="195">
        <v>0.0</v>
      </c>
      <c r="L77" s="195">
        <v>0.0</v>
      </c>
      <c r="M77" s="195">
        <v>0.0</v>
      </c>
      <c r="N77" s="195">
        <v>0.0</v>
      </c>
      <c r="O77" s="195">
        <v>0.0</v>
      </c>
      <c r="P77" s="195">
        <v>0.0</v>
      </c>
      <c r="Q77" s="195">
        <v>0.0</v>
      </c>
      <c r="R77" s="195">
        <v>0.0</v>
      </c>
      <c r="S77" s="195">
        <v>0.0</v>
      </c>
      <c r="T77" s="195">
        <v>0.0</v>
      </c>
      <c r="U77" s="195">
        <v>0.0</v>
      </c>
      <c r="V77" s="195">
        <v>0.0</v>
      </c>
      <c r="W77" s="195">
        <v>0.0</v>
      </c>
      <c r="X77" s="195">
        <v>0.0</v>
      </c>
      <c r="Y77" s="195">
        <v>0.0</v>
      </c>
      <c r="Z77" s="195">
        <v>0.0</v>
      </c>
      <c r="AA77" s="195">
        <v>0.0</v>
      </c>
      <c r="AB77" s="195">
        <v>0.0</v>
      </c>
      <c r="AC77" s="220"/>
      <c r="AD77" s="220"/>
      <c r="AE77" s="220"/>
      <c r="AF77" s="220"/>
      <c r="AG77" s="220"/>
      <c r="AH77" s="220"/>
      <c r="AI77" s="220"/>
      <c r="AJ77" s="220"/>
      <c r="AK77" s="220"/>
      <c r="AL77" s="220"/>
      <c r="AM77" s="220"/>
      <c r="AN77" s="220"/>
      <c r="AO77" s="220"/>
      <c r="AP77" s="220"/>
      <c r="AQ77" s="220"/>
      <c r="AR77" s="220"/>
      <c r="AS77" s="220"/>
      <c r="AT77" s="220"/>
      <c r="AU77" s="220"/>
    </row>
    <row r="78" ht="15.75" customHeight="1">
      <c r="A78" s="195">
        <v>3.0</v>
      </c>
      <c r="B78" s="195">
        <v>910.0</v>
      </c>
      <c r="C78" s="220"/>
      <c r="D78" s="220"/>
      <c r="E78" s="220"/>
      <c r="F78" s="220"/>
      <c r="G78" s="220"/>
      <c r="H78" s="229">
        <v>0.0</v>
      </c>
      <c r="I78" s="195">
        <v>0.0</v>
      </c>
      <c r="J78" s="195">
        <v>0.0</v>
      </c>
      <c r="K78" s="195">
        <v>0.0</v>
      </c>
      <c r="L78" s="195">
        <v>0.0</v>
      </c>
      <c r="M78" s="195">
        <v>0.0</v>
      </c>
      <c r="N78" s="195">
        <v>0.0</v>
      </c>
      <c r="O78" s="195">
        <v>2.0</v>
      </c>
      <c r="P78" s="195">
        <v>0.0</v>
      </c>
      <c r="Q78" s="195">
        <v>0.0</v>
      </c>
      <c r="R78" s="195">
        <v>0.0</v>
      </c>
      <c r="S78" s="195">
        <v>0.0</v>
      </c>
      <c r="T78" s="195">
        <v>0.0</v>
      </c>
      <c r="U78" s="195">
        <v>0.0</v>
      </c>
      <c r="V78" s="195">
        <v>0.0</v>
      </c>
      <c r="W78" s="195">
        <v>0.0</v>
      </c>
      <c r="X78" s="195">
        <v>0.0</v>
      </c>
      <c r="Y78" s="195">
        <v>0.0</v>
      </c>
      <c r="Z78" s="195">
        <v>0.0</v>
      </c>
      <c r="AA78" s="195">
        <v>0.0</v>
      </c>
      <c r="AB78" s="195">
        <v>0.0</v>
      </c>
      <c r="AC78" s="220"/>
      <c r="AD78" s="220"/>
      <c r="AE78" s="220"/>
      <c r="AF78" s="220"/>
      <c r="AG78" s="220"/>
      <c r="AH78" s="220"/>
      <c r="AI78" s="220"/>
      <c r="AJ78" s="220"/>
      <c r="AK78" s="220"/>
      <c r="AL78" s="220"/>
      <c r="AM78" s="220"/>
      <c r="AN78" s="220"/>
      <c r="AO78" s="220"/>
      <c r="AP78" s="220"/>
      <c r="AQ78" s="220"/>
      <c r="AR78" s="220"/>
      <c r="AS78" s="220"/>
      <c r="AT78" s="220"/>
      <c r="AU78" s="220"/>
    </row>
    <row r="79" ht="15.75" customHeight="1">
      <c r="A79" s="195">
        <v>4.0</v>
      </c>
      <c r="B79" s="195">
        <v>940.0</v>
      </c>
      <c r="C79" s="230"/>
      <c r="D79" s="230"/>
      <c r="E79" s="230"/>
      <c r="F79" s="230"/>
      <c r="G79" s="230"/>
      <c r="H79" s="229">
        <v>0.0</v>
      </c>
      <c r="I79" s="195">
        <v>0.0</v>
      </c>
      <c r="J79" s="195">
        <v>0.0</v>
      </c>
      <c r="K79" s="195">
        <v>0.0</v>
      </c>
      <c r="L79" s="195">
        <v>0.0</v>
      </c>
      <c r="M79" s="195">
        <v>0.0</v>
      </c>
      <c r="N79" s="195">
        <v>0.0</v>
      </c>
      <c r="O79" s="195">
        <v>0.0</v>
      </c>
      <c r="P79" s="195">
        <v>1.0</v>
      </c>
      <c r="Q79" s="195">
        <v>0.0</v>
      </c>
      <c r="R79" s="195">
        <v>0.0</v>
      </c>
      <c r="S79" s="195">
        <v>0.0</v>
      </c>
      <c r="T79" s="195">
        <v>0.0</v>
      </c>
      <c r="U79" s="195">
        <v>0.0</v>
      </c>
      <c r="V79" s="195">
        <v>0.0</v>
      </c>
      <c r="W79" s="195">
        <v>0.0</v>
      </c>
      <c r="X79" s="195">
        <v>0.0</v>
      </c>
      <c r="Y79" s="195">
        <v>0.0</v>
      </c>
      <c r="Z79" s="195">
        <v>0.0</v>
      </c>
      <c r="AA79" s="195">
        <v>0.0</v>
      </c>
      <c r="AB79" s="195">
        <v>0.0</v>
      </c>
      <c r="AC79" s="220"/>
      <c r="AD79" s="220"/>
      <c r="AE79" s="220"/>
      <c r="AF79" s="220"/>
      <c r="AG79" s="220"/>
      <c r="AH79" s="220"/>
      <c r="AI79" s="220"/>
      <c r="AJ79" s="220"/>
      <c r="AK79" s="220"/>
      <c r="AL79" s="220"/>
      <c r="AM79" s="220"/>
      <c r="AN79" s="220"/>
      <c r="AO79" s="220"/>
      <c r="AP79" s="220"/>
      <c r="AQ79" s="220"/>
      <c r="AR79" s="220"/>
      <c r="AS79" s="220"/>
      <c r="AT79" s="220"/>
      <c r="AU79" s="220"/>
    </row>
    <row r="80" ht="15.75" customHeight="1">
      <c r="A80" s="195">
        <v>5.0</v>
      </c>
      <c r="B80" s="195">
        <v>910.0</v>
      </c>
      <c r="C80" s="220"/>
      <c r="D80" s="220"/>
      <c r="E80" s="220"/>
      <c r="F80" s="220"/>
      <c r="G80" s="220"/>
      <c r="H80" s="229">
        <v>0.0</v>
      </c>
      <c r="I80" s="195">
        <v>0.0</v>
      </c>
      <c r="J80" s="195">
        <v>0.0</v>
      </c>
      <c r="K80" s="195">
        <v>0.0</v>
      </c>
      <c r="L80" s="195">
        <v>0.0</v>
      </c>
      <c r="M80" s="195">
        <v>0.0</v>
      </c>
      <c r="N80" s="195">
        <v>0.0</v>
      </c>
      <c r="O80" s="195">
        <v>2.0</v>
      </c>
      <c r="P80" s="195">
        <v>0.0</v>
      </c>
      <c r="Q80" s="195">
        <v>0.0</v>
      </c>
      <c r="R80" s="195">
        <v>0.0</v>
      </c>
      <c r="S80" s="195">
        <v>0.0</v>
      </c>
      <c r="T80" s="195">
        <v>0.0</v>
      </c>
      <c r="U80" s="195">
        <v>0.0</v>
      </c>
      <c r="V80" s="195">
        <v>0.0</v>
      </c>
      <c r="W80" s="195">
        <v>0.0</v>
      </c>
      <c r="X80" s="195">
        <v>0.0</v>
      </c>
      <c r="Y80" s="195">
        <v>0.0</v>
      </c>
      <c r="Z80" s="195">
        <v>0.0</v>
      </c>
      <c r="AA80" s="195">
        <v>0.0</v>
      </c>
      <c r="AB80" s="195">
        <v>0.0</v>
      </c>
      <c r="AC80" s="220"/>
      <c r="AD80" s="220"/>
      <c r="AE80" s="220"/>
      <c r="AF80" s="220"/>
      <c r="AG80" s="220"/>
      <c r="AH80" s="220"/>
      <c r="AI80" s="220"/>
      <c r="AJ80" s="220"/>
      <c r="AK80" s="220"/>
      <c r="AL80" s="220"/>
      <c r="AM80" s="220"/>
      <c r="AN80" s="220"/>
      <c r="AO80" s="220"/>
      <c r="AP80" s="220"/>
      <c r="AQ80" s="220"/>
      <c r="AR80" s="220"/>
      <c r="AS80" s="220"/>
      <c r="AT80" s="220"/>
      <c r="AU80" s="220"/>
    </row>
    <row r="81" ht="15.75" customHeight="1">
      <c r="A81" s="195">
        <v>6.0</v>
      </c>
      <c r="B81" s="195">
        <v>880.0</v>
      </c>
      <c r="C81" s="230"/>
      <c r="D81" s="230"/>
      <c r="E81" s="230"/>
      <c r="F81" s="230"/>
      <c r="G81" s="230"/>
      <c r="H81" s="229">
        <v>0.0</v>
      </c>
      <c r="I81" s="195">
        <v>0.0</v>
      </c>
      <c r="J81" s="195">
        <v>0.0</v>
      </c>
      <c r="K81" s="195">
        <v>0.0</v>
      </c>
      <c r="L81" s="195">
        <v>0.0</v>
      </c>
      <c r="M81" s="195">
        <v>0.0</v>
      </c>
      <c r="N81" s="195">
        <v>2.0</v>
      </c>
      <c r="O81" s="195">
        <v>0.0</v>
      </c>
      <c r="P81" s="195">
        <v>0.0</v>
      </c>
      <c r="Q81" s="195">
        <v>0.0</v>
      </c>
      <c r="R81" s="195">
        <v>0.0</v>
      </c>
      <c r="S81" s="195">
        <v>0.0</v>
      </c>
      <c r="T81" s="195">
        <v>0.0</v>
      </c>
      <c r="U81" s="195">
        <v>0.0</v>
      </c>
      <c r="V81" s="195">
        <v>0.0</v>
      </c>
      <c r="W81" s="195">
        <v>0.0</v>
      </c>
      <c r="X81" s="195">
        <v>0.0</v>
      </c>
      <c r="Y81" s="195">
        <v>0.0</v>
      </c>
      <c r="Z81" s="195">
        <v>0.0</v>
      </c>
      <c r="AA81" s="195">
        <v>0.0</v>
      </c>
      <c r="AB81" s="195">
        <v>0.0</v>
      </c>
      <c r="AC81" s="220"/>
      <c r="AD81" s="220"/>
      <c r="AE81" s="220"/>
      <c r="AF81" s="220"/>
      <c r="AG81" s="220"/>
      <c r="AH81" s="220"/>
      <c r="AI81" s="220"/>
      <c r="AJ81" s="220"/>
      <c r="AK81" s="220"/>
      <c r="AL81" s="220"/>
      <c r="AM81" s="220"/>
      <c r="AN81" s="220"/>
      <c r="AO81" s="220"/>
      <c r="AP81" s="220"/>
      <c r="AQ81" s="220"/>
      <c r="AR81" s="220"/>
      <c r="AS81" s="220"/>
      <c r="AT81" s="220"/>
      <c r="AU81" s="220"/>
    </row>
    <row r="82" ht="15.75" customHeight="1">
      <c r="A82" s="195">
        <v>7.0</v>
      </c>
      <c r="B82" s="195">
        <v>940.0</v>
      </c>
      <c r="C82" s="220"/>
      <c r="D82" s="220"/>
      <c r="E82" s="220"/>
      <c r="F82" s="220"/>
      <c r="G82" s="220"/>
      <c r="H82" s="229">
        <v>0.0</v>
      </c>
      <c r="I82" s="195">
        <v>0.0</v>
      </c>
      <c r="J82" s="195">
        <v>0.0</v>
      </c>
      <c r="K82" s="195">
        <v>0.0</v>
      </c>
      <c r="L82" s="195">
        <v>0.0</v>
      </c>
      <c r="M82" s="195">
        <v>0.0</v>
      </c>
      <c r="N82" s="195">
        <v>0.0</v>
      </c>
      <c r="O82" s="195">
        <v>0.0</v>
      </c>
      <c r="P82" s="195">
        <v>1.0</v>
      </c>
      <c r="Q82" s="195">
        <v>0.0</v>
      </c>
      <c r="R82" s="195">
        <v>0.0</v>
      </c>
      <c r="S82" s="195">
        <v>0.0</v>
      </c>
      <c r="T82" s="195">
        <v>0.0</v>
      </c>
      <c r="U82" s="195">
        <v>0.0</v>
      </c>
      <c r="V82" s="195">
        <v>0.0</v>
      </c>
      <c r="W82" s="195">
        <v>0.0</v>
      </c>
      <c r="X82" s="195">
        <v>0.0</v>
      </c>
      <c r="Y82" s="195">
        <v>0.0</v>
      </c>
      <c r="Z82" s="195">
        <v>0.0</v>
      </c>
      <c r="AA82" s="195">
        <v>0.0</v>
      </c>
      <c r="AB82" s="195">
        <v>0.0</v>
      </c>
      <c r="AC82" s="220"/>
      <c r="AD82" s="220"/>
      <c r="AE82" s="220"/>
      <c r="AF82" s="220"/>
      <c r="AG82" s="220"/>
      <c r="AH82" s="220"/>
      <c r="AI82" s="220"/>
      <c r="AJ82" s="220"/>
      <c r="AK82" s="220"/>
      <c r="AL82" s="220"/>
      <c r="AM82" s="220"/>
      <c r="AN82" s="220"/>
      <c r="AO82" s="220"/>
      <c r="AP82" s="220"/>
      <c r="AQ82" s="220"/>
      <c r="AR82" s="220"/>
      <c r="AS82" s="220"/>
      <c r="AT82" s="220"/>
      <c r="AU82" s="220"/>
    </row>
    <row r="83" ht="15.75" customHeight="1">
      <c r="A83" s="195">
        <v>8.0</v>
      </c>
      <c r="B83" s="195">
        <v>980.0</v>
      </c>
      <c r="C83" s="230"/>
      <c r="D83" s="230"/>
      <c r="E83" s="230"/>
      <c r="F83" s="230"/>
      <c r="G83" s="230"/>
      <c r="H83" s="229">
        <v>0.0</v>
      </c>
      <c r="I83" s="195">
        <v>0.0</v>
      </c>
      <c r="J83" s="195">
        <v>0.0</v>
      </c>
      <c r="K83" s="195">
        <v>0.0</v>
      </c>
      <c r="L83" s="195">
        <v>0.0</v>
      </c>
      <c r="M83" s="195">
        <v>0.0</v>
      </c>
      <c r="N83" s="195">
        <v>0.0</v>
      </c>
      <c r="O83" s="195">
        <v>3.0</v>
      </c>
      <c r="P83" s="195">
        <v>0.0</v>
      </c>
      <c r="Q83" s="195">
        <v>0.0</v>
      </c>
      <c r="R83" s="195">
        <v>0.0</v>
      </c>
      <c r="S83" s="195">
        <v>0.0</v>
      </c>
      <c r="T83" s="195">
        <v>0.0</v>
      </c>
      <c r="U83" s="195">
        <v>0.0</v>
      </c>
      <c r="V83" s="195">
        <v>0.0</v>
      </c>
      <c r="W83" s="195">
        <v>0.0</v>
      </c>
      <c r="X83" s="195">
        <v>0.0</v>
      </c>
      <c r="Y83" s="195">
        <v>0.0</v>
      </c>
      <c r="Z83" s="195">
        <v>0.0</v>
      </c>
      <c r="AA83" s="195">
        <v>0.0</v>
      </c>
      <c r="AB83" s="195">
        <v>0.0</v>
      </c>
      <c r="AC83" s="220"/>
      <c r="AD83" s="220"/>
      <c r="AE83" s="220"/>
      <c r="AF83" s="220"/>
      <c r="AG83" s="220"/>
      <c r="AH83" s="220"/>
      <c r="AI83" s="220"/>
      <c r="AJ83" s="220"/>
      <c r="AK83" s="220"/>
      <c r="AL83" s="220"/>
      <c r="AM83" s="220"/>
      <c r="AN83" s="220"/>
      <c r="AO83" s="220"/>
      <c r="AP83" s="220"/>
      <c r="AQ83" s="220"/>
      <c r="AR83" s="220"/>
      <c r="AS83" s="220"/>
      <c r="AT83" s="220"/>
      <c r="AU83" s="220"/>
    </row>
    <row r="84" ht="15.75" customHeight="1">
      <c r="A84" s="195">
        <v>9.0</v>
      </c>
      <c r="B84" s="195">
        <v>830.0</v>
      </c>
      <c r="C84" s="220"/>
      <c r="D84" s="220"/>
      <c r="E84" s="220"/>
      <c r="F84" s="220"/>
      <c r="G84" s="220"/>
      <c r="H84" s="229">
        <v>0.0</v>
      </c>
      <c r="I84" s="195">
        <v>0.0</v>
      </c>
      <c r="J84" s="195">
        <v>0.0</v>
      </c>
      <c r="K84" s="195">
        <v>0.0</v>
      </c>
      <c r="L84" s="195">
        <v>0.0</v>
      </c>
      <c r="M84" s="195">
        <v>0.0</v>
      </c>
      <c r="N84" s="195">
        <v>1.0</v>
      </c>
      <c r="O84" s="195">
        <v>0.0</v>
      </c>
      <c r="P84" s="195">
        <v>0.0</v>
      </c>
      <c r="Q84" s="195">
        <v>0.0</v>
      </c>
      <c r="R84" s="195">
        <v>0.0</v>
      </c>
      <c r="S84" s="195">
        <v>0.0</v>
      </c>
      <c r="T84" s="195">
        <v>0.0</v>
      </c>
      <c r="U84" s="195">
        <v>0.0</v>
      </c>
      <c r="V84" s="195">
        <v>0.0</v>
      </c>
      <c r="W84" s="195">
        <v>0.0</v>
      </c>
      <c r="X84" s="195">
        <v>0.0</v>
      </c>
      <c r="Y84" s="195">
        <v>0.0</v>
      </c>
      <c r="Z84" s="195">
        <v>0.0</v>
      </c>
      <c r="AA84" s="195">
        <v>0.0</v>
      </c>
      <c r="AB84" s="195">
        <v>0.0</v>
      </c>
      <c r="AC84" s="220"/>
      <c r="AD84" s="220"/>
      <c r="AE84" s="220"/>
      <c r="AF84" s="220"/>
      <c r="AG84" s="220"/>
      <c r="AH84" s="220"/>
      <c r="AI84" s="220"/>
      <c r="AJ84" s="220"/>
      <c r="AK84" s="220"/>
      <c r="AL84" s="220"/>
      <c r="AM84" s="220"/>
      <c r="AN84" s="220"/>
      <c r="AO84" s="220"/>
      <c r="AP84" s="220"/>
      <c r="AQ84" s="220"/>
      <c r="AR84" s="220"/>
      <c r="AS84" s="220"/>
      <c r="AT84" s="220"/>
      <c r="AU84" s="220"/>
    </row>
    <row r="85" ht="15.75" customHeight="1">
      <c r="A85" s="195">
        <v>10.0</v>
      </c>
      <c r="B85" s="195">
        <v>810.0</v>
      </c>
      <c r="C85" s="230"/>
      <c r="D85" s="230"/>
      <c r="E85" s="230"/>
      <c r="F85" s="230"/>
      <c r="G85" s="230"/>
      <c r="H85" s="229">
        <v>35.0</v>
      </c>
      <c r="I85" s="195">
        <v>0.0</v>
      </c>
      <c r="J85" s="195">
        <v>0.0</v>
      </c>
      <c r="K85" s="195">
        <v>0.0</v>
      </c>
      <c r="L85" s="195">
        <v>0.0</v>
      </c>
      <c r="M85" s="195">
        <v>0.0</v>
      </c>
      <c r="N85" s="195">
        <v>0.0</v>
      </c>
      <c r="O85" s="195">
        <v>0.0</v>
      </c>
      <c r="P85" s="195">
        <v>0.0</v>
      </c>
      <c r="Q85" s="195">
        <v>0.0</v>
      </c>
      <c r="R85" s="195">
        <v>0.0</v>
      </c>
      <c r="S85" s="195">
        <v>0.0</v>
      </c>
      <c r="T85" s="195">
        <v>0.0</v>
      </c>
      <c r="U85" s="195">
        <v>0.0</v>
      </c>
      <c r="V85" s="195">
        <v>0.0</v>
      </c>
      <c r="W85" s="195">
        <v>0.0</v>
      </c>
      <c r="X85" s="195">
        <v>0.0</v>
      </c>
      <c r="Y85" s="195">
        <v>0.0</v>
      </c>
      <c r="Z85" s="195">
        <v>0.0</v>
      </c>
      <c r="AA85" s="195">
        <v>0.0</v>
      </c>
      <c r="AB85" s="195">
        <v>0.0</v>
      </c>
      <c r="AC85" s="220"/>
      <c r="AD85" s="220"/>
      <c r="AE85" s="220"/>
      <c r="AF85" s="220"/>
      <c r="AG85" s="220"/>
      <c r="AH85" s="220"/>
      <c r="AI85" s="220"/>
      <c r="AJ85" s="220"/>
      <c r="AK85" s="220"/>
      <c r="AL85" s="220"/>
      <c r="AM85" s="220"/>
      <c r="AN85" s="220"/>
      <c r="AO85" s="220"/>
      <c r="AP85" s="220"/>
      <c r="AQ85" s="220"/>
      <c r="AR85" s="220"/>
      <c r="AS85" s="220"/>
      <c r="AT85" s="220"/>
      <c r="AU85" s="220"/>
    </row>
    <row r="86" ht="15.75" customHeight="1">
      <c r="A86" s="195">
        <v>11.0</v>
      </c>
      <c r="B86" s="195">
        <v>1110.0</v>
      </c>
      <c r="C86" s="220"/>
      <c r="D86" s="220"/>
      <c r="E86" s="220"/>
      <c r="F86" s="220"/>
      <c r="G86" s="220"/>
      <c r="H86" s="229">
        <v>0.0</v>
      </c>
      <c r="I86" s="195">
        <v>0.0</v>
      </c>
      <c r="J86" s="195">
        <v>0.0</v>
      </c>
      <c r="K86" s="195">
        <v>0.0</v>
      </c>
      <c r="L86" s="195">
        <v>0.0</v>
      </c>
      <c r="M86" s="195">
        <v>0.0</v>
      </c>
      <c r="N86" s="195">
        <v>0.0</v>
      </c>
      <c r="O86" s="195">
        <v>0.0</v>
      </c>
      <c r="P86" s="195">
        <v>2.0</v>
      </c>
      <c r="Q86" s="195">
        <v>0.0</v>
      </c>
      <c r="R86" s="195">
        <v>0.0</v>
      </c>
      <c r="S86" s="195">
        <v>0.0</v>
      </c>
      <c r="T86" s="195">
        <v>0.0</v>
      </c>
      <c r="U86" s="195">
        <v>0.0</v>
      </c>
      <c r="V86" s="195">
        <v>0.0</v>
      </c>
      <c r="W86" s="195">
        <v>0.0</v>
      </c>
      <c r="X86" s="195">
        <v>0.0</v>
      </c>
      <c r="Y86" s="195">
        <v>0.0</v>
      </c>
      <c r="Z86" s="195">
        <v>0.0</v>
      </c>
      <c r="AA86" s="195">
        <v>0.0</v>
      </c>
      <c r="AB86" s="195">
        <v>0.0</v>
      </c>
      <c r="AC86" s="220"/>
      <c r="AD86" s="220"/>
      <c r="AE86" s="220"/>
      <c r="AF86" s="220"/>
      <c r="AG86" s="220"/>
      <c r="AH86" s="220"/>
      <c r="AI86" s="220"/>
      <c r="AJ86" s="220"/>
      <c r="AK86" s="220"/>
      <c r="AL86" s="220"/>
      <c r="AM86" s="220"/>
      <c r="AN86" s="220"/>
      <c r="AO86" s="220"/>
      <c r="AP86" s="220"/>
      <c r="AQ86" s="220"/>
      <c r="AR86" s="220"/>
      <c r="AS86" s="220"/>
      <c r="AT86" s="220"/>
      <c r="AU86" s="220"/>
    </row>
    <row r="87" ht="15.75" customHeight="1">
      <c r="A87" s="195">
        <v>12.0</v>
      </c>
      <c r="B87" s="195">
        <v>880.0</v>
      </c>
      <c r="C87" s="230"/>
      <c r="D87" s="230"/>
      <c r="E87" s="230"/>
      <c r="F87" s="230"/>
      <c r="G87" s="230"/>
      <c r="H87" s="229">
        <v>0.0</v>
      </c>
      <c r="I87" s="195">
        <v>0.0</v>
      </c>
      <c r="J87" s="195">
        <v>0.0</v>
      </c>
      <c r="K87" s="195">
        <v>0.0</v>
      </c>
      <c r="L87" s="195">
        <v>0.0</v>
      </c>
      <c r="M87" s="195">
        <v>0.0</v>
      </c>
      <c r="N87" s="195">
        <v>2.0</v>
      </c>
      <c r="O87" s="195">
        <v>0.0</v>
      </c>
      <c r="P87" s="195">
        <v>0.0</v>
      </c>
      <c r="Q87" s="195">
        <v>0.0</v>
      </c>
      <c r="R87" s="195">
        <v>0.0</v>
      </c>
      <c r="S87" s="195">
        <v>0.0</v>
      </c>
      <c r="T87" s="195">
        <v>0.0</v>
      </c>
      <c r="U87" s="195">
        <v>0.0</v>
      </c>
      <c r="V87" s="195">
        <v>0.0</v>
      </c>
      <c r="W87" s="195">
        <v>0.0</v>
      </c>
      <c r="X87" s="195">
        <v>0.0</v>
      </c>
      <c r="Y87" s="195">
        <v>0.0</v>
      </c>
      <c r="Z87" s="195">
        <v>0.0</v>
      </c>
      <c r="AA87" s="195">
        <v>0.0</v>
      </c>
      <c r="AB87" s="195">
        <v>0.0</v>
      </c>
      <c r="AC87" s="220"/>
      <c r="AD87" s="220"/>
      <c r="AE87" s="220"/>
      <c r="AF87" s="220"/>
      <c r="AG87" s="220"/>
      <c r="AH87" s="220"/>
      <c r="AI87" s="220"/>
      <c r="AJ87" s="220"/>
      <c r="AK87" s="220"/>
      <c r="AL87" s="220"/>
      <c r="AM87" s="220"/>
      <c r="AN87" s="220"/>
      <c r="AO87" s="220"/>
      <c r="AP87" s="220"/>
      <c r="AQ87" s="220"/>
      <c r="AR87" s="220"/>
      <c r="AS87" s="220"/>
      <c r="AT87" s="220"/>
      <c r="AU87" s="220"/>
    </row>
    <row r="88" ht="15.75" customHeight="1">
      <c r="A88" s="195">
        <v>13.0</v>
      </c>
      <c r="B88" s="195">
        <v>910.0</v>
      </c>
      <c r="C88" s="220"/>
      <c r="D88" s="220"/>
      <c r="E88" s="220"/>
      <c r="F88" s="220"/>
      <c r="G88" s="220"/>
      <c r="H88" s="229">
        <v>0.0</v>
      </c>
      <c r="I88" s="195">
        <v>0.0</v>
      </c>
      <c r="J88" s="195">
        <v>0.0</v>
      </c>
      <c r="K88" s="195">
        <v>0.0</v>
      </c>
      <c r="L88" s="195">
        <v>0.0</v>
      </c>
      <c r="M88" s="195">
        <v>0.0</v>
      </c>
      <c r="N88" s="195">
        <v>0.0</v>
      </c>
      <c r="O88" s="195">
        <v>2.0</v>
      </c>
      <c r="P88" s="195">
        <v>0.0</v>
      </c>
      <c r="Q88" s="195">
        <v>0.0</v>
      </c>
      <c r="R88" s="195">
        <v>0.0</v>
      </c>
      <c r="S88" s="195">
        <v>0.0</v>
      </c>
      <c r="T88" s="195">
        <v>0.0</v>
      </c>
      <c r="U88" s="195">
        <v>0.0</v>
      </c>
      <c r="V88" s="195">
        <v>0.0</v>
      </c>
      <c r="W88" s="195">
        <v>0.0</v>
      </c>
      <c r="X88" s="195">
        <v>0.0</v>
      </c>
      <c r="Y88" s="195">
        <v>0.0</v>
      </c>
      <c r="Z88" s="195">
        <v>0.0</v>
      </c>
      <c r="AA88" s="195">
        <v>0.0</v>
      </c>
      <c r="AB88" s="195">
        <v>0.0</v>
      </c>
      <c r="AC88" s="220"/>
      <c r="AD88" s="220"/>
      <c r="AE88" s="220"/>
      <c r="AF88" s="220"/>
      <c r="AG88" s="220"/>
      <c r="AH88" s="220"/>
      <c r="AI88" s="220"/>
      <c r="AJ88" s="220"/>
      <c r="AK88" s="220"/>
      <c r="AL88" s="220"/>
      <c r="AM88" s="220"/>
      <c r="AN88" s="220"/>
      <c r="AO88" s="220"/>
      <c r="AP88" s="220"/>
      <c r="AQ88" s="220"/>
      <c r="AR88" s="220"/>
      <c r="AS88" s="220"/>
      <c r="AT88" s="220"/>
      <c r="AU88" s="220"/>
    </row>
    <row r="89" ht="15.75" customHeight="1">
      <c r="A89" s="195">
        <v>14.0</v>
      </c>
      <c r="B89" s="195">
        <v>1110.0</v>
      </c>
      <c r="C89" s="230"/>
      <c r="D89" s="230"/>
      <c r="E89" s="230"/>
      <c r="F89" s="230"/>
      <c r="G89" s="230"/>
      <c r="H89" s="229">
        <v>0.0</v>
      </c>
      <c r="I89" s="195">
        <v>0.0</v>
      </c>
      <c r="J89" s="195">
        <v>0.0</v>
      </c>
      <c r="K89" s="195">
        <v>0.0</v>
      </c>
      <c r="L89" s="195">
        <v>0.0</v>
      </c>
      <c r="M89" s="195">
        <v>0.0</v>
      </c>
      <c r="N89" s="195">
        <v>0.0</v>
      </c>
      <c r="O89" s="195">
        <v>0.0</v>
      </c>
      <c r="P89" s="195">
        <v>2.0</v>
      </c>
      <c r="Q89" s="195">
        <v>0.0</v>
      </c>
      <c r="R89" s="195">
        <v>0.0</v>
      </c>
      <c r="S89" s="195">
        <v>0.0</v>
      </c>
      <c r="T89" s="195">
        <v>0.0</v>
      </c>
      <c r="U89" s="195">
        <v>0.0</v>
      </c>
      <c r="V89" s="195">
        <v>0.0</v>
      </c>
      <c r="W89" s="195">
        <v>0.0</v>
      </c>
      <c r="X89" s="195">
        <v>0.0</v>
      </c>
      <c r="Y89" s="195">
        <v>0.0</v>
      </c>
      <c r="Z89" s="195">
        <v>0.0</v>
      </c>
      <c r="AA89" s="195">
        <v>0.0</v>
      </c>
      <c r="AB89" s="195">
        <v>0.0</v>
      </c>
      <c r="AC89" s="220"/>
      <c r="AD89" s="220"/>
      <c r="AE89" s="220"/>
      <c r="AF89" s="220"/>
      <c r="AG89" s="220"/>
      <c r="AH89" s="220"/>
      <c r="AI89" s="220"/>
      <c r="AJ89" s="220"/>
      <c r="AK89" s="220"/>
      <c r="AL89" s="220"/>
      <c r="AM89" s="220"/>
      <c r="AN89" s="220"/>
      <c r="AO89" s="220"/>
      <c r="AP89" s="220"/>
      <c r="AQ89" s="220"/>
      <c r="AR89" s="220"/>
      <c r="AS89" s="220"/>
      <c r="AT89" s="220"/>
      <c r="AU89" s="220"/>
    </row>
    <row r="90" ht="15.75" customHeight="1">
      <c r="A90" s="195">
        <v>15.0</v>
      </c>
      <c r="B90" s="195">
        <v>840.0</v>
      </c>
      <c r="C90" s="220"/>
      <c r="D90" s="220"/>
      <c r="E90" s="220"/>
      <c r="F90" s="220"/>
      <c r="G90" s="220"/>
      <c r="H90" s="229">
        <v>0.0</v>
      </c>
      <c r="I90" s="195">
        <v>0.0</v>
      </c>
      <c r="J90" s="195">
        <v>0.0</v>
      </c>
      <c r="K90" s="195">
        <v>0.0</v>
      </c>
      <c r="L90" s="195">
        <v>0.0</v>
      </c>
      <c r="M90" s="195">
        <v>0.0</v>
      </c>
      <c r="N90" s="195">
        <v>0.0</v>
      </c>
      <c r="O90" s="195">
        <v>1.0</v>
      </c>
      <c r="P90" s="195">
        <v>0.0</v>
      </c>
      <c r="Q90" s="195">
        <v>0.0</v>
      </c>
      <c r="R90" s="195">
        <v>0.0</v>
      </c>
      <c r="S90" s="195">
        <v>0.0</v>
      </c>
      <c r="T90" s="195">
        <v>0.0</v>
      </c>
      <c r="U90" s="195">
        <v>0.0</v>
      </c>
      <c r="V90" s="195">
        <v>0.0</v>
      </c>
      <c r="W90" s="195">
        <v>0.0</v>
      </c>
      <c r="X90" s="195">
        <v>0.0</v>
      </c>
      <c r="Y90" s="195">
        <v>0.0</v>
      </c>
      <c r="Z90" s="195">
        <v>0.0</v>
      </c>
      <c r="AA90" s="195">
        <v>0.0</v>
      </c>
      <c r="AB90" s="195">
        <v>0.0</v>
      </c>
      <c r="AC90" s="220"/>
      <c r="AD90" s="220"/>
      <c r="AE90" s="220"/>
      <c r="AF90" s="220"/>
      <c r="AG90" s="220"/>
      <c r="AH90" s="220"/>
      <c r="AI90" s="220"/>
      <c r="AJ90" s="220"/>
      <c r="AK90" s="220"/>
      <c r="AL90" s="220"/>
      <c r="AM90" s="220"/>
      <c r="AN90" s="220"/>
      <c r="AO90" s="220"/>
      <c r="AP90" s="220"/>
      <c r="AQ90" s="220"/>
      <c r="AR90" s="220"/>
      <c r="AS90" s="220"/>
      <c r="AT90" s="220"/>
      <c r="AU90" s="220"/>
    </row>
    <row r="91" ht="15.75" customHeight="1">
      <c r="A91" s="22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  <c r="AC91" s="220"/>
      <c r="AD91" s="220"/>
      <c r="AE91" s="220"/>
      <c r="AF91" s="220"/>
      <c r="AG91" s="220"/>
      <c r="AH91" s="220"/>
      <c r="AI91" s="220"/>
      <c r="AJ91" s="220"/>
      <c r="AK91" s="220"/>
      <c r="AL91" s="220"/>
      <c r="AM91" s="220"/>
      <c r="AN91" s="220"/>
      <c r="AO91" s="220"/>
      <c r="AP91" s="220"/>
      <c r="AQ91" s="220"/>
      <c r="AR91" s="220"/>
      <c r="AS91" s="220"/>
      <c r="AT91" s="220"/>
      <c r="AU91" s="220"/>
    </row>
    <row r="92" ht="19.5" customHeight="1">
      <c r="A92" s="184" t="s">
        <v>277</v>
      </c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  <c r="AA92" s="184"/>
      <c r="AB92" s="184"/>
      <c r="AC92" s="220"/>
      <c r="AD92" s="220"/>
      <c r="AE92" s="220"/>
      <c r="AF92" s="220"/>
      <c r="AG92" s="220"/>
      <c r="AH92" s="220"/>
      <c r="AI92" s="220"/>
      <c r="AJ92" s="220"/>
      <c r="AK92" s="220"/>
      <c r="AL92" s="220"/>
      <c r="AM92" s="220"/>
      <c r="AN92" s="220"/>
      <c r="AO92" s="220"/>
      <c r="AP92" s="220"/>
      <c r="AQ92" s="220"/>
      <c r="AR92" s="220"/>
      <c r="AS92" s="220"/>
      <c r="AT92" s="220"/>
      <c r="AU92" s="220"/>
    </row>
    <row r="93" ht="90.0" customHeight="1">
      <c r="A93" s="161" t="s">
        <v>274</v>
      </c>
      <c r="B93" s="161" t="s">
        <v>275</v>
      </c>
      <c r="C93" s="220"/>
      <c r="D93" s="220"/>
      <c r="E93" s="220"/>
      <c r="F93" s="220"/>
      <c r="G93" s="220"/>
      <c r="H93" s="226" t="s">
        <v>82</v>
      </c>
      <c r="I93" s="197" t="s">
        <v>68</v>
      </c>
      <c r="J93" s="197" t="s">
        <v>103</v>
      </c>
      <c r="K93" s="197" t="s">
        <v>69</v>
      </c>
      <c r="L93" s="197" t="s">
        <v>70</v>
      </c>
      <c r="M93" s="197" t="s">
        <v>71</v>
      </c>
      <c r="N93" s="197" t="s">
        <v>72</v>
      </c>
      <c r="O93" s="197" t="s">
        <v>73</v>
      </c>
      <c r="P93" s="197" t="s">
        <v>74</v>
      </c>
      <c r="Q93" s="197" t="s">
        <v>75</v>
      </c>
      <c r="R93" s="197" t="s">
        <v>76</v>
      </c>
      <c r="S93" s="197" t="s">
        <v>77</v>
      </c>
      <c r="T93" s="197" t="s">
        <v>78</v>
      </c>
      <c r="U93" s="197" t="s">
        <v>118</v>
      </c>
      <c r="V93" s="197" t="s">
        <v>104</v>
      </c>
      <c r="W93" s="197" t="s">
        <v>105</v>
      </c>
      <c r="X93" s="197" t="s">
        <v>106</v>
      </c>
      <c r="Y93" s="197" t="s">
        <v>107</v>
      </c>
      <c r="Z93" s="197" t="s">
        <v>108</v>
      </c>
      <c r="AA93" s="197" t="s">
        <v>109</v>
      </c>
      <c r="AB93" s="197" t="s">
        <v>110</v>
      </c>
      <c r="AC93" s="220"/>
      <c r="AD93" s="220"/>
      <c r="AE93" s="220"/>
      <c r="AF93" s="220"/>
      <c r="AG93" s="220"/>
      <c r="AH93" s="220"/>
      <c r="AI93" s="220"/>
      <c r="AJ93" s="220"/>
      <c r="AK93" s="220"/>
      <c r="AL93" s="220"/>
      <c r="AM93" s="220"/>
      <c r="AN93" s="220"/>
      <c r="AO93" s="220"/>
      <c r="AP93" s="220"/>
      <c r="AQ93" s="220"/>
      <c r="AR93" s="220"/>
      <c r="AS93" s="220"/>
      <c r="AT93" s="220"/>
      <c r="AU93" s="220"/>
    </row>
    <row r="94" ht="15.75" customHeight="1">
      <c r="A94" s="195">
        <v>1.0</v>
      </c>
      <c r="B94" s="195">
        <v>940.0</v>
      </c>
      <c r="C94" s="220"/>
      <c r="D94" s="220"/>
      <c r="E94" s="220"/>
      <c r="F94" s="220"/>
      <c r="G94" s="220"/>
      <c r="H94" s="229">
        <v>0.0</v>
      </c>
      <c r="I94" s="195">
        <v>0.0</v>
      </c>
      <c r="J94" s="195">
        <v>0.0</v>
      </c>
      <c r="K94" s="195">
        <v>0.0</v>
      </c>
      <c r="L94" s="195">
        <v>0.0</v>
      </c>
      <c r="M94" s="195">
        <v>0.0</v>
      </c>
      <c r="N94" s="195">
        <v>0.0</v>
      </c>
      <c r="O94" s="195">
        <v>0.0</v>
      </c>
      <c r="P94" s="195">
        <v>0.0</v>
      </c>
      <c r="Q94" s="195">
        <v>0.0</v>
      </c>
      <c r="R94" s="195">
        <v>0.0</v>
      </c>
      <c r="S94" s="195">
        <v>10.0</v>
      </c>
      <c r="T94" s="195">
        <v>0.0</v>
      </c>
      <c r="U94" s="195">
        <v>0.0</v>
      </c>
      <c r="V94" s="195">
        <v>0.0</v>
      </c>
      <c r="W94" s="195">
        <v>0.0</v>
      </c>
      <c r="X94" s="195">
        <v>0.0</v>
      </c>
      <c r="Y94" s="195">
        <v>0.0</v>
      </c>
      <c r="Z94" s="195">
        <v>0.0</v>
      </c>
      <c r="AA94" s="195">
        <v>0.0</v>
      </c>
      <c r="AB94" s="195">
        <v>0.0</v>
      </c>
      <c r="AC94" s="220"/>
      <c r="AD94" s="220"/>
      <c r="AE94" s="220"/>
      <c r="AF94" s="220"/>
      <c r="AG94" s="220"/>
      <c r="AH94" s="220"/>
      <c r="AI94" s="220"/>
      <c r="AJ94" s="220"/>
      <c r="AK94" s="220"/>
      <c r="AL94" s="220"/>
      <c r="AM94" s="220"/>
      <c r="AN94" s="220"/>
      <c r="AO94" s="220"/>
      <c r="AP94" s="220"/>
      <c r="AQ94" s="220"/>
      <c r="AR94" s="220"/>
      <c r="AS94" s="220"/>
      <c r="AT94" s="220"/>
      <c r="AU94" s="220"/>
    </row>
    <row r="95" ht="15.75" customHeight="1">
      <c r="A95" s="195">
        <v>2.0</v>
      </c>
      <c r="B95" s="195">
        <v>950.0</v>
      </c>
      <c r="C95" s="230"/>
      <c r="D95" s="230"/>
      <c r="E95" s="230"/>
      <c r="F95" s="230"/>
      <c r="G95" s="230"/>
      <c r="H95" s="229">
        <v>0.0</v>
      </c>
      <c r="I95" s="195">
        <v>0.0</v>
      </c>
      <c r="J95" s="195">
        <v>0.0</v>
      </c>
      <c r="K95" s="195">
        <v>0.0</v>
      </c>
      <c r="L95" s="195">
        <v>0.0</v>
      </c>
      <c r="M95" s="195">
        <v>0.0</v>
      </c>
      <c r="N95" s="195">
        <v>0.0</v>
      </c>
      <c r="O95" s="195">
        <v>0.0</v>
      </c>
      <c r="P95" s="195">
        <v>0.0</v>
      </c>
      <c r="Q95" s="195">
        <v>0.0</v>
      </c>
      <c r="R95" s="195">
        <v>0.0</v>
      </c>
      <c r="S95" s="195">
        <v>0.0</v>
      </c>
      <c r="T95" s="195">
        <v>10.0</v>
      </c>
      <c r="U95" s="195">
        <v>0.0</v>
      </c>
      <c r="V95" s="195">
        <v>0.0</v>
      </c>
      <c r="W95" s="195">
        <v>0.0</v>
      </c>
      <c r="X95" s="195">
        <v>0.0</v>
      </c>
      <c r="Y95" s="195">
        <v>0.0</v>
      </c>
      <c r="Z95" s="195">
        <v>0.0</v>
      </c>
      <c r="AA95" s="195">
        <v>0.0</v>
      </c>
      <c r="AB95" s="195">
        <v>0.0</v>
      </c>
      <c r="AC95" s="220"/>
      <c r="AD95" s="220"/>
      <c r="AE95" s="220"/>
      <c r="AF95" s="220"/>
      <c r="AG95" s="220"/>
      <c r="AH95" s="220"/>
      <c r="AI95" s="220"/>
      <c r="AJ95" s="220"/>
      <c r="AK95" s="220"/>
      <c r="AL95" s="220"/>
      <c r="AM95" s="220"/>
      <c r="AN95" s="220"/>
      <c r="AO95" s="220"/>
      <c r="AP95" s="220"/>
      <c r="AQ95" s="220"/>
      <c r="AR95" s="220"/>
      <c r="AS95" s="220"/>
      <c r="AT95" s="220"/>
      <c r="AU95" s="220"/>
    </row>
    <row r="96" ht="15.75" customHeight="1">
      <c r="A96" s="195">
        <v>3.0</v>
      </c>
      <c r="B96" s="195">
        <v>840.0</v>
      </c>
      <c r="C96" s="220"/>
      <c r="D96" s="220"/>
      <c r="E96" s="220"/>
      <c r="F96" s="220"/>
      <c r="G96" s="220"/>
      <c r="H96" s="229">
        <v>0.0</v>
      </c>
      <c r="I96" s="195">
        <v>0.0</v>
      </c>
      <c r="J96" s="195">
        <v>0.0</v>
      </c>
      <c r="K96" s="195">
        <v>0.0</v>
      </c>
      <c r="L96" s="195">
        <v>0.0</v>
      </c>
      <c r="M96" s="195">
        <v>0.0</v>
      </c>
      <c r="N96" s="195">
        <v>0.0</v>
      </c>
      <c r="O96" s="195">
        <v>0.0</v>
      </c>
      <c r="P96" s="195">
        <v>0.0</v>
      </c>
      <c r="Q96" s="195">
        <v>15.0</v>
      </c>
      <c r="R96" s="195">
        <v>0.0</v>
      </c>
      <c r="S96" s="195">
        <v>0.0</v>
      </c>
      <c r="T96" s="195">
        <v>0.0</v>
      </c>
      <c r="U96" s="195">
        <v>0.0</v>
      </c>
      <c r="V96" s="195">
        <v>0.0</v>
      </c>
      <c r="W96" s="195">
        <v>0.0</v>
      </c>
      <c r="X96" s="195">
        <v>0.0</v>
      </c>
      <c r="Y96" s="195">
        <v>0.0</v>
      </c>
      <c r="Z96" s="195">
        <v>0.0</v>
      </c>
      <c r="AA96" s="195">
        <v>0.0</v>
      </c>
      <c r="AB96" s="195">
        <v>0.0</v>
      </c>
      <c r="AC96" s="220"/>
      <c r="AD96" s="220"/>
      <c r="AE96" s="220"/>
      <c r="AF96" s="220"/>
      <c r="AG96" s="220"/>
      <c r="AH96" s="220"/>
      <c r="AI96" s="220"/>
      <c r="AJ96" s="220"/>
      <c r="AK96" s="220"/>
      <c r="AL96" s="220"/>
      <c r="AM96" s="220"/>
      <c r="AN96" s="220"/>
      <c r="AO96" s="220"/>
      <c r="AP96" s="220"/>
      <c r="AQ96" s="220"/>
      <c r="AR96" s="220"/>
      <c r="AS96" s="220"/>
      <c r="AT96" s="220"/>
      <c r="AU96" s="220"/>
    </row>
    <row r="97" ht="15.75" customHeight="1">
      <c r="A97" s="195">
        <v>4.0</v>
      </c>
      <c r="B97" s="195">
        <v>940.0</v>
      </c>
      <c r="C97" s="230"/>
      <c r="D97" s="230"/>
      <c r="E97" s="230"/>
      <c r="F97" s="230"/>
      <c r="G97" s="230"/>
      <c r="H97" s="229">
        <v>0.0</v>
      </c>
      <c r="I97" s="195">
        <v>0.0</v>
      </c>
      <c r="J97" s="195">
        <v>0.0</v>
      </c>
      <c r="K97" s="195">
        <v>0.0</v>
      </c>
      <c r="L97" s="195">
        <v>0.0</v>
      </c>
      <c r="M97" s="195">
        <v>0.0</v>
      </c>
      <c r="N97" s="195">
        <v>0.0</v>
      </c>
      <c r="O97" s="195">
        <v>0.0</v>
      </c>
      <c r="P97" s="195">
        <v>0.0</v>
      </c>
      <c r="Q97" s="195">
        <v>0.0</v>
      </c>
      <c r="R97" s="195">
        <v>10.0</v>
      </c>
      <c r="S97" s="195">
        <v>0.0</v>
      </c>
      <c r="T97" s="195">
        <v>0.0</v>
      </c>
      <c r="U97" s="195">
        <v>0.0</v>
      </c>
      <c r="V97" s="195">
        <v>0.0</v>
      </c>
      <c r="W97" s="195">
        <v>0.0</v>
      </c>
      <c r="X97" s="195">
        <v>0.0</v>
      </c>
      <c r="Y97" s="195">
        <v>0.0</v>
      </c>
      <c r="Z97" s="195">
        <v>0.0</v>
      </c>
      <c r="AA97" s="195">
        <v>0.0</v>
      </c>
      <c r="AB97" s="195">
        <v>0.0</v>
      </c>
      <c r="AC97" s="220"/>
      <c r="AD97" s="220"/>
      <c r="AE97" s="220"/>
      <c r="AF97" s="220"/>
      <c r="AG97" s="220"/>
      <c r="AH97" s="220"/>
      <c r="AI97" s="220"/>
      <c r="AJ97" s="220"/>
      <c r="AK97" s="220"/>
      <c r="AL97" s="220"/>
      <c r="AM97" s="220"/>
      <c r="AN97" s="220"/>
      <c r="AO97" s="220"/>
      <c r="AP97" s="220"/>
      <c r="AQ97" s="220"/>
      <c r="AR97" s="220"/>
      <c r="AS97" s="220"/>
      <c r="AT97" s="220"/>
      <c r="AU97" s="220"/>
    </row>
    <row r="98" ht="15.75" customHeight="1">
      <c r="A98" s="195">
        <v>5.0</v>
      </c>
      <c r="B98" s="195">
        <v>900.0</v>
      </c>
      <c r="C98" s="220"/>
      <c r="D98" s="220"/>
      <c r="E98" s="220"/>
      <c r="F98" s="220"/>
      <c r="G98" s="220"/>
      <c r="H98" s="229">
        <v>0.0</v>
      </c>
      <c r="I98" s="195">
        <v>0.0</v>
      </c>
      <c r="J98" s="195">
        <v>0.0</v>
      </c>
      <c r="K98" s="195">
        <v>0.0</v>
      </c>
      <c r="L98" s="195">
        <v>0.0</v>
      </c>
      <c r="M98" s="195">
        <v>0.0</v>
      </c>
      <c r="N98" s="195">
        <v>0.0</v>
      </c>
      <c r="O98" s="195">
        <v>0.0</v>
      </c>
      <c r="P98" s="195">
        <v>0.0</v>
      </c>
      <c r="Q98" s="195">
        <v>30.0</v>
      </c>
      <c r="R98" s="195">
        <v>0.0</v>
      </c>
      <c r="S98" s="195">
        <v>0.0</v>
      </c>
      <c r="T98" s="195">
        <v>0.0</v>
      </c>
      <c r="U98" s="195">
        <v>0.0</v>
      </c>
      <c r="V98" s="195">
        <v>0.0</v>
      </c>
      <c r="W98" s="195">
        <v>0.0</v>
      </c>
      <c r="X98" s="195">
        <v>0.0</v>
      </c>
      <c r="Y98" s="195">
        <v>0.0</v>
      </c>
      <c r="Z98" s="195">
        <v>0.0</v>
      </c>
      <c r="AA98" s="195">
        <v>0.0</v>
      </c>
      <c r="AB98" s="195">
        <v>0.0</v>
      </c>
      <c r="AC98" s="220"/>
      <c r="AD98" s="220"/>
      <c r="AE98" s="220"/>
      <c r="AF98" s="220"/>
      <c r="AG98" s="220"/>
      <c r="AH98" s="220"/>
      <c r="AI98" s="220"/>
      <c r="AJ98" s="220"/>
      <c r="AK98" s="220"/>
      <c r="AL98" s="220"/>
      <c r="AM98" s="220"/>
      <c r="AN98" s="220"/>
      <c r="AO98" s="220"/>
      <c r="AP98" s="220"/>
      <c r="AQ98" s="220"/>
      <c r="AR98" s="220"/>
      <c r="AS98" s="220"/>
      <c r="AT98" s="220"/>
      <c r="AU98" s="220"/>
    </row>
    <row r="99" ht="15.75" customHeight="1">
      <c r="A99" s="195">
        <v>6.0</v>
      </c>
      <c r="B99" s="195">
        <v>810.0</v>
      </c>
      <c r="C99" s="230"/>
      <c r="D99" s="230"/>
      <c r="E99" s="230"/>
      <c r="F99" s="230"/>
      <c r="G99" s="230"/>
      <c r="H99" s="229">
        <v>30.0</v>
      </c>
      <c r="I99" s="195">
        <v>0.0</v>
      </c>
      <c r="J99" s="195">
        <v>0.0</v>
      </c>
      <c r="K99" s="195">
        <v>0.0</v>
      </c>
      <c r="L99" s="195">
        <v>0.0</v>
      </c>
      <c r="M99" s="195">
        <v>0.0</v>
      </c>
      <c r="N99" s="195">
        <v>0.0</v>
      </c>
      <c r="O99" s="195">
        <v>0.0</v>
      </c>
      <c r="P99" s="195">
        <v>0.0</v>
      </c>
      <c r="Q99" s="195">
        <v>0.0</v>
      </c>
      <c r="R99" s="195">
        <v>0.0</v>
      </c>
      <c r="S99" s="195">
        <v>0.0</v>
      </c>
      <c r="T99" s="195">
        <v>0.0</v>
      </c>
      <c r="U99" s="195">
        <v>0.0</v>
      </c>
      <c r="V99" s="195">
        <v>0.0</v>
      </c>
      <c r="W99" s="195">
        <v>0.0</v>
      </c>
      <c r="X99" s="195">
        <v>0.0</v>
      </c>
      <c r="Y99" s="195">
        <v>0.0</v>
      </c>
      <c r="Z99" s="195">
        <v>0.0</v>
      </c>
      <c r="AA99" s="195">
        <v>0.0</v>
      </c>
      <c r="AB99" s="195">
        <v>0.0</v>
      </c>
      <c r="AC99" s="220"/>
      <c r="AD99" s="220"/>
      <c r="AE99" s="220"/>
      <c r="AF99" s="220"/>
      <c r="AG99" s="220"/>
      <c r="AH99" s="220"/>
      <c r="AI99" s="220"/>
      <c r="AJ99" s="220"/>
      <c r="AK99" s="220"/>
      <c r="AL99" s="220"/>
      <c r="AM99" s="220"/>
      <c r="AN99" s="220"/>
      <c r="AO99" s="220"/>
      <c r="AP99" s="220"/>
      <c r="AQ99" s="220"/>
      <c r="AR99" s="220"/>
      <c r="AS99" s="220"/>
      <c r="AT99" s="220"/>
      <c r="AU99" s="220"/>
    </row>
    <row r="100" ht="15.75" customHeight="1">
      <c r="A100" s="195">
        <v>7.0</v>
      </c>
      <c r="B100" s="195">
        <v>990.0</v>
      </c>
      <c r="C100" s="220"/>
      <c r="D100" s="220"/>
      <c r="E100" s="220"/>
      <c r="F100" s="220"/>
      <c r="G100" s="220"/>
      <c r="H100" s="229">
        <v>0.0</v>
      </c>
      <c r="I100" s="195">
        <v>0.0</v>
      </c>
      <c r="J100" s="195">
        <v>0.0</v>
      </c>
      <c r="K100" s="195">
        <v>0.0</v>
      </c>
      <c r="L100" s="195">
        <v>0.0</v>
      </c>
      <c r="M100" s="195">
        <v>0.0</v>
      </c>
      <c r="N100" s="195">
        <v>0.0</v>
      </c>
      <c r="O100" s="195">
        <v>0.0</v>
      </c>
      <c r="P100" s="195">
        <v>0.0</v>
      </c>
      <c r="Q100" s="195">
        <v>0.0</v>
      </c>
      <c r="R100" s="195">
        <v>0.0</v>
      </c>
      <c r="S100" s="195">
        <v>15.0</v>
      </c>
      <c r="T100" s="195">
        <v>0.0</v>
      </c>
      <c r="U100" s="195">
        <v>0.0</v>
      </c>
      <c r="V100" s="195">
        <v>0.0</v>
      </c>
      <c r="W100" s="195">
        <v>0.0</v>
      </c>
      <c r="X100" s="195">
        <v>0.0</v>
      </c>
      <c r="Y100" s="195">
        <v>0.0</v>
      </c>
      <c r="Z100" s="195">
        <v>0.0</v>
      </c>
      <c r="AA100" s="195">
        <v>0.0</v>
      </c>
      <c r="AB100" s="195">
        <v>0.0</v>
      </c>
      <c r="AC100" s="220"/>
      <c r="AD100" s="220"/>
      <c r="AE100" s="220"/>
      <c r="AF100" s="220"/>
      <c r="AG100" s="220"/>
      <c r="AH100" s="220"/>
      <c r="AI100" s="220"/>
      <c r="AJ100" s="220"/>
      <c r="AK100" s="220"/>
      <c r="AL100" s="220"/>
      <c r="AM100" s="220"/>
      <c r="AN100" s="220"/>
      <c r="AO100" s="220"/>
      <c r="AP100" s="220"/>
      <c r="AQ100" s="220"/>
      <c r="AR100" s="220"/>
      <c r="AS100" s="220"/>
      <c r="AT100" s="220"/>
      <c r="AU100" s="220"/>
    </row>
    <row r="101" ht="15.75" customHeight="1">
      <c r="A101" s="195">
        <v>8.0</v>
      </c>
      <c r="B101" s="195">
        <v>980.0</v>
      </c>
      <c r="C101" s="230"/>
      <c r="D101" s="230"/>
      <c r="E101" s="230"/>
      <c r="F101" s="230"/>
      <c r="G101" s="230"/>
      <c r="H101" s="229">
        <v>0.0</v>
      </c>
      <c r="I101" s="195">
        <v>0.0</v>
      </c>
      <c r="J101" s="195">
        <v>0.0</v>
      </c>
      <c r="K101" s="195">
        <v>0.0</v>
      </c>
      <c r="L101" s="195">
        <v>0.0</v>
      </c>
      <c r="M101" s="195">
        <v>0.0</v>
      </c>
      <c r="N101" s="195">
        <v>0.0</v>
      </c>
      <c r="O101" s="195">
        <v>0.0</v>
      </c>
      <c r="P101" s="195">
        <v>0.0</v>
      </c>
      <c r="Q101" s="195">
        <v>0.0</v>
      </c>
      <c r="R101" s="195">
        <v>15.0</v>
      </c>
      <c r="S101" s="195">
        <v>0.0</v>
      </c>
      <c r="T101" s="195">
        <v>0.0</v>
      </c>
      <c r="U101" s="195">
        <v>0.0</v>
      </c>
      <c r="V101" s="195">
        <v>0.0</v>
      </c>
      <c r="W101" s="195">
        <v>0.0</v>
      </c>
      <c r="X101" s="195">
        <v>0.0</v>
      </c>
      <c r="Y101" s="195">
        <v>0.0</v>
      </c>
      <c r="Z101" s="195">
        <v>0.0</v>
      </c>
      <c r="AA101" s="195">
        <v>0.0</v>
      </c>
      <c r="AB101" s="195">
        <v>0.0</v>
      </c>
      <c r="AC101" s="220"/>
      <c r="AD101" s="220"/>
      <c r="AE101" s="220"/>
      <c r="AF101" s="220"/>
      <c r="AG101" s="220"/>
      <c r="AH101" s="220"/>
      <c r="AI101" s="220"/>
      <c r="AJ101" s="220"/>
      <c r="AK101" s="220"/>
      <c r="AL101" s="220"/>
      <c r="AM101" s="220"/>
      <c r="AN101" s="220"/>
      <c r="AO101" s="220"/>
      <c r="AP101" s="220"/>
      <c r="AQ101" s="220"/>
      <c r="AR101" s="220"/>
      <c r="AS101" s="220"/>
      <c r="AT101" s="220"/>
      <c r="AU101" s="220"/>
    </row>
    <row r="102" ht="15.75" customHeight="1">
      <c r="A102" s="195">
        <v>9.0</v>
      </c>
      <c r="B102" s="195">
        <v>900.0</v>
      </c>
      <c r="C102" s="220"/>
      <c r="D102" s="220"/>
      <c r="E102" s="220"/>
      <c r="F102" s="220"/>
      <c r="G102" s="220"/>
      <c r="H102" s="229">
        <v>0.0</v>
      </c>
      <c r="I102" s="195">
        <v>0.0</v>
      </c>
      <c r="J102" s="195">
        <v>0.0</v>
      </c>
      <c r="K102" s="195">
        <v>0.0</v>
      </c>
      <c r="L102" s="195">
        <v>0.0</v>
      </c>
      <c r="M102" s="195">
        <v>0.0</v>
      </c>
      <c r="N102" s="195">
        <v>0.0</v>
      </c>
      <c r="O102" s="195">
        <v>0.0</v>
      </c>
      <c r="P102" s="195">
        <v>0.0</v>
      </c>
      <c r="Q102" s="195">
        <v>30.0</v>
      </c>
      <c r="R102" s="195">
        <v>0.0</v>
      </c>
      <c r="S102" s="195">
        <v>0.0</v>
      </c>
      <c r="T102" s="195">
        <v>0.0</v>
      </c>
      <c r="U102" s="195">
        <v>0.0</v>
      </c>
      <c r="V102" s="195">
        <v>0.0</v>
      </c>
      <c r="W102" s="195">
        <v>0.0</v>
      </c>
      <c r="X102" s="195">
        <v>0.0</v>
      </c>
      <c r="Y102" s="195">
        <v>0.0</v>
      </c>
      <c r="Z102" s="195">
        <v>0.0</v>
      </c>
      <c r="AA102" s="195">
        <v>0.0</v>
      </c>
      <c r="AB102" s="195">
        <v>0.0</v>
      </c>
      <c r="AC102" s="220"/>
      <c r="AD102" s="220"/>
      <c r="AE102" s="220"/>
      <c r="AF102" s="220"/>
      <c r="AG102" s="220"/>
      <c r="AH102" s="220"/>
      <c r="AI102" s="220"/>
      <c r="AJ102" s="220"/>
      <c r="AK102" s="220"/>
      <c r="AL102" s="220"/>
      <c r="AM102" s="220"/>
      <c r="AN102" s="220"/>
      <c r="AO102" s="220"/>
      <c r="AP102" s="220"/>
      <c r="AQ102" s="220"/>
      <c r="AR102" s="220"/>
      <c r="AS102" s="220"/>
      <c r="AT102" s="220"/>
      <c r="AU102" s="220"/>
    </row>
    <row r="103" ht="15.75" customHeight="1">
      <c r="A103" s="195">
        <v>10.0</v>
      </c>
      <c r="B103" s="195">
        <v>950.0</v>
      </c>
      <c r="C103" s="230"/>
      <c r="D103" s="230"/>
      <c r="E103" s="230"/>
      <c r="F103" s="230"/>
      <c r="G103" s="230"/>
      <c r="H103" s="229">
        <v>0.0</v>
      </c>
      <c r="I103" s="195">
        <v>0.0</v>
      </c>
      <c r="J103" s="195">
        <v>0.0</v>
      </c>
      <c r="K103" s="195">
        <v>0.0</v>
      </c>
      <c r="L103" s="195">
        <v>0.0</v>
      </c>
      <c r="M103" s="195">
        <v>0.0</v>
      </c>
      <c r="N103" s="195">
        <v>0.0</v>
      </c>
      <c r="O103" s="195">
        <v>0.0</v>
      </c>
      <c r="P103" s="195">
        <v>0.0</v>
      </c>
      <c r="Q103" s="195">
        <v>0.0</v>
      </c>
      <c r="R103" s="195">
        <v>0.0</v>
      </c>
      <c r="S103" s="195">
        <v>0.0</v>
      </c>
      <c r="T103" s="195">
        <v>10.0</v>
      </c>
      <c r="U103" s="195">
        <v>0.0</v>
      </c>
      <c r="V103" s="195">
        <v>0.0</v>
      </c>
      <c r="W103" s="195">
        <v>0.0</v>
      </c>
      <c r="X103" s="195">
        <v>0.0</v>
      </c>
      <c r="Y103" s="195">
        <v>0.0</v>
      </c>
      <c r="Z103" s="195">
        <v>0.0</v>
      </c>
      <c r="AA103" s="195">
        <v>0.0</v>
      </c>
      <c r="AB103" s="195">
        <v>0.0</v>
      </c>
      <c r="AC103" s="220"/>
      <c r="AD103" s="220"/>
      <c r="AE103" s="220"/>
      <c r="AF103" s="220"/>
      <c r="AG103" s="220"/>
      <c r="AH103" s="220"/>
      <c r="AI103" s="220"/>
      <c r="AJ103" s="220"/>
      <c r="AK103" s="220"/>
      <c r="AL103" s="220"/>
      <c r="AM103" s="220"/>
      <c r="AN103" s="220"/>
      <c r="AO103" s="220"/>
      <c r="AP103" s="220"/>
      <c r="AQ103" s="220"/>
      <c r="AR103" s="220"/>
      <c r="AS103" s="220"/>
      <c r="AT103" s="220"/>
      <c r="AU103" s="220"/>
    </row>
    <row r="104" ht="15.75" customHeight="1">
      <c r="A104" s="195">
        <v>11.0</v>
      </c>
      <c r="B104" s="195">
        <v>990.0</v>
      </c>
      <c r="C104" s="220"/>
      <c r="D104" s="220"/>
      <c r="E104" s="220"/>
      <c r="F104" s="220"/>
      <c r="G104" s="220"/>
      <c r="H104" s="229">
        <v>0.0</v>
      </c>
      <c r="I104" s="195">
        <v>0.0</v>
      </c>
      <c r="J104" s="195">
        <v>0.0</v>
      </c>
      <c r="K104" s="195">
        <v>0.0</v>
      </c>
      <c r="L104" s="195">
        <v>0.0</v>
      </c>
      <c r="M104" s="195">
        <v>0.0</v>
      </c>
      <c r="N104" s="195">
        <v>0.0</v>
      </c>
      <c r="O104" s="195">
        <v>0.0</v>
      </c>
      <c r="P104" s="195">
        <v>0.0</v>
      </c>
      <c r="Q104" s="195">
        <v>0.0</v>
      </c>
      <c r="R104" s="195">
        <v>0.0</v>
      </c>
      <c r="S104" s="195">
        <v>15.0</v>
      </c>
      <c r="T104" s="195">
        <v>0.0</v>
      </c>
      <c r="U104" s="195">
        <v>0.0</v>
      </c>
      <c r="V104" s="195">
        <v>0.0</v>
      </c>
      <c r="W104" s="195">
        <v>0.0</v>
      </c>
      <c r="X104" s="195">
        <v>0.0</v>
      </c>
      <c r="Y104" s="195">
        <v>0.0</v>
      </c>
      <c r="Z104" s="195">
        <v>0.0</v>
      </c>
      <c r="AA104" s="195">
        <v>0.0</v>
      </c>
      <c r="AB104" s="195">
        <v>0.0</v>
      </c>
      <c r="AC104" s="220"/>
      <c r="AD104" s="220"/>
      <c r="AE104" s="220"/>
      <c r="AF104" s="220"/>
      <c r="AG104" s="220"/>
      <c r="AH104" s="220"/>
      <c r="AI104" s="220"/>
      <c r="AJ104" s="220"/>
      <c r="AK104" s="220"/>
      <c r="AL104" s="220"/>
      <c r="AM104" s="220"/>
      <c r="AN104" s="220"/>
      <c r="AO104" s="220"/>
      <c r="AP104" s="220"/>
      <c r="AQ104" s="220"/>
      <c r="AR104" s="220"/>
      <c r="AS104" s="220"/>
      <c r="AT104" s="220"/>
      <c r="AU104" s="220"/>
    </row>
    <row r="105" ht="15.75" customHeight="1">
      <c r="A105" s="195">
        <v>12.0</v>
      </c>
      <c r="B105" s="195">
        <v>830.0</v>
      </c>
      <c r="C105" s="230"/>
      <c r="D105" s="230"/>
      <c r="E105" s="230"/>
      <c r="F105" s="230"/>
      <c r="G105" s="230"/>
      <c r="H105" s="229">
        <v>50.0</v>
      </c>
      <c r="I105" s="195">
        <v>0.0</v>
      </c>
      <c r="J105" s="195">
        <v>0.0</v>
      </c>
      <c r="K105" s="195">
        <v>0.0</v>
      </c>
      <c r="L105" s="195">
        <v>0.0</v>
      </c>
      <c r="M105" s="195">
        <v>0.0</v>
      </c>
      <c r="N105" s="195">
        <v>0.0</v>
      </c>
      <c r="O105" s="195">
        <v>0.0</v>
      </c>
      <c r="P105" s="195">
        <v>0.0</v>
      </c>
      <c r="Q105" s="195">
        <v>0.0</v>
      </c>
      <c r="R105" s="195">
        <v>0.0</v>
      </c>
      <c r="S105" s="195">
        <v>0.0</v>
      </c>
      <c r="T105" s="195">
        <v>0.0</v>
      </c>
      <c r="U105" s="195">
        <v>0.0</v>
      </c>
      <c r="V105" s="195">
        <v>0.0</v>
      </c>
      <c r="W105" s="195">
        <v>0.0</v>
      </c>
      <c r="X105" s="195">
        <v>0.0</v>
      </c>
      <c r="Y105" s="195">
        <v>0.0</v>
      </c>
      <c r="Z105" s="195">
        <v>0.0</v>
      </c>
      <c r="AA105" s="195">
        <v>0.0</v>
      </c>
      <c r="AB105" s="195">
        <v>0.0</v>
      </c>
      <c r="AC105" s="220"/>
      <c r="AD105" s="220"/>
      <c r="AE105" s="220"/>
      <c r="AF105" s="220"/>
      <c r="AG105" s="220"/>
      <c r="AH105" s="220"/>
      <c r="AI105" s="220"/>
      <c r="AJ105" s="220"/>
      <c r="AK105" s="220"/>
      <c r="AL105" s="220"/>
      <c r="AM105" s="220"/>
      <c r="AN105" s="220"/>
      <c r="AO105" s="220"/>
      <c r="AP105" s="220"/>
      <c r="AQ105" s="220"/>
      <c r="AR105" s="220"/>
      <c r="AS105" s="220"/>
      <c r="AT105" s="220"/>
      <c r="AU105" s="220"/>
    </row>
    <row r="106" ht="15.75" customHeight="1">
      <c r="A106" s="195">
        <v>13.0</v>
      </c>
      <c r="B106" s="195">
        <v>940.0</v>
      </c>
      <c r="C106" s="220"/>
      <c r="D106" s="220"/>
      <c r="E106" s="220"/>
      <c r="F106" s="220"/>
      <c r="G106" s="220"/>
      <c r="H106" s="229">
        <v>0.0</v>
      </c>
      <c r="I106" s="195">
        <v>0.0</v>
      </c>
      <c r="J106" s="195">
        <v>0.0</v>
      </c>
      <c r="K106" s="195">
        <v>0.0</v>
      </c>
      <c r="L106" s="195">
        <v>0.0</v>
      </c>
      <c r="M106" s="195">
        <v>0.0</v>
      </c>
      <c r="N106" s="195">
        <v>0.0</v>
      </c>
      <c r="O106" s="195">
        <v>0.0</v>
      </c>
      <c r="P106" s="195">
        <v>0.0</v>
      </c>
      <c r="Q106" s="195">
        <v>0.0</v>
      </c>
      <c r="R106" s="195">
        <v>10.0</v>
      </c>
      <c r="S106" s="195">
        <v>0.0</v>
      </c>
      <c r="T106" s="195">
        <v>0.0</v>
      </c>
      <c r="U106" s="195">
        <v>0.0</v>
      </c>
      <c r="V106" s="195">
        <v>0.0</v>
      </c>
      <c r="W106" s="195">
        <v>0.0</v>
      </c>
      <c r="X106" s="195">
        <v>0.0</v>
      </c>
      <c r="Y106" s="195">
        <v>0.0</v>
      </c>
      <c r="Z106" s="195">
        <v>0.0</v>
      </c>
      <c r="AA106" s="195">
        <v>0.0</v>
      </c>
      <c r="AB106" s="195">
        <v>0.0</v>
      </c>
      <c r="AC106" s="220"/>
      <c r="AD106" s="220"/>
      <c r="AE106" s="220"/>
      <c r="AF106" s="220"/>
      <c r="AG106" s="220"/>
      <c r="AH106" s="220"/>
      <c r="AI106" s="220"/>
      <c r="AJ106" s="220"/>
      <c r="AK106" s="220"/>
      <c r="AL106" s="220"/>
      <c r="AM106" s="220"/>
      <c r="AN106" s="220"/>
      <c r="AO106" s="220"/>
      <c r="AP106" s="220"/>
      <c r="AQ106" s="220"/>
      <c r="AR106" s="220"/>
      <c r="AS106" s="220"/>
      <c r="AT106" s="220"/>
      <c r="AU106" s="220"/>
    </row>
    <row r="107" ht="15.75" customHeight="1">
      <c r="A107" s="195">
        <v>14.0</v>
      </c>
      <c r="B107" s="195">
        <v>1040.0</v>
      </c>
      <c r="C107" s="230"/>
      <c r="D107" s="230"/>
      <c r="E107" s="230"/>
      <c r="F107" s="230"/>
      <c r="G107" s="230"/>
      <c r="H107" s="229">
        <v>0.0</v>
      </c>
      <c r="I107" s="195">
        <v>0.0</v>
      </c>
      <c r="J107" s="195">
        <v>0.0</v>
      </c>
      <c r="K107" s="195">
        <v>0.0</v>
      </c>
      <c r="L107" s="195">
        <v>0.0</v>
      </c>
      <c r="M107" s="195">
        <v>0.0</v>
      </c>
      <c r="N107" s="195">
        <v>0.0</v>
      </c>
      <c r="O107" s="195">
        <v>0.0</v>
      </c>
      <c r="P107" s="195">
        <v>0.0</v>
      </c>
      <c r="Q107" s="195">
        <v>0.0</v>
      </c>
      <c r="R107" s="195">
        <v>0.0</v>
      </c>
      <c r="S107" s="195">
        <v>0.0</v>
      </c>
      <c r="T107" s="195">
        <v>15.0</v>
      </c>
      <c r="U107" s="195">
        <v>0.0</v>
      </c>
      <c r="V107" s="195">
        <v>0.0</v>
      </c>
      <c r="W107" s="195">
        <v>0.0</v>
      </c>
      <c r="X107" s="195">
        <v>0.0</v>
      </c>
      <c r="Y107" s="195">
        <v>0.0</v>
      </c>
      <c r="Z107" s="195">
        <v>0.0</v>
      </c>
      <c r="AA107" s="195">
        <v>0.0</v>
      </c>
      <c r="AB107" s="195">
        <v>0.0</v>
      </c>
      <c r="AC107" s="220"/>
      <c r="AD107" s="220"/>
      <c r="AE107" s="220"/>
      <c r="AF107" s="220"/>
      <c r="AG107" s="220"/>
      <c r="AH107" s="220"/>
      <c r="AI107" s="220"/>
      <c r="AJ107" s="220"/>
      <c r="AK107" s="220"/>
      <c r="AL107" s="220"/>
      <c r="AM107" s="220"/>
      <c r="AN107" s="220"/>
      <c r="AO107" s="220"/>
      <c r="AP107" s="220"/>
      <c r="AQ107" s="220"/>
      <c r="AR107" s="220"/>
      <c r="AS107" s="220"/>
      <c r="AT107" s="220"/>
      <c r="AU107" s="220"/>
    </row>
    <row r="108" ht="15.75" customHeight="1">
      <c r="A108" s="195">
        <v>15.0</v>
      </c>
      <c r="B108" s="195">
        <v>1030.0</v>
      </c>
      <c r="C108" s="220"/>
      <c r="D108" s="220"/>
      <c r="E108" s="220"/>
      <c r="F108" s="220"/>
      <c r="G108" s="220"/>
      <c r="H108" s="229">
        <v>0.0</v>
      </c>
      <c r="I108" s="195">
        <v>0.0</v>
      </c>
      <c r="J108" s="195">
        <v>0.0</v>
      </c>
      <c r="K108" s="195">
        <v>0.0</v>
      </c>
      <c r="L108" s="195">
        <v>0.0</v>
      </c>
      <c r="M108" s="195">
        <v>0.0</v>
      </c>
      <c r="N108" s="195">
        <v>0.0</v>
      </c>
      <c r="O108" s="195">
        <v>0.0</v>
      </c>
      <c r="P108" s="195">
        <v>0.0</v>
      </c>
      <c r="Q108" s="195">
        <v>60.0</v>
      </c>
      <c r="R108" s="195">
        <v>0.0</v>
      </c>
      <c r="S108" s="195">
        <v>0.0</v>
      </c>
      <c r="T108" s="195">
        <v>0.0</v>
      </c>
      <c r="U108" s="195">
        <v>0.0</v>
      </c>
      <c r="V108" s="195">
        <v>0.0</v>
      </c>
      <c r="W108" s="195">
        <v>0.0</v>
      </c>
      <c r="X108" s="195">
        <v>0.0</v>
      </c>
      <c r="Y108" s="195">
        <v>0.0</v>
      </c>
      <c r="Z108" s="195">
        <v>0.0</v>
      </c>
      <c r="AA108" s="195">
        <v>0.0</v>
      </c>
      <c r="AB108" s="195">
        <v>0.0</v>
      </c>
      <c r="AC108" s="220"/>
      <c r="AD108" s="220"/>
      <c r="AE108" s="220"/>
      <c r="AF108" s="220"/>
      <c r="AG108" s="220"/>
      <c r="AH108" s="220"/>
      <c r="AI108" s="220"/>
      <c r="AJ108" s="220"/>
      <c r="AK108" s="220"/>
      <c r="AL108" s="220"/>
      <c r="AM108" s="220"/>
      <c r="AN108" s="220"/>
      <c r="AO108" s="220"/>
      <c r="AP108" s="220"/>
      <c r="AQ108" s="220"/>
      <c r="AR108" s="220"/>
      <c r="AS108" s="220"/>
      <c r="AT108" s="220"/>
      <c r="AU108" s="220"/>
    </row>
    <row r="109" ht="15.75" customHeight="1">
      <c r="A109" s="220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0"/>
      <c r="AA109" s="220"/>
      <c r="AB109" s="220"/>
      <c r="AC109" s="220"/>
      <c r="AD109" s="220"/>
      <c r="AE109" s="220"/>
      <c r="AF109" s="220"/>
      <c r="AG109" s="220"/>
      <c r="AH109" s="220"/>
      <c r="AI109" s="220"/>
      <c r="AJ109" s="220"/>
      <c r="AK109" s="220"/>
      <c r="AL109" s="220"/>
      <c r="AM109" s="220"/>
      <c r="AN109" s="220"/>
      <c r="AO109" s="220"/>
      <c r="AP109" s="220"/>
      <c r="AQ109" s="220"/>
      <c r="AR109" s="220"/>
      <c r="AS109" s="220"/>
      <c r="AT109" s="220"/>
      <c r="AU109" s="220"/>
    </row>
    <row r="110" ht="15.75" customHeight="1">
      <c r="A110" s="220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0"/>
      <c r="AA110" s="220"/>
      <c r="AB110" s="220"/>
      <c r="AC110" s="220"/>
      <c r="AD110" s="220"/>
      <c r="AE110" s="220"/>
      <c r="AF110" s="220"/>
      <c r="AG110" s="220"/>
      <c r="AH110" s="220"/>
      <c r="AI110" s="220"/>
      <c r="AJ110" s="220"/>
      <c r="AK110" s="220"/>
      <c r="AL110" s="220"/>
      <c r="AM110" s="220"/>
      <c r="AN110" s="220"/>
      <c r="AO110" s="220"/>
      <c r="AP110" s="220"/>
      <c r="AQ110" s="220"/>
      <c r="AR110" s="220"/>
      <c r="AS110" s="220"/>
      <c r="AT110" s="220"/>
      <c r="AU110" s="220"/>
    </row>
    <row r="111" ht="15.75" customHeight="1">
      <c r="A111" s="22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0"/>
      <c r="AA111" s="220"/>
      <c r="AB111" s="220"/>
      <c r="AC111" s="220"/>
      <c r="AD111" s="220"/>
      <c r="AE111" s="220"/>
      <c r="AF111" s="220"/>
      <c r="AG111" s="220"/>
      <c r="AH111" s="220"/>
      <c r="AI111" s="220"/>
      <c r="AJ111" s="220"/>
      <c r="AK111" s="220"/>
      <c r="AL111" s="220"/>
      <c r="AM111" s="220"/>
      <c r="AN111" s="220"/>
      <c r="AO111" s="220"/>
      <c r="AP111" s="220"/>
      <c r="AQ111" s="220"/>
      <c r="AR111" s="220"/>
      <c r="AS111" s="220"/>
      <c r="AT111" s="220"/>
      <c r="AU111" s="220"/>
    </row>
    <row r="112" ht="15.75" customHeight="1">
      <c r="A112" s="220"/>
      <c r="B112" s="220"/>
      <c r="C112" s="220"/>
      <c r="D112" s="220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0"/>
      <c r="AA112" s="220"/>
      <c r="AB112" s="220"/>
      <c r="AC112" s="220"/>
      <c r="AD112" s="220"/>
      <c r="AE112" s="220"/>
      <c r="AF112" s="220"/>
      <c r="AG112" s="220"/>
      <c r="AH112" s="220"/>
      <c r="AI112" s="220"/>
      <c r="AJ112" s="220"/>
      <c r="AK112" s="220"/>
      <c r="AL112" s="220"/>
      <c r="AM112" s="220"/>
      <c r="AN112" s="220"/>
      <c r="AO112" s="220"/>
      <c r="AP112" s="220"/>
      <c r="AQ112" s="220"/>
      <c r="AR112" s="220"/>
      <c r="AS112" s="220"/>
      <c r="AT112" s="220"/>
      <c r="AU112" s="220"/>
    </row>
    <row r="113" ht="15.75" customHeight="1">
      <c r="A113" s="220"/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0"/>
      <c r="AA113" s="220"/>
      <c r="AB113" s="220"/>
      <c r="AC113" s="220"/>
      <c r="AD113" s="220"/>
      <c r="AE113" s="220"/>
      <c r="AF113" s="220"/>
      <c r="AG113" s="220"/>
      <c r="AH113" s="220"/>
      <c r="AI113" s="220"/>
      <c r="AJ113" s="220"/>
      <c r="AK113" s="220"/>
      <c r="AL113" s="220"/>
      <c r="AM113" s="220"/>
      <c r="AN113" s="220"/>
      <c r="AO113" s="220"/>
      <c r="AP113" s="220"/>
      <c r="AQ113" s="220"/>
      <c r="AR113" s="220"/>
      <c r="AS113" s="220"/>
      <c r="AT113" s="220"/>
      <c r="AU113" s="220"/>
    </row>
    <row r="114" ht="15.75" customHeight="1">
      <c r="A114" s="220"/>
      <c r="B114" s="220"/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0"/>
      <c r="AA114" s="220"/>
      <c r="AB114" s="220"/>
      <c r="AC114" s="220"/>
      <c r="AD114" s="220"/>
      <c r="AE114" s="220"/>
      <c r="AF114" s="220"/>
      <c r="AG114" s="220"/>
      <c r="AH114" s="220"/>
      <c r="AI114" s="220"/>
      <c r="AJ114" s="220"/>
      <c r="AK114" s="220"/>
      <c r="AL114" s="220"/>
      <c r="AM114" s="220"/>
      <c r="AN114" s="220"/>
      <c r="AO114" s="220"/>
      <c r="AP114" s="220"/>
      <c r="AQ114" s="220"/>
      <c r="AR114" s="220"/>
      <c r="AS114" s="220"/>
      <c r="AT114" s="220"/>
      <c r="AU114" s="220"/>
    </row>
    <row r="115" ht="15.75" customHeight="1">
      <c r="A115" s="22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0"/>
      <c r="AA115" s="220"/>
      <c r="AB115" s="220"/>
      <c r="AC115" s="220"/>
      <c r="AD115" s="220"/>
      <c r="AE115" s="220"/>
      <c r="AF115" s="220"/>
      <c r="AG115" s="220"/>
      <c r="AH115" s="220"/>
      <c r="AI115" s="220"/>
      <c r="AJ115" s="220"/>
      <c r="AK115" s="220"/>
      <c r="AL115" s="220"/>
      <c r="AM115" s="220"/>
      <c r="AN115" s="220"/>
      <c r="AO115" s="220"/>
      <c r="AP115" s="220"/>
      <c r="AQ115" s="220"/>
      <c r="AR115" s="220"/>
      <c r="AS115" s="220"/>
      <c r="AT115" s="220"/>
      <c r="AU115" s="220"/>
    </row>
    <row r="116" ht="15.75" customHeight="1">
      <c r="A116" s="220"/>
      <c r="B116" s="220"/>
      <c r="C116" s="220"/>
      <c r="D116" s="220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0"/>
      <c r="AA116" s="220"/>
      <c r="AB116" s="220"/>
      <c r="AC116" s="220"/>
      <c r="AD116" s="220"/>
      <c r="AE116" s="220"/>
      <c r="AF116" s="220"/>
      <c r="AG116" s="220"/>
      <c r="AH116" s="220"/>
      <c r="AI116" s="220"/>
      <c r="AJ116" s="220"/>
      <c r="AK116" s="220"/>
      <c r="AL116" s="220"/>
      <c r="AM116" s="220"/>
      <c r="AN116" s="220"/>
      <c r="AO116" s="220"/>
      <c r="AP116" s="220"/>
      <c r="AQ116" s="220"/>
      <c r="AR116" s="220"/>
      <c r="AS116" s="220"/>
      <c r="AT116" s="220"/>
      <c r="AU116" s="220"/>
    </row>
    <row r="117" ht="15.75" customHeight="1">
      <c r="A117" s="220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0"/>
      <c r="AA117" s="220"/>
      <c r="AB117" s="220"/>
      <c r="AC117" s="220"/>
      <c r="AD117" s="220"/>
      <c r="AE117" s="220"/>
      <c r="AF117" s="220"/>
      <c r="AG117" s="220"/>
      <c r="AH117" s="220"/>
      <c r="AI117" s="220"/>
      <c r="AJ117" s="220"/>
      <c r="AK117" s="220"/>
      <c r="AL117" s="220"/>
      <c r="AM117" s="220"/>
      <c r="AN117" s="220"/>
      <c r="AO117" s="220"/>
      <c r="AP117" s="220"/>
      <c r="AQ117" s="220"/>
      <c r="AR117" s="220"/>
      <c r="AS117" s="220"/>
      <c r="AT117" s="220"/>
      <c r="AU117" s="220"/>
    </row>
    <row r="118" ht="15.75" customHeight="1">
      <c r="A118" s="220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  <c r="AA118" s="220"/>
      <c r="AB118" s="220"/>
      <c r="AC118" s="220"/>
      <c r="AD118" s="220"/>
      <c r="AE118" s="220"/>
      <c r="AF118" s="220"/>
      <c r="AG118" s="220"/>
      <c r="AH118" s="220"/>
      <c r="AI118" s="220"/>
      <c r="AJ118" s="220"/>
      <c r="AK118" s="220"/>
      <c r="AL118" s="220"/>
      <c r="AM118" s="220"/>
      <c r="AN118" s="220"/>
      <c r="AO118" s="220"/>
      <c r="AP118" s="220"/>
      <c r="AQ118" s="220"/>
      <c r="AR118" s="220"/>
      <c r="AS118" s="220"/>
      <c r="AT118" s="220"/>
      <c r="AU118" s="220"/>
    </row>
    <row r="119" ht="15.75" customHeight="1">
      <c r="A119" s="22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0"/>
      <c r="AA119" s="220"/>
      <c r="AB119" s="220"/>
      <c r="AC119" s="220"/>
      <c r="AD119" s="220"/>
      <c r="AE119" s="220"/>
      <c r="AF119" s="220"/>
      <c r="AG119" s="220"/>
      <c r="AH119" s="220"/>
      <c r="AI119" s="220"/>
      <c r="AJ119" s="220"/>
      <c r="AK119" s="220"/>
      <c r="AL119" s="220"/>
      <c r="AM119" s="220"/>
      <c r="AN119" s="220"/>
      <c r="AO119" s="220"/>
      <c r="AP119" s="220"/>
      <c r="AQ119" s="220"/>
      <c r="AR119" s="220"/>
      <c r="AS119" s="220"/>
      <c r="AT119" s="220"/>
      <c r="AU119" s="220"/>
    </row>
    <row r="120" ht="15.75" customHeight="1">
      <c r="A120" s="220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0"/>
      <c r="AA120" s="220"/>
      <c r="AB120" s="220"/>
      <c r="AC120" s="220"/>
      <c r="AD120" s="220"/>
      <c r="AE120" s="220"/>
      <c r="AF120" s="220"/>
      <c r="AG120" s="220"/>
      <c r="AH120" s="220"/>
      <c r="AI120" s="220"/>
      <c r="AJ120" s="220"/>
      <c r="AK120" s="220"/>
      <c r="AL120" s="220"/>
      <c r="AM120" s="220"/>
      <c r="AN120" s="220"/>
      <c r="AO120" s="220"/>
      <c r="AP120" s="220"/>
      <c r="AQ120" s="220"/>
      <c r="AR120" s="220"/>
      <c r="AS120" s="220"/>
      <c r="AT120" s="220"/>
      <c r="AU120" s="220"/>
    </row>
    <row r="121" ht="15.75" customHeight="1">
      <c r="A121" s="220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  <c r="AA121" s="220"/>
      <c r="AB121" s="220"/>
      <c r="AC121" s="220"/>
      <c r="AD121" s="220"/>
      <c r="AE121" s="220"/>
      <c r="AF121" s="220"/>
      <c r="AG121" s="220"/>
      <c r="AH121" s="220"/>
      <c r="AI121" s="220"/>
      <c r="AJ121" s="220"/>
      <c r="AK121" s="220"/>
      <c r="AL121" s="220"/>
      <c r="AM121" s="220"/>
      <c r="AN121" s="220"/>
      <c r="AO121" s="220"/>
      <c r="AP121" s="220"/>
      <c r="AQ121" s="220"/>
      <c r="AR121" s="220"/>
      <c r="AS121" s="220"/>
      <c r="AT121" s="220"/>
      <c r="AU121" s="220"/>
    </row>
    <row r="122" ht="15.75" customHeight="1">
      <c r="A122" s="220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0"/>
      <c r="AA122" s="220"/>
      <c r="AB122" s="220"/>
      <c r="AC122" s="220"/>
      <c r="AD122" s="220"/>
      <c r="AE122" s="220"/>
      <c r="AF122" s="220"/>
      <c r="AG122" s="220"/>
      <c r="AH122" s="220"/>
      <c r="AI122" s="220"/>
      <c r="AJ122" s="220"/>
      <c r="AK122" s="220"/>
      <c r="AL122" s="220"/>
      <c r="AM122" s="220"/>
      <c r="AN122" s="220"/>
      <c r="AO122" s="220"/>
      <c r="AP122" s="220"/>
      <c r="AQ122" s="220"/>
      <c r="AR122" s="220"/>
      <c r="AS122" s="220"/>
      <c r="AT122" s="220"/>
      <c r="AU122" s="220"/>
    </row>
    <row r="123" ht="15.75" customHeight="1">
      <c r="A123" s="220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  <c r="AA123" s="220"/>
      <c r="AB123" s="220"/>
      <c r="AC123" s="220"/>
      <c r="AD123" s="220"/>
      <c r="AE123" s="220"/>
      <c r="AF123" s="220"/>
      <c r="AG123" s="220"/>
      <c r="AH123" s="220"/>
      <c r="AI123" s="220"/>
      <c r="AJ123" s="220"/>
      <c r="AK123" s="220"/>
      <c r="AL123" s="220"/>
      <c r="AM123" s="220"/>
      <c r="AN123" s="220"/>
      <c r="AO123" s="220"/>
      <c r="AP123" s="220"/>
      <c r="AQ123" s="220"/>
      <c r="AR123" s="220"/>
      <c r="AS123" s="220"/>
      <c r="AT123" s="220"/>
      <c r="AU123" s="220"/>
    </row>
    <row r="124" ht="15.75" customHeight="1">
      <c r="A124" s="220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0"/>
      <c r="AA124" s="220"/>
      <c r="AB124" s="220"/>
      <c r="AC124" s="220"/>
      <c r="AD124" s="220"/>
      <c r="AE124" s="220"/>
      <c r="AF124" s="220"/>
      <c r="AG124" s="220"/>
      <c r="AH124" s="220"/>
      <c r="AI124" s="220"/>
      <c r="AJ124" s="220"/>
      <c r="AK124" s="220"/>
      <c r="AL124" s="220"/>
      <c r="AM124" s="220"/>
      <c r="AN124" s="220"/>
      <c r="AO124" s="220"/>
      <c r="AP124" s="220"/>
      <c r="AQ124" s="220"/>
      <c r="AR124" s="220"/>
      <c r="AS124" s="220"/>
      <c r="AT124" s="220"/>
      <c r="AU124" s="220"/>
    </row>
    <row r="125" ht="15.75" customHeight="1">
      <c r="A125" s="220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0"/>
      <c r="AA125" s="220"/>
      <c r="AB125" s="220"/>
      <c r="AC125" s="220"/>
      <c r="AD125" s="220"/>
      <c r="AE125" s="220"/>
      <c r="AF125" s="220"/>
      <c r="AG125" s="220"/>
      <c r="AH125" s="220"/>
      <c r="AI125" s="220"/>
      <c r="AJ125" s="220"/>
      <c r="AK125" s="220"/>
      <c r="AL125" s="220"/>
      <c r="AM125" s="220"/>
      <c r="AN125" s="220"/>
      <c r="AO125" s="220"/>
      <c r="AP125" s="220"/>
      <c r="AQ125" s="220"/>
      <c r="AR125" s="220"/>
      <c r="AS125" s="220"/>
      <c r="AT125" s="220"/>
      <c r="AU125" s="220"/>
    </row>
    <row r="126" ht="15.75" customHeight="1">
      <c r="A126" s="220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0"/>
      <c r="AA126" s="220"/>
      <c r="AB126" s="220"/>
      <c r="AC126" s="220"/>
      <c r="AD126" s="220"/>
      <c r="AE126" s="220"/>
      <c r="AF126" s="220"/>
      <c r="AG126" s="220"/>
      <c r="AH126" s="220"/>
      <c r="AI126" s="220"/>
      <c r="AJ126" s="220"/>
      <c r="AK126" s="220"/>
      <c r="AL126" s="220"/>
      <c r="AM126" s="220"/>
      <c r="AN126" s="220"/>
      <c r="AO126" s="220"/>
      <c r="AP126" s="220"/>
      <c r="AQ126" s="220"/>
      <c r="AR126" s="220"/>
      <c r="AS126" s="220"/>
      <c r="AT126" s="220"/>
      <c r="AU126" s="220"/>
    </row>
    <row r="127" ht="15.75" customHeight="1">
      <c r="A127" s="220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0"/>
      <c r="AA127" s="220"/>
      <c r="AB127" s="220"/>
      <c r="AC127" s="220"/>
      <c r="AD127" s="220"/>
      <c r="AE127" s="220"/>
      <c r="AF127" s="220"/>
      <c r="AG127" s="220"/>
      <c r="AH127" s="220"/>
      <c r="AI127" s="220"/>
      <c r="AJ127" s="220"/>
      <c r="AK127" s="220"/>
      <c r="AL127" s="220"/>
      <c r="AM127" s="220"/>
      <c r="AN127" s="220"/>
      <c r="AO127" s="220"/>
      <c r="AP127" s="220"/>
      <c r="AQ127" s="220"/>
      <c r="AR127" s="220"/>
      <c r="AS127" s="220"/>
      <c r="AT127" s="220"/>
      <c r="AU127" s="220"/>
    </row>
    <row r="128" ht="15.75" customHeight="1">
      <c r="A128" s="220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0"/>
      <c r="AA128" s="220"/>
      <c r="AB128" s="220"/>
      <c r="AC128" s="220"/>
      <c r="AD128" s="220"/>
      <c r="AE128" s="220"/>
      <c r="AF128" s="220"/>
      <c r="AG128" s="220"/>
      <c r="AH128" s="220"/>
      <c r="AI128" s="220"/>
      <c r="AJ128" s="220"/>
      <c r="AK128" s="220"/>
      <c r="AL128" s="220"/>
      <c r="AM128" s="220"/>
      <c r="AN128" s="220"/>
      <c r="AO128" s="220"/>
      <c r="AP128" s="220"/>
      <c r="AQ128" s="220"/>
      <c r="AR128" s="220"/>
      <c r="AS128" s="220"/>
      <c r="AT128" s="220"/>
      <c r="AU128" s="220"/>
    </row>
    <row r="129" ht="15.75" customHeight="1">
      <c r="A129" s="220"/>
      <c r="B129" s="220"/>
      <c r="C129" s="220"/>
      <c r="D129" s="220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0"/>
      <c r="AA129" s="220"/>
      <c r="AB129" s="220"/>
      <c r="AC129" s="220"/>
      <c r="AD129" s="220"/>
      <c r="AE129" s="220"/>
      <c r="AF129" s="220"/>
      <c r="AG129" s="220"/>
      <c r="AH129" s="220"/>
      <c r="AI129" s="220"/>
      <c r="AJ129" s="220"/>
      <c r="AK129" s="220"/>
      <c r="AL129" s="220"/>
      <c r="AM129" s="220"/>
      <c r="AN129" s="220"/>
      <c r="AO129" s="220"/>
      <c r="AP129" s="220"/>
      <c r="AQ129" s="220"/>
      <c r="AR129" s="220"/>
      <c r="AS129" s="220"/>
      <c r="AT129" s="220"/>
      <c r="AU129" s="220"/>
    </row>
    <row r="130" ht="15.75" customHeight="1">
      <c r="A130" s="220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0"/>
      <c r="AA130" s="220"/>
      <c r="AB130" s="220"/>
      <c r="AC130" s="220"/>
      <c r="AD130" s="220"/>
      <c r="AE130" s="220"/>
      <c r="AF130" s="220"/>
      <c r="AG130" s="220"/>
      <c r="AH130" s="220"/>
      <c r="AI130" s="220"/>
      <c r="AJ130" s="220"/>
      <c r="AK130" s="220"/>
      <c r="AL130" s="220"/>
      <c r="AM130" s="220"/>
      <c r="AN130" s="220"/>
      <c r="AO130" s="220"/>
      <c r="AP130" s="220"/>
      <c r="AQ130" s="220"/>
      <c r="AR130" s="220"/>
      <c r="AS130" s="220"/>
      <c r="AT130" s="220"/>
      <c r="AU130" s="220"/>
    </row>
    <row r="131" ht="15.75" customHeight="1">
      <c r="A131" s="220"/>
      <c r="B131" s="220"/>
      <c r="C131" s="220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0"/>
      <c r="AA131" s="220"/>
      <c r="AB131" s="220"/>
      <c r="AC131" s="220"/>
      <c r="AD131" s="220"/>
      <c r="AE131" s="220"/>
      <c r="AF131" s="220"/>
      <c r="AG131" s="220"/>
      <c r="AH131" s="220"/>
      <c r="AI131" s="220"/>
      <c r="AJ131" s="220"/>
      <c r="AK131" s="220"/>
      <c r="AL131" s="220"/>
      <c r="AM131" s="220"/>
      <c r="AN131" s="220"/>
      <c r="AO131" s="220"/>
      <c r="AP131" s="220"/>
      <c r="AQ131" s="220"/>
      <c r="AR131" s="220"/>
      <c r="AS131" s="220"/>
      <c r="AT131" s="220"/>
      <c r="AU131" s="220"/>
    </row>
    <row r="132" ht="15.75" customHeight="1">
      <c r="A132" s="220"/>
      <c r="B132" s="220"/>
      <c r="C132" s="220"/>
      <c r="D132" s="220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0"/>
      <c r="AA132" s="220"/>
      <c r="AB132" s="220"/>
      <c r="AC132" s="220"/>
      <c r="AD132" s="220"/>
      <c r="AE132" s="220"/>
      <c r="AF132" s="220"/>
      <c r="AG132" s="220"/>
      <c r="AH132" s="220"/>
      <c r="AI132" s="220"/>
      <c r="AJ132" s="220"/>
      <c r="AK132" s="220"/>
      <c r="AL132" s="220"/>
      <c r="AM132" s="220"/>
      <c r="AN132" s="220"/>
      <c r="AO132" s="220"/>
      <c r="AP132" s="220"/>
      <c r="AQ132" s="220"/>
      <c r="AR132" s="220"/>
      <c r="AS132" s="220"/>
      <c r="AT132" s="220"/>
      <c r="AU132" s="220"/>
    </row>
    <row r="133" ht="15.75" customHeight="1">
      <c r="A133" s="220"/>
      <c r="B133" s="220"/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0"/>
      <c r="AA133" s="220"/>
      <c r="AB133" s="220"/>
      <c r="AC133" s="220"/>
      <c r="AD133" s="220"/>
      <c r="AE133" s="220"/>
      <c r="AF133" s="220"/>
      <c r="AG133" s="220"/>
      <c r="AH133" s="220"/>
      <c r="AI133" s="220"/>
      <c r="AJ133" s="220"/>
      <c r="AK133" s="220"/>
      <c r="AL133" s="220"/>
      <c r="AM133" s="220"/>
      <c r="AN133" s="220"/>
      <c r="AO133" s="220"/>
      <c r="AP133" s="220"/>
      <c r="AQ133" s="220"/>
      <c r="AR133" s="220"/>
      <c r="AS133" s="220"/>
      <c r="AT133" s="220"/>
      <c r="AU133" s="220"/>
    </row>
    <row r="134" ht="15.75" customHeight="1">
      <c r="A134" s="220"/>
      <c r="B134" s="220"/>
      <c r="C134" s="220"/>
      <c r="D134" s="220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0"/>
      <c r="AA134" s="220"/>
      <c r="AB134" s="220"/>
      <c r="AC134" s="220"/>
      <c r="AD134" s="220"/>
      <c r="AE134" s="220"/>
      <c r="AF134" s="220"/>
      <c r="AG134" s="220"/>
      <c r="AH134" s="220"/>
      <c r="AI134" s="220"/>
      <c r="AJ134" s="220"/>
      <c r="AK134" s="220"/>
      <c r="AL134" s="220"/>
      <c r="AM134" s="220"/>
      <c r="AN134" s="220"/>
      <c r="AO134" s="220"/>
      <c r="AP134" s="220"/>
      <c r="AQ134" s="220"/>
      <c r="AR134" s="220"/>
      <c r="AS134" s="220"/>
      <c r="AT134" s="220"/>
      <c r="AU134" s="220"/>
    </row>
    <row r="135" ht="15.75" customHeight="1">
      <c r="A135" s="220"/>
      <c r="B135" s="220"/>
      <c r="C135" s="220"/>
      <c r="D135" s="220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0"/>
      <c r="AA135" s="220"/>
      <c r="AB135" s="220"/>
      <c r="AC135" s="220"/>
      <c r="AD135" s="220"/>
      <c r="AE135" s="220"/>
      <c r="AF135" s="220"/>
      <c r="AG135" s="220"/>
      <c r="AH135" s="220"/>
      <c r="AI135" s="220"/>
      <c r="AJ135" s="220"/>
      <c r="AK135" s="220"/>
      <c r="AL135" s="220"/>
      <c r="AM135" s="220"/>
      <c r="AN135" s="220"/>
      <c r="AO135" s="220"/>
      <c r="AP135" s="220"/>
      <c r="AQ135" s="220"/>
      <c r="AR135" s="220"/>
      <c r="AS135" s="220"/>
      <c r="AT135" s="220"/>
      <c r="AU135" s="220"/>
    </row>
    <row r="136" ht="15.75" customHeight="1">
      <c r="A136" s="220"/>
      <c r="B136" s="220"/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0"/>
      <c r="AA136" s="220"/>
      <c r="AB136" s="220"/>
      <c r="AC136" s="220"/>
      <c r="AD136" s="220"/>
      <c r="AE136" s="220"/>
      <c r="AF136" s="220"/>
      <c r="AG136" s="220"/>
      <c r="AH136" s="220"/>
      <c r="AI136" s="220"/>
      <c r="AJ136" s="220"/>
      <c r="AK136" s="220"/>
      <c r="AL136" s="220"/>
      <c r="AM136" s="220"/>
      <c r="AN136" s="220"/>
      <c r="AO136" s="220"/>
      <c r="AP136" s="220"/>
      <c r="AQ136" s="220"/>
      <c r="AR136" s="220"/>
      <c r="AS136" s="220"/>
      <c r="AT136" s="220"/>
      <c r="AU136" s="220"/>
    </row>
    <row r="137" ht="15.75" customHeight="1">
      <c r="A137" s="220"/>
      <c r="B137" s="220"/>
      <c r="C137" s="220"/>
      <c r="D137" s="220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0"/>
      <c r="AA137" s="220"/>
      <c r="AB137" s="220"/>
      <c r="AC137" s="220"/>
      <c r="AD137" s="220"/>
      <c r="AE137" s="220"/>
      <c r="AF137" s="220"/>
      <c r="AG137" s="220"/>
      <c r="AH137" s="220"/>
      <c r="AI137" s="220"/>
      <c r="AJ137" s="220"/>
      <c r="AK137" s="220"/>
      <c r="AL137" s="220"/>
      <c r="AM137" s="220"/>
      <c r="AN137" s="220"/>
      <c r="AO137" s="220"/>
      <c r="AP137" s="220"/>
      <c r="AQ137" s="220"/>
      <c r="AR137" s="220"/>
      <c r="AS137" s="220"/>
      <c r="AT137" s="220"/>
      <c r="AU137" s="220"/>
    </row>
    <row r="138" ht="15.75" customHeight="1">
      <c r="A138" s="220"/>
      <c r="B138" s="220"/>
      <c r="C138" s="220"/>
      <c r="D138" s="220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0"/>
      <c r="AA138" s="220"/>
      <c r="AB138" s="220"/>
      <c r="AC138" s="220"/>
      <c r="AD138" s="220"/>
      <c r="AE138" s="220"/>
      <c r="AF138" s="220"/>
      <c r="AG138" s="220"/>
      <c r="AH138" s="220"/>
      <c r="AI138" s="220"/>
      <c r="AJ138" s="220"/>
      <c r="AK138" s="220"/>
      <c r="AL138" s="220"/>
      <c r="AM138" s="220"/>
      <c r="AN138" s="220"/>
      <c r="AO138" s="220"/>
      <c r="AP138" s="220"/>
      <c r="AQ138" s="220"/>
      <c r="AR138" s="220"/>
      <c r="AS138" s="220"/>
      <c r="AT138" s="220"/>
      <c r="AU138" s="220"/>
    </row>
    <row r="139" ht="15.75" customHeight="1">
      <c r="A139" s="220"/>
      <c r="B139" s="220"/>
      <c r="C139" s="220"/>
      <c r="D139" s="220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0"/>
      <c r="AA139" s="220"/>
      <c r="AB139" s="220"/>
      <c r="AC139" s="220"/>
      <c r="AD139" s="220"/>
      <c r="AE139" s="220"/>
      <c r="AF139" s="220"/>
      <c r="AG139" s="220"/>
      <c r="AH139" s="220"/>
      <c r="AI139" s="220"/>
      <c r="AJ139" s="220"/>
      <c r="AK139" s="220"/>
      <c r="AL139" s="220"/>
      <c r="AM139" s="220"/>
      <c r="AN139" s="220"/>
      <c r="AO139" s="220"/>
      <c r="AP139" s="220"/>
      <c r="AQ139" s="220"/>
      <c r="AR139" s="220"/>
      <c r="AS139" s="220"/>
      <c r="AT139" s="220"/>
      <c r="AU139" s="220"/>
    </row>
    <row r="140" ht="15.75" customHeight="1">
      <c r="A140" s="22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0"/>
      <c r="AA140" s="220"/>
      <c r="AB140" s="220"/>
      <c r="AC140" s="220"/>
      <c r="AD140" s="220"/>
      <c r="AE140" s="220"/>
      <c r="AF140" s="220"/>
      <c r="AG140" s="220"/>
      <c r="AH140" s="220"/>
      <c r="AI140" s="220"/>
      <c r="AJ140" s="220"/>
      <c r="AK140" s="220"/>
      <c r="AL140" s="220"/>
      <c r="AM140" s="220"/>
      <c r="AN140" s="220"/>
      <c r="AO140" s="220"/>
      <c r="AP140" s="220"/>
      <c r="AQ140" s="220"/>
      <c r="AR140" s="220"/>
      <c r="AS140" s="220"/>
      <c r="AT140" s="220"/>
      <c r="AU140" s="220"/>
    </row>
    <row r="141" ht="15.75" customHeight="1">
      <c r="A141" s="220"/>
      <c r="B141" s="220"/>
      <c r="C141" s="220"/>
      <c r="D141" s="220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  <c r="AA141" s="220"/>
      <c r="AB141" s="220"/>
      <c r="AC141" s="220"/>
      <c r="AD141" s="220"/>
      <c r="AE141" s="220"/>
      <c r="AF141" s="220"/>
      <c r="AG141" s="220"/>
      <c r="AH141" s="220"/>
      <c r="AI141" s="220"/>
      <c r="AJ141" s="220"/>
      <c r="AK141" s="220"/>
      <c r="AL141" s="220"/>
      <c r="AM141" s="220"/>
      <c r="AN141" s="220"/>
      <c r="AO141" s="220"/>
      <c r="AP141" s="220"/>
      <c r="AQ141" s="220"/>
      <c r="AR141" s="220"/>
      <c r="AS141" s="220"/>
      <c r="AT141" s="220"/>
      <c r="AU141" s="220"/>
    </row>
    <row r="142" ht="15.75" customHeight="1">
      <c r="A142" s="220"/>
      <c r="B142" s="220"/>
      <c r="C142" s="220"/>
      <c r="D142" s="220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0"/>
      <c r="AA142" s="220"/>
      <c r="AB142" s="220"/>
      <c r="AC142" s="220"/>
      <c r="AD142" s="220"/>
      <c r="AE142" s="220"/>
      <c r="AF142" s="220"/>
      <c r="AG142" s="220"/>
      <c r="AH142" s="220"/>
      <c r="AI142" s="220"/>
      <c r="AJ142" s="220"/>
      <c r="AK142" s="220"/>
      <c r="AL142" s="220"/>
      <c r="AM142" s="220"/>
      <c r="AN142" s="220"/>
      <c r="AO142" s="220"/>
      <c r="AP142" s="220"/>
      <c r="AQ142" s="220"/>
      <c r="AR142" s="220"/>
      <c r="AS142" s="220"/>
      <c r="AT142" s="220"/>
      <c r="AU142" s="220"/>
    </row>
    <row r="143" ht="15.75" customHeight="1">
      <c r="A143" s="220"/>
      <c r="B143" s="220"/>
      <c r="C143" s="220"/>
      <c r="D143" s="220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0"/>
      <c r="AA143" s="220"/>
      <c r="AB143" s="220"/>
      <c r="AC143" s="220"/>
      <c r="AD143" s="220"/>
      <c r="AE143" s="220"/>
      <c r="AF143" s="220"/>
      <c r="AG143" s="220"/>
      <c r="AH143" s="220"/>
      <c r="AI143" s="220"/>
      <c r="AJ143" s="220"/>
      <c r="AK143" s="220"/>
      <c r="AL143" s="220"/>
      <c r="AM143" s="220"/>
      <c r="AN143" s="220"/>
      <c r="AO143" s="220"/>
      <c r="AP143" s="220"/>
      <c r="AQ143" s="220"/>
      <c r="AR143" s="220"/>
      <c r="AS143" s="220"/>
      <c r="AT143" s="220"/>
      <c r="AU143" s="220"/>
    </row>
    <row r="144" ht="15.75" customHeight="1">
      <c r="A144" s="220"/>
      <c r="B144" s="220"/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0"/>
      <c r="AA144" s="220"/>
      <c r="AB144" s="220"/>
      <c r="AC144" s="220"/>
      <c r="AD144" s="220"/>
      <c r="AE144" s="220"/>
      <c r="AF144" s="220"/>
      <c r="AG144" s="220"/>
      <c r="AH144" s="220"/>
      <c r="AI144" s="220"/>
      <c r="AJ144" s="220"/>
      <c r="AK144" s="220"/>
      <c r="AL144" s="220"/>
      <c r="AM144" s="220"/>
      <c r="AN144" s="220"/>
      <c r="AO144" s="220"/>
      <c r="AP144" s="220"/>
      <c r="AQ144" s="220"/>
      <c r="AR144" s="220"/>
      <c r="AS144" s="220"/>
      <c r="AT144" s="220"/>
      <c r="AU144" s="220"/>
    </row>
    <row r="145" ht="15.75" customHeight="1">
      <c r="A145" s="22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0"/>
      <c r="AA145" s="220"/>
      <c r="AB145" s="220"/>
      <c r="AC145" s="220"/>
      <c r="AD145" s="220"/>
      <c r="AE145" s="220"/>
      <c r="AF145" s="220"/>
      <c r="AG145" s="220"/>
      <c r="AH145" s="220"/>
      <c r="AI145" s="220"/>
      <c r="AJ145" s="220"/>
      <c r="AK145" s="220"/>
      <c r="AL145" s="220"/>
      <c r="AM145" s="220"/>
      <c r="AN145" s="220"/>
      <c r="AO145" s="220"/>
      <c r="AP145" s="220"/>
      <c r="AQ145" s="220"/>
      <c r="AR145" s="220"/>
      <c r="AS145" s="220"/>
      <c r="AT145" s="220"/>
      <c r="AU145" s="220"/>
    </row>
    <row r="146" ht="15.75" customHeight="1">
      <c r="A146" s="220"/>
      <c r="B146" s="220"/>
      <c r="C146" s="220"/>
      <c r="D146" s="220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0"/>
      <c r="AA146" s="220"/>
      <c r="AB146" s="220"/>
      <c r="AC146" s="220"/>
      <c r="AD146" s="220"/>
      <c r="AE146" s="220"/>
      <c r="AF146" s="220"/>
      <c r="AG146" s="220"/>
      <c r="AH146" s="220"/>
      <c r="AI146" s="220"/>
      <c r="AJ146" s="220"/>
      <c r="AK146" s="220"/>
      <c r="AL146" s="220"/>
      <c r="AM146" s="220"/>
      <c r="AN146" s="220"/>
      <c r="AO146" s="220"/>
      <c r="AP146" s="220"/>
      <c r="AQ146" s="220"/>
      <c r="AR146" s="220"/>
      <c r="AS146" s="220"/>
      <c r="AT146" s="220"/>
      <c r="AU146" s="220"/>
    </row>
    <row r="147" ht="15.75" customHeight="1">
      <c r="A147" s="220"/>
      <c r="B147" s="220"/>
      <c r="C147" s="220"/>
      <c r="D147" s="220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0"/>
      <c r="AA147" s="220"/>
      <c r="AB147" s="220"/>
      <c r="AC147" s="220"/>
      <c r="AD147" s="220"/>
      <c r="AE147" s="220"/>
      <c r="AF147" s="220"/>
      <c r="AG147" s="220"/>
      <c r="AH147" s="220"/>
      <c r="AI147" s="220"/>
      <c r="AJ147" s="220"/>
      <c r="AK147" s="220"/>
      <c r="AL147" s="220"/>
      <c r="AM147" s="220"/>
      <c r="AN147" s="220"/>
      <c r="AO147" s="220"/>
      <c r="AP147" s="220"/>
      <c r="AQ147" s="220"/>
      <c r="AR147" s="220"/>
      <c r="AS147" s="220"/>
      <c r="AT147" s="220"/>
      <c r="AU147" s="220"/>
    </row>
    <row r="148" ht="15.75" customHeight="1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0"/>
      <c r="AA148" s="220"/>
      <c r="AB148" s="220"/>
      <c r="AC148" s="220"/>
      <c r="AD148" s="220"/>
      <c r="AE148" s="220"/>
      <c r="AF148" s="220"/>
      <c r="AG148" s="220"/>
      <c r="AH148" s="220"/>
      <c r="AI148" s="220"/>
      <c r="AJ148" s="220"/>
      <c r="AK148" s="220"/>
      <c r="AL148" s="220"/>
      <c r="AM148" s="220"/>
      <c r="AN148" s="220"/>
      <c r="AO148" s="220"/>
      <c r="AP148" s="220"/>
      <c r="AQ148" s="220"/>
      <c r="AR148" s="220"/>
      <c r="AS148" s="220"/>
      <c r="AT148" s="220"/>
      <c r="AU148" s="220"/>
    </row>
    <row r="149" ht="15.75" customHeight="1">
      <c r="A149" s="220"/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  <c r="AA149" s="220"/>
      <c r="AB149" s="220"/>
      <c r="AC149" s="220"/>
      <c r="AD149" s="220"/>
      <c r="AE149" s="220"/>
      <c r="AF149" s="220"/>
      <c r="AG149" s="220"/>
      <c r="AH149" s="220"/>
      <c r="AI149" s="220"/>
      <c r="AJ149" s="220"/>
      <c r="AK149" s="220"/>
      <c r="AL149" s="220"/>
      <c r="AM149" s="220"/>
      <c r="AN149" s="220"/>
      <c r="AO149" s="220"/>
      <c r="AP149" s="220"/>
      <c r="AQ149" s="220"/>
      <c r="AR149" s="220"/>
      <c r="AS149" s="220"/>
      <c r="AT149" s="220"/>
      <c r="AU149" s="220"/>
    </row>
    <row r="150" ht="15.75" customHeight="1">
      <c r="A150" s="220"/>
      <c r="B150" s="220"/>
      <c r="C150" s="220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0"/>
      <c r="AA150" s="220"/>
      <c r="AB150" s="220"/>
      <c r="AC150" s="220"/>
      <c r="AD150" s="220"/>
      <c r="AE150" s="220"/>
      <c r="AF150" s="220"/>
      <c r="AG150" s="220"/>
      <c r="AH150" s="220"/>
      <c r="AI150" s="220"/>
      <c r="AJ150" s="220"/>
      <c r="AK150" s="220"/>
      <c r="AL150" s="220"/>
      <c r="AM150" s="220"/>
      <c r="AN150" s="220"/>
      <c r="AO150" s="220"/>
      <c r="AP150" s="220"/>
      <c r="AQ150" s="220"/>
      <c r="AR150" s="220"/>
      <c r="AS150" s="220"/>
      <c r="AT150" s="220"/>
      <c r="AU150" s="220"/>
    </row>
    <row r="151" ht="15.75" customHeight="1">
      <c r="A151" s="220"/>
      <c r="B151" s="220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0"/>
      <c r="AA151" s="220"/>
      <c r="AB151" s="220"/>
      <c r="AC151" s="220"/>
      <c r="AD151" s="220"/>
      <c r="AE151" s="220"/>
      <c r="AF151" s="220"/>
      <c r="AG151" s="220"/>
      <c r="AH151" s="220"/>
      <c r="AI151" s="220"/>
      <c r="AJ151" s="220"/>
      <c r="AK151" s="220"/>
      <c r="AL151" s="220"/>
      <c r="AM151" s="220"/>
      <c r="AN151" s="220"/>
      <c r="AO151" s="220"/>
      <c r="AP151" s="220"/>
      <c r="AQ151" s="220"/>
      <c r="AR151" s="220"/>
      <c r="AS151" s="220"/>
      <c r="AT151" s="220"/>
      <c r="AU151" s="220"/>
    </row>
    <row r="152" ht="15.75" customHeight="1">
      <c r="A152" s="220"/>
      <c r="B152" s="220"/>
      <c r="C152" s="220"/>
      <c r="D152" s="220"/>
      <c r="E152" s="220"/>
      <c r="F152" s="220"/>
      <c r="G152" s="220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0"/>
      <c r="AA152" s="220"/>
      <c r="AB152" s="220"/>
      <c r="AC152" s="220"/>
      <c r="AD152" s="220"/>
      <c r="AE152" s="220"/>
      <c r="AF152" s="220"/>
      <c r="AG152" s="220"/>
      <c r="AH152" s="220"/>
      <c r="AI152" s="220"/>
      <c r="AJ152" s="220"/>
      <c r="AK152" s="220"/>
      <c r="AL152" s="220"/>
      <c r="AM152" s="220"/>
      <c r="AN152" s="220"/>
      <c r="AO152" s="220"/>
      <c r="AP152" s="220"/>
      <c r="AQ152" s="220"/>
      <c r="AR152" s="220"/>
      <c r="AS152" s="220"/>
      <c r="AT152" s="220"/>
      <c r="AU152" s="220"/>
    </row>
    <row r="153" ht="15.75" customHeight="1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0"/>
      <c r="AA153" s="220"/>
      <c r="AB153" s="220"/>
      <c r="AC153" s="220"/>
      <c r="AD153" s="220"/>
      <c r="AE153" s="220"/>
      <c r="AF153" s="220"/>
      <c r="AG153" s="220"/>
      <c r="AH153" s="220"/>
      <c r="AI153" s="220"/>
      <c r="AJ153" s="220"/>
      <c r="AK153" s="220"/>
      <c r="AL153" s="220"/>
      <c r="AM153" s="220"/>
      <c r="AN153" s="220"/>
      <c r="AO153" s="220"/>
      <c r="AP153" s="220"/>
      <c r="AQ153" s="220"/>
      <c r="AR153" s="220"/>
      <c r="AS153" s="220"/>
      <c r="AT153" s="220"/>
      <c r="AU153" s="220"/>
    </row>
    <row r="154" ht="15.75" customHeight="1">
      <c r="A154" s="220"/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0"/>
      <c r="AA154" s="220"/>
      <c r="AB154" s="220"/>
      <c r="AC154" s="220"/>
      <c r="AD154" s="220"/>
      <c r="AE154" s="220"/>
      <c r="AF154" s="220"/>
      <c r="AG154" s="220"/>
      <c r="AH154" s="220"/>
      <c r="AI154" s="220"/>
      <c r="AJ154" s="220"/>
      <c r="AK154" s="220"/>
      <c r="AL154" s="220"/>
      <c r="AM154" s="220"/>
      <c r="AN154" s="220"/>
      <c r="AO154" s="220"/>
      <c r="AP154" s="220"/>
      <c r="AQ154" s="220"/>
      <c r="AR154" s="220"/>
      <c r="AS154" s="220"/>
      <c r="AT154" s="220"/>
      <c r="AU154" s="220"/>
    </row>
    <row r="155" ht="15.75" customHeight="1">
      <c r="A155" s="220"/>
      <c r="B155" s="220"/>
      <c r="C155" s="220"/>
      <c r="D155" s="220"/>
      <c r="E155" s="220"/>
      <c r="F155" s="220"/>
      <c r="G155" s="220"/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0"/>
      <c r="AA155" s="220"/>
      <c r="AB155" s="220"/>
      <c r="AC155" s="220"/>
      <c r="AD155" s="220"/>
      <c r="AE155" s="220"/>
      <c r="AF155" s="220"/>
      <c r="AG155" s="220"/>
      <c r="AH155" s="220"/>
      <c r="AI155" s="220"/>
      <c r="AJ155" s="220"/>
      <c r="AK155" s="220"/>
      <c r="AL155" s="220"/>
      <c r="AM155" s="220"/>
      <c r="AN155" s="220"/>
      <c r="AO155" s="220"/>
      <c r="AP155" s="220"/>
      <c r="AQ155" s="220"/>
      <c r="AR155" s="220"/>
      <c r="AS155" s="220"/>
      <c r="AT155" s="220"/>
      <c r="AU155" s="220"/>
    </row>
    <row r="156" ht="15.75" customHeight="1">
      <c r="A156" s="220"/>
      <c r="B156" s="220"/>
      <c r="C156" s="220"/>
      <c r="D156" s="220"/>
      <c r="E156" s="220"/>
      <c r="F156" s="220"/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0"/>
      <c r="AA156" s="220"/>
      <c r="AB156" s="220"/>
      <c r="AC156" s="220"/>
      <c r="AD156" s="220"/>
      <c r="AE156" s="220"/>
      <c r="AF156" s="220"/>
      <c r="AG156" s="220"/>
      <c r="AH156" s="220"/>
      <c r="AI156" s="220"/>
      <c r="AJ156" s="220"/>
      <c r="AK156" s="220"/>
      <c r="AL156" s="220"/>
      <c r="AM156" s="220"/>
      <c r="AN156" s="220"/>
      <c r="AO156" s="220"/>
      <c r="AP156" s="220"/>
      <c r="AQ156" s="220"/>
      <c r="AR156" s="220"/>
      <c r="AS156" s="220"/>
      <c r="AT156" s="220"/>
      <c r="AU156" s="220"/>
    </row>
    <row r="157" ht="15.75" customHeight="1">
      <c r="A157" s="220"/>
      <c r="B157" s="220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0"/>
      <c r="AA157" s="220"/>
      <c r="AB157" s="220"/>
      <c r="AC157" s="220"/>
      <c r="AD157" s="220"/>
      <c r="AE157" s="220"/>
      <c r="AF157" s="220"/>
      <c r="AG157" s="220"/>
      <c r="AH157" s="220"/>
      <c r="AI157" s="220"/>
      <c r="AJ157" s="220"/>
      <c r="AK157" s="220"/>
      <c r="AL157" s="220"/>
      <c r="AM157" s="220"/>
      <c r="AN157" s="220"/>
      <c r="AO157" s="220"/>
      <c r="AP157" s="220"/>
      <c r="AQ157" s="220"/>
      <c r="AR157" s="220"/>
      <c r="AS157" s="220"/>
      <c r="AT157" s="220"/>
      <c r="AU157" s="220"/>
    </row>
    <row r="158" ht="15.75" customHeight="1">
      <c r="A158" s="220"/>
      <c r="B158" s="220"/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0"/>
      <c r="AA158" s="220"/>
      <c r="AB158" s="220"/>
      <c r="AC158" s="220"/>
      <c r="AD158" s="220"/>
      <c r="AE158" s="220"/>
      <c r="AF158" s="220"/>
      <c r="AG158" s="220"/>
      <c r="AH158" s="220"/>
      <c r="AI158" s="220"/>
      <c r="AJ158" s="220"/>
      <c r="AK158" s="220"/>
      <c r="AL158" s="220"/>
      <c r="AM158" s="220"/>
      <c r="AN158" s="220"/>
      <c r="AO158" s="220"/>
      <c r="AP158" s="220"/>
      <c r="AQ158" s="220"/>
      <c r="AR158" s="220"/>
      <c r="AS158" s="220"/>
      <c r="AT158" s="220"/>
      <c r="AU158" s="220"/>
    </row>
    <row r="159" ht="15.75" customHeight="1">
      <c r="A159" s="220"/>
      <c r="B159" s="220"/>
      <c r="C159" s="220"/>
      <c r="D159" s="220"/>
      <c r="E159" s="220"/>
      <c r="F159" s="220"/>
      <c r="G159" s="220"/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0"/>
      <c r="AA159" s="220"/>
      <c r="AB159" s="220"/>
      <c r="AC159" s="220"/>
      <c r="AD159" s="220"/>
      <c r="AE159" s="220"/>
      <c r="AF159" s="220"/>
      <c r="AG159" s="220"/>
      <c r="AH159" s="220"/>
      <c r="AI159" s="220"/>
      <c r="AJ159" s="220"/>
      <c r="AK159" s="220"/>
      <c r="AL159" s="220"/>
      <c r="AM159" s="220"/>
      <c r="AN159" s="220"/>
      <c r="AO159" s="220"/>
      <c r="AP159" s="220"/>
      <c r="AQ159" s="220"/>
      <c r="AR159" s="220"/>
      <c r="AS159" s="220"/>
      <c r="AT159" s="220"/>
      <c r="AU159" s="220"/>
    </row>
    <row r="160" ht="15.75" customHeight="1">
      <c r="A160" s="220"/>
      <c r="B160" s="220"/>
      <c r="C160" s="220"/>
      <c r="D160" s="220"/>
      <c r="E160" s="220"/>
      <c r="F160" s="220"/>
      <c r="G160" s="220"/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0"/>
      <c r="AA160" s="220"/>
      <c r="AB160" s="220"/>
      <c r="AC160" s="220"/>
      <c r="AD160" s="220"/>
      <c r="AE160" s="220"/>
      <c r="AF160" s="220"/>
      <c r="AG160" s="220"/>
      <c r="AH160" s="220"/>
      <c r="AI160" s="220"/>
      <c r="AJ160" s="220"/>
      <c r="AK160" s="220"/>
      <c r="AL160" s="220"/>
      <c r="AM160" s="220"/>
      <c r="AN160" s="220"/>
      <c r="AO160" s="220"/>
      <c r="AP160" s="220"/>
      <c r="AQ160" s="220"/>
      <c r="AR160" s="220"/>
      <c r="AS160" s="220"/>
      <c r="AT160" s="220"/>
      <c r="AU160" s="220"/>
    </row>
    <row r="161" ht="15.75" customHeight="1">
      <c r="A161" s="220"/>
      <c r="B161" s="220"/>
      <c r="C161" s="220"/>
      <c r="D161" s="220"/>
      <c r="E161" s="220"/>
      <c r="F161" s="220"/>
      <c r="G161" s="220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0"/>
      <c r="AA161" s="220"/>
      <c r="AB161" s="220"/>
      <c r="AC161" s="220"/>
      <c r="AD161" s="220"/>
      <c r="AE161" s="220"/>
      <c r="AF161" s="220"/>
      <c r="AG161" s="220"/>
      <c r="AH161" s="220"/>
      <c r="AI161" s="220"/>
      <c r="AJ161" s="220"/>
      <c r="AK161" s="220"/>
      <c r="AL161" s="220"/>
      <c r="AM161" s="220"/>
      <c r="AN161" s="220"/>
      <c r="AO161" s="220"/>
      <c r="AP161" s="220"/>
      <c r="AQ161" s="220"/>
      <c r="AR161" s="220"/>
      <c r="AS161" s="220"/>
      <c r="AT161" s="220"/>
      <c r="AU161" s="220"/>
    </row>
    <row r="162" ht="15.75" customHeight="1">
      <c r="A162" s="220"/>
      <c r="B162" s="220"/>
      <c r="C162" s="220"/>
      <c r="D162" s="220"/>
      <c r="E162" s="220"/>
      <c r="F162" s="220"/>
      <c r="G162" s="220"/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0"/>
      <c r="AA162" s="220"/>
      <c r="AB162" s="220"/>
      <c r="AC162" s="220"/>
      <c r="AD162" s="220"/>
      <c r="AE162" s="220"/>
      <c r="AF162" s="220"/>
      <c r="AG162" s="220"/>
      <c r="AH162" s="220"/>
      <c r="AI162" s="220"/>
      <c r="AJ162" s="220"/>
      <c r="AK162" s="220"/>
      <c r="AL162" s="220"/>
      <c r="AM162" s="220"/>
      <c r="AN162" s="220"/>
      <c r="AO162" s="220"/>
      <c r="AP162" s="220"/>
      <c r="AQ162" s="220"/>
      <c r="AR162" s="220"/>
      <c r="AS162" s="220"/>
      <c r="AT162" s="220"/>
      <c r="AU162" s="220"/>
    </row>
    <row r="163" ht="15.75" customHeight="1">
      <c r="A163" s="220"/>
      <c r="B163" s="220"/>
      <c r="C163" s="220"/>
      <c r="D163" s="220"/>
      <c r="E163" s="220"/>
      <c r="F163" s="220"/>
      <c r="G163" s="220"/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0"/>
      <c r="AA163" s="220"/>
      <c r="AB163" s="220"/>
      <c r="AC163" s="220"/>
      <c r="AD163" s="220"/>
      <c r="AE163" s="220"/>
      <c r="AF163" s="220"/>
      <c r="AG163" s="220"/>
      <c r="AH163" s="220"/>
      <c r="AI163" s="220"/>
      <c r="AJ163" s="220"/>
      <c r="AK163" s="220"/>
      <c r="AL163" s="220"/>
      <c r="AM163" s="220"/>
      <c r="AN163" s="220"/>
      <c r="AO163" s="220"/>
      <c r="AP163" s="220"/>
      <c r="AQ163" s="220"/>
      <c r="AR163" s="220"/>
      <c r="AS163" s="220"/>
      <c r="AT163" s="220"/>
      <c r="AU163" s="220"/>
    </row>
    <row r="164" ht="15.75" customHeight="1">
      <c r="A164" s="220"/>
      <c r="B164" s="220"/>
      <c r="C164" s="220"/>
      <c r="D164" s="220"/>
      <c r="E164" s="220"/>
      <c r="F164" s="220"/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0"/>
      <c r="AA164" s="220"/>
      <c r="AB164" s="220"/>
      <c r="AC164" s="220"/>
      <c r="AD164" s="220"/>
      <c r="AE164" s="220"/>
      <c r="AF164" s="220"/>
      <c r="AG164" s="220"/>
      <c r="AH164" s="220"/>
      <c r="AI164" s="220"/>
      <c r="AJ164" s="220"/>
      <c r="AK164" s="220"/>
      <c r="AL164" s="220"/>
      <c r="AM164" s="220"/>
      <c r="AN164" s="220"/>
      <c r="AO164" s="220"/>
      <c r="AP164" s="220"/>
      <c r="AQ164" s="220"/>
      <c r="AR164" s="220"/>
      <c r="AS164" s="220"/>
      <c r="AT164" s="220"/>
      <c r="AU164" s="220"/>
    </row>
    <row r="165" ht="15.75" customHeight="1">
      <c r="A165" s="220"/>
      <c r="B165" s="220"/>
      <c r="C165" s="220"/>
      <c r="D165" s="220"/>
      <c r="E165" s="220"/>
      <c r="F165" s="220"/>
      <c r="G165" s="220"/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0"/>
      <c r="AA165" s="220"/>
      <c r="AB165" s="220"/>
      <c r="AC165" s="220"/>
      <c r="AD165" s="220"/>
      <c r="AE165" s="220"/>
      <c r="AF165" s="220"/>
      <c r="AG165" s="220"/>
      <c r="AH165" s="220"/>
      <c r="AI165" s="220"/>
      <c r="AJ165" s="220"/>
      <c r="AK165" s="220"/>
      <c r="AL165" s="220"/>
      <c r="AM165" s="220"/>
      <c r="AN165" s="220"/>
      <c r="AO165" s="220"/>
      <c r="AP165" s="220"/>
      <c r="AQ165" s="220"/>
      <c r="AR165" s="220"/>
      <c r="AS165" s="220"/>
      <c r="AT165" s="220"/>
      <c r="AU165" s="220"/>
    </row>
    <row r="166" ht="15.75" customHeight="1">
      <c r="A166" s="220"/>
      <c r="B166" s="220"/>
      <c r="C166" s="220"/>
      <c r="D166" s="220"/>
      <c r="E166" s="220"/>
      <c r="F166" s="220"/>
      <c r="G166" s="220"/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0"/>
      <c r="AA166" s="220"/>
      <c r="AB166" s="220"/>
      <c r="AC166" s="220"/>
      <c r="AD166" s="220"/>
      <c r="AE166" s="220"/>
      <c r="AF166" s="220"/>
      <c r="AG166" s="220"/>
      <c r="AH166" s="220"/>
      <c r="AI166" s="220"/>
      <c r="AJ166" s="220"/>
      <c r="AK166" s="220"/>
      <c r="AL166" s="220"/>
      <c r="AM166" s="220"/>
      <c r="AN166" s="220"/>
      <c r="AO166" s="220"/>
      <c r="AP166" s="220"/>
      <c r="AQ166" s="220"/>
      <c r="AR166" s="220"/>
      <c r="AS166" s="220"/>
      <c r="AT166" s="220"/>
      <c r="AU166" s="220"/>
    </row>
    <row r="167" ht="15.75" customHeight="1">
      <c r="A167" s="220"/>
      <c r="B167" s="220"/>
      <c r="C167" s="220"/>
      <c r="D167" s="220"/>
      <c r="E167" s="220"/>
      <c r="F167" s="220"/>
      <c r="G167" s="220"/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0"/>
      <c r="AA167" s="220"/>
      <c r="AB167" s="220"/>
      <c r="AC167" s="220"/>
      <c r="AD167" s="220"/>
      <c r="AE167" s="220"/>
      <c r="AF167" s="220"/>
      <c r="AG167" s="220"/>
      <c r="AH167" s="220"/>
      <c r="AI167" s="220"/>
      <c r="AJ167" s="220"/>
      <c r="AK167" s="220"/>
      <c r="AL167" s="220"/>
      <c r="AM167" s="220"/>
      <c r="AN167" s="220"/>
      <c r="AO167" s="220"/>
      <c r="AP167" s="220"/>
      <c r="AQ167" s="220"/>
      <c r="AR167" s="220"/>
      <c r="AS167" s="220"/>
      <c r="AT167" s="220"/>
      <c r="AU167" s="220"/>
    </row>
    <row r="168" ht="15.75" customHeight="1">
      <c r="A168" s="220"/>
      <c r="B168" s="220"/>
      <c r="C168" s="220"/>
      <c r="D168" s="220"/>
      <c r="E168" s="220"/>
      <c r="F168" s="220"/>
      <c r="G168" s="220"/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0"/>
      <c r="AA168" s="220"/>
      <c r="AB168" s="220"/>
      <c r="AC168" s="220"/>
      <c r="AD168" s="220"/>
      <c r="AE168" s="220"/>
      <c r="AF168" s="220"/>
      <c r="AG168" s="220"/>
      <c r="AH168" s="220"/>
      <c r="AI168" s="220"/>
      <c r="AJ168" s="220"/>
      <c r="AK168" s="220"/>
      <c r="AL168" s="220"/>
      <c r="AM168" s="220"/>
      <c r="AN168" s="220"/>
      <c r="AO168" s="220"/>
      <c r="AP168" s="220"/>
      <c r="AQ168" s="220"/>
      <c r="AR168" s="220"/>
      <c r="AS168" s="220"/>
      <c r="AT168" s="220"/>
      <c r="AU168" s="220"/>
    </row>
    <row r="169" ht="15.75" customHeight="1">
      <c r="A169" s="220"/>
      <c r="B169" s="220"/>
      <c r="C169" s="220"/>
      <c r="D169" s="220"/>
      <c r="E169" s="220"/>
      <c r="F169" s="220"/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0"/>
      <c r="AA169" s="220"/>
      <c r="AB169" s="220"/>
      <c r="AC169" s="220"/>
      <c r="AD169" s="220"/>
      <c r="AE169" s="220"/>
      <c r="AF169" s="220"/>
      <c r="AG169" s="220"/>
      <c r="AH169" s="220"/>
      <c r="AI169" s="220"/>
      <c r="AJ169" s="220"/>
      <c r="AK169" s="220"/>
      <c r="AL169" s="220"/>
      <c r="AM169" s="220"/>
      <c r="AN169" s="220"/>
      <c r="AO169" s="220"/>
      <c r="AP169" s="220"/>
      <c r="AQ169" s="220"/>
      <c r="AR169" s="220"/>
      <c r="AS169" s="220"/>
      <c r="AT169" s="220"/>
      <c r="AU169" s="220"/>
    </row>
    <row r="170" ht="15.75" customHeight="1">
      <c r="A170" s="22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0"/>
      <c r="AA170" s="220"/>
      <c r="AB170" s="220"/>
      <c r="AC170" s="220"/>
      <c r="AD170" s="220"/>
      <c r="AE170" s="220"/>
      <c r="AF170" s="220"/>
      <c r="AG170" s="220"/>
      <c r="AH170" s="220"/>
      <c r="AI170" s="220"/>
      <c r="AJ170" s="220"/>
      <c r="AK170" s="220"/>
      <c r="AL170" s="220"/>
      <c r="AM170" s="220"/>
      <c r="AN170" s="220"/>
      <c r="AO170" s="220"/>
      <c r="AP170" s="220"/>
      <c r="AQ170" s="220"/>
      <c r="AR170" s="220"/>
      <c r="AS170" s="220"/>
      <c r="AT170" s="220"/>
      <c r="AU170" s="220"/>
    </row>
    <row r="171" ht="15.75" customHeight="1">
      <c r="A171" s="220"/>
      <c r="B171" s="220"/>
      <c r="C171" s="220"/>
      <c r="D171" s="220"/>
      <c r="E171" s="220"/>
      <c r="F171" s="220"/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0"/>
      <c r="AA171" s="220"/>
      <c r="AB171" s="220"/>
      <c r="AC171" s="220"/>
      <c r="AD171" s="220"/>
      <c r="AE171" s="220"/>
      <c r="AF171" s="220"/>
      <c r="AG171" s="220"/>
      <c r="AH171" s="220"/>
      <c r="AI171" s="220"/>
      <c r="AJ171" s="220"/>
      <c r="AK171" s="220"/>
      <c r="AL171" s="220"/>
      <c r="AM171" s="220"/>
      <c r="AN171" s="220"/>
      <c r="AO171" s="220"/>
      <c r="AP171" s="220"/>
      <c r="AQ171" s="220"/>
      <c r="AR171" s="220"/>
      <c r="AS171" s="220"/>
      <c r="AT171" s="220"/>
      <c r="AU171" s="220"/>
    </row>
    <row r="172" ht="15.75" customHeight="1">
      <c r="A172" s="220"/>
      <c r="B172" s="220"/>
      <c r="C172" s="220"/>
      <c r="D172" s="220"/>
      <c r="E172" s="220"/>
      <c r="F172" s="220"/>
      <c r="G172" s="220"/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0"/>
      <c r="AA172" s="220"/>
      <c r="AB172" s="220"/>
      <c r="AC172" s="220"/>
      <c r="AD172" s="220"/>
      <c r="AE172" s="220"/>
      <c r="AF172" s="220"/>
      <c r="AG172" s="220"/>
      <c r="AH172" s="220"/>
      <c r="AI172" s="220"/>
      <c r="AJ172" s="220"/>
      <c r="AK172" s="220"/>
      <c r="AL172" s="220"/>
      <c r="AM172" s="220"/>
      <c r="AN172" s="220"/>
      <c r="AO172" s="220"/>
      <c r="AP172" s="220"/>
      <c r="AQ172" s="220"/>
      <c r="AR172" s="220"/>
      <c r="AS172" s="220"/>
      <c r="AT172" s="220"/>
      <c r="AU172" s="220"/>
    </row>
    <row r="173" ht="15.75" customHeight="1">
      <c r="A173" s="220"/>
      <c r="B173" s="220"/>
      <c r="C173" s="220"/>
      <c r="D173" s="220"/>
      <c r="E173" s="220"/>
      <c r="F173" s="220"/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0"/>
      <c r="AA173" s="220"/>
      <c r="AB173" s="220"/>
      <c r="AC173" s="220"/>
      <c r="AD173" s="220"/>
      <c r="AE173" s="220"/>
      <c r="AF173" s="220"/>
      <c r="AG173" s="220"/>
      <c r="AH173" s="220"/>
      <c r="AI173" s="220"/>
      <c r="AJ173" s="220"/>
      <c r="AK173" s="220"/>
      <c r="AL173" s="220"/>
      <c r="AM173" s="220"/>
      <c r="AN173" s="220"/>
      <c r="AO173" s="220"/>
      <c r="AP173" s="220"/>
      <c r="AQ173" s="220"/>
      <c r="AR173" s="220"/>
      <c r="AS173" s="220"/>
      <c r="AT173" s="220"/>
      <c r="AU173" s="220"/>
    </row>
    <row r="174" ht="15.75" customHeight="1">
      <c r="A174" s="220"/>
      <c r="B174" s="220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0"/>
      <c r="AA174" s="220"/>
      <c r="AB174" s="220"/>
      <c r="AC174" s="220"/>
      <c r="AD174" s="220"/>
      <c r="AE174" s="220"/>
      <c r="AF174" s="220"/>
      <c r="AG174" s="220"/>
      <c r="AH174" s="220"/>
      <c r="AI174" s="220"/>
      <c r="AJ174" s="220"/>
      <c r="AK174" s="220"/>
      <c r="AL174" s="220"/>
      <c r="AM174" s="220"/>
      <c r="AN174" s="220"/>
      <c r="AO174" s="220"/>
      <c r="AP174" s="220"/>
      <c r="AQ174" s="220"/>
      <c r="AR174" s="220"/>
      <c r="AS174" s="220"/>
      <c r="AT174" s="220"/>
      <c r="AU174" s="220"/>
    </row>
    <row r="175" ht="15.75" customHeight="1">
      <c r="A175" s="22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0"/>
      <c r="AA175" s="220"/>
      <c r="AB175" s="220"/>
      <c r="AC175" s="220"/>
      <c r="AD175" s="220"/>
      <c r="AE175" s="220"/>
      <c r="AF175" s="220"/>
      <c r="AG175" s="220"/>
      <c r="AH175" s="220"/>
      <c r="AI175" s="220"/>
      <c r="AJ175" s="220"/>
      <c r="AK175" s="220"/>
      <c r="AL175" s="220"/>
      <c r="AM175" s="220"/>
      <c r="AN175" s="220"/>
      <c r="AO175" s="220"/>
      <c r="AP175" s="220"/>
      <c r="AQ175" s="220"/>
      <c r="AR175" s="220"/>
      <c r="AS175" s="220"/>
      <c r="AT175" s="220"/>
      <c r="AU175" s="220"/>
    </row>
    <row r="176" ht="15.75" customHeight="1">
      <c r="A176" s="220"/>
      <c r="B176" s="220"/>
      <c r="C176" s="220"/>
      <c r="D176" s="220"/>
      <c r="E176" s="220"/>
      <c r="F176" s="220"/>
      <c r="G176" s="220"/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0"/>
      <c r="AA176" s="220"/>
      <c r="AB176" s="220"/>
      <c r="AC176" s="220"/>
      <c r="AD176" s="220"/>
      <c r="AE176" s="220"/>
      <c r="AF176" s="220"/>
      <c r="AG176" s="220"/>
      <c r="AH176" s="220"/>
      <c r="AI176" s="220"/>
      <c r="AJ176" s="220"/>
      <c r="AK176" s="220"/>
      <c r="AL176" s="220"/>
      <c r="AM176" s="220"/>
      <c r="AN176" s="220"/>
      <c r="AO176" s="220"/>
      <c r="AP176" s="220"/>
      <c r="AQ176" s="220"/>
      <c r="AR176" s="220"/>
      <c r="AS176" s="220"/>
      <c r="AT176" s="220"/>
      <c r="AU176" s="220"/>
    </row>
    <row r="177" ht="15.75" customHeight="1">
      <c r="A177" s="220"/>
      <c r="B177" s="220"/>
      <c r="C177" s="220"/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0"/>
      <c r="AA177" s="220"/>
      <c r="AB177" s="220"/>
      <c r="AC177" s="220"/>
      <c r="AD177" s="220"/>
      <c r="AE177" s="220"/>
      <c r="AF177" s="220"/>
      <c r="AG177" s="220"/>
      <c r="AH177" s="220"/>
      <c r="AI177" s="220"/>
      <c r="AJ177" s="220"/>
      <c r="AK177" s="220"/>
      <c r="AL177" s="220"/>
      <c r="AM177" s="220"/>
      <c r="AN177" s="220"/>
      <c r="AO177" s="220"/>
      <c r="AP177" s="220"/>
      <c r="AQ177" s="220"/>
      <c r="AR177" s="220"/>
      <c r="AS177" s="220"/>
      <c r="AT177" s="220"/>
      <c r="AU177" s="220"/>
    </row>
    <row r="178" ht="15.75" customHeight="1">
      <c r="A178" s="220"/>
      <c r="B178" s="220"/>
      <c r="C178" s="220"/>
      <c r="D178" s="220"/>
      <c r="E178" s="220"/>
      <c r="F178" s="220"/>
      <c r="G178" s="220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0"/>
      <c r="AA178" s="220"/>
      <c r="AB178" s="220"/>
      <c r="AC178" s="220"/>
      <c r="AD178" s="220"/>
      <c r="AE178" s="220"/>
      <c r="AF178" s="220"/>
      <c r="AG178" s="220"/>
      <c r="AH178" s="220"/>
      <c r="AI178" s="220"/>
      <c r="AJ178" s="220"/>
      <c r="AK178" s="220"/>
      <c r="AL178" s="220"/>
      <c r="AM178" s="220"/>
      <c r="AN178" s="220"/>
      <c r="AO178" s="220"/>
      <c r="AP178" s="220"/>
      <c r="AQ178" s="220"/>
      <c r="AR178" s="220"/>
      <c r="AS178" s="220"/>
      <c r="AT178" s="220"/>
      <c r="AU178" s="220"/>
    </row>
    <row r="179" ht="15.75" customHeight="1">
      <c r="A179" s="220"/>
      <c r="B179" s="220"/>
      <c r="C179" s="220"/>
      <c r="D179" s="220"/>
      <c r="E179" s="220"/>
      <c r="F179" s="220"/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0"/>
      <c r="AA179" s="220"/>
      <c r="AB179" s="220"/>
      <c r="AC179" s="220"/>
      <c r="AD179" s="220"/>
      <c r="AE179" s="220"/>
      <c r="AF179" s="220"/>
      <c r="AG179" s="220"/>
      <c r="AH179" s="220"/>
      <c r="AI179" s="220"/>
      <c r="AJ179" s="220"/>
      <c r="AK179" s="220"/>
      <c r="AL179" s="220"/>
      <c r="AM179" s="220"/>
      <c r="AN179" s="220"/>
      <c r="AO179" s="220"/>
      <c r="AP179" s="220"/>
      <c r="AQ179" s="220"/>
      <c r="AR179" s="220"/>
      <c r="AS179" s="220"/>
      <c r="AT179" s="220"/>
      <c r="AU179" s="220"/>
    </row>
    <row r="180" ht="15.75" customHeight="1">
      <c r="A180" s="220"/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0"/>
      <c r="AA180" s="220"/>
      <c r="AB180" s="220"/>
      <c r="AC180" s="220"/>
      <c r="AD180" s="220"/>
      <c r="AE180" s="220"/>
      <c r="AF180" s="220"/>
      <c r="AG180" s="220"/>
      <c r="AH180" s="220"/>
      <c r="AI180" s="220"/>
      <c r="AJ180" s="220"/>
      <c r="AK180" s="220"/>
      <c r="AL180" s="220"/>
      <c r="AM180" s="220"/>
      <c r="AN180" s="220"/>
      <c r="AO180" s="220"/>
      <c r="AP180" s="220"/>
      <c r="AQ180" s="220"/>
      <c r="AR180" s="220"/>
      <c r="AS180" s="220"/>
      <c r="AT180" s="220"/>
      <c r="AU180" s="220"/>
    </row>
    <row r="181" ht="15.75" customHeight="1">
      <c r="A181" s="220"/>
      <c r="B181" s="220"/>
      <c r="C181" s="220"/>
      <c r="D181" s="220"/>
      <c r="E181" s="220"/>
      <c r="F181" s="220"/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0"/>
      <c r="AA181" s="220"/>
      <c r="AB181" s="220"/>
      <c r="AC181" s="220"/>
      <c r="AD181" s="220"/>
      <c r="AE181" s="220"/>
      <c r="AF181" s="220"/>
      <c r="AG181" s="220"/>
      <c r="AH181" s="220"/>
      <c r="AI181" s="220"/>
      <c r="AJ181" s="220"/>
      <c r="AK181" s="220"/>
      <c r="AL181" s="220"/>
      <c r="AM181" s="220"/>
      <c r="AN181" s="220"/>
      <c r="AO181" s="220"/>
      <c r="AP181" s="220"/>
      <c r="AQ181" s="220"/>
      <c r="AR181" s="220"/>
      <c r="AS181" s="220"/>
      <c r="AT181" s="220"/>
      <c r="AU181" s="220"/>
    </row>
    <row r="182" ht="15.75" customHeight="1">
      <c r="A182" s="220"/>
      <c r="B182" s="220"/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0"/>
      <c r="AA182" s="220"/>
      <c r="AB182" s="220"/>
      <c r="AC182" s="220"/>
      <c r="AD182" s="220"/>
      <c r="AE182" s="220"/>
      <c r="AF182" s="220"/>
      <c r="AG182" s="220"/>
      <c r="AH182" s="220"/>
      <c r="AI182" s="220"/>
      <c r="AJ182" s="220"/>
      <c r="AK182" s="220"/>
      <c r="AL182" s="220"/>
      <c r="AM182" s="220"/>
      <c r="AN182" s="220"/>
      <c r="AO182" s="220"/>
      <c r="AP182" s="220"/>
      <c r="AQ182" s="220"/>
      <c r="AR182" s="220"/>
      <c r="AS182" s="220"/>
      <c r="AT182" s="220"/>
      <c r="AU182" s="220"/>
    </row>
    <row r="183" ht="15.75" customHeight="1">
      <c r="A183" s="220"/>
      <c r="B183" s="220"/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0"/>
      <c r="AA183" s="220"/>
      <c r="AB183" s="220"/>
      <c r="AC183" s="220"/>
      <c r="AD183" s="220"/>
      <c r="AE183" s="220"/>
      <c r="AF183" s="220"/>
      <c r="AG183" s="220"/>
      <c r="AH183" s="220"/>
      <c r="AI183" s="220"/>
      <c r="AJ183" s="220"/>
      <c r="AK183" s="220"/>
      <c r="AL183" s="220"/>
      <c r="AM183" s="220"/>
      <c r="AN183" s="220"/>
      <c r="AO183" s="220"/>
      <c r="AP183" s="220"/>
      <c r="AQ183" s="220"/>
      <c r="AR183" s="220"/>
      <c r="AS183" s="220"/>
      <c r="AT183" s="220"/>
      <c r="AU183" s="220"/>
    </row>
    <row r="184" ht="15.75" customHeight="1">
      <c r="A184" s="220"/>
      <c r="B184" s="220"/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0"/>
      <c r="AA184" s="220"/>
      <c r="AB184" s="220"/>
      <c r="AC184" s="220"/>
      <c r="AD184" s="220"/>
      <c r="AE184" s="220"/>
      <c r="AF184" s="220"/>
      <c r="AG184" s="220"/>
      <c r="AH184" s="220"/>
      <c r="AI184" s="220"/>
      <c r="AJ184" s="220"/>
      <c r="AK184" s="220"/>
      <c r="AL184" s="220"/>
      <c r="AM184" s="220"/>
      <c r="AN184" s="220"/>
      <c r="AO184" s="220"/>
      <c r="AP184" s="220"/>
      <c r="AQ184" s="220"/>
      <c r="AR184" s="220"/>
      <c r="AS184" s="220"/>
      <c r="AT184" s="220"/>
      <c r="AU184" s="220"/>
    </row>
    <row r="185" ht="15.75" customHeight="1">
      <c r="A185" s="220"/>
      <c r="B185" s="220"/>
      <c r="C185" s="220"/>
      <c r="D185" s="220"/>
      <c r="E185" s="220"/>
      <c r="F185" s="220"/>
      <c r="G185" s="220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0"/>
      <c r="AA185" s="220"/>
      <c r="AB185" s="220"/>
      <c r="AC185" s="220"/>
      <c r="AD185" s="220"/>
      <c r="AE185" s="220"/>
      <c r="AF185" s="220"/>
      <c r="AG185" s="220"/>
      <c r="AH185" s="220"/>
      <c r="AI185" s="220"/>
      <c r="AJ185" s="220"/>
      <c r="AK185" s="220"/>
      <c r="AL185" s="220"/>
      <c r="AM185" s="220"/>
      <c r="AN185" s="220"/>
      <c r="AO185" s="220"/>
      <c r="AP185" s="220"/>
      <c r="AQ185" s="220"/>
      <c r="AR185" s="220"/>
      <c r="AS185" s="220"/>
      <c r="AT185" s="220"/>
      <c r="AU185" s="220"/>
    </row>
    <row r="186" ht="15.75" customHeight="1">
      <c r="A186" s="220"/>
      <c r="B186" s="220"/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0"/>
      <c r="AA186" s="220"/>
      <c r="AB186" s="220"/>
      <c r="AC186" s="220"/>
      <c r="AD186" s="220"/>
      <c r="AE186" s="220"/>
      <c r="AF186" s="220"/>
      <c r="AG186" s="220"/>
      <c r="AH186" s="220"/>
      <c r="AI186" s="220"/>
      <c r="AJ186" s="220"/>
      <c r="AK186" s="220"/>
      <c r="AL186" s="220"/>
      <c r="AM186" s="220"/>
      <c r="AN186" s="220"/>
      <c r="AO186" s="220"/>
      <c r="AP186" s="220"/>
      <c r="AQ186" s="220"/>
      <c r="AR186" s="220"/>
      <c r="AS186" s="220"/>
      <c r="AT186" s="220"/>
      <c r="AU186" s="220"/>
    </row>
    <row r="187" ht="15.75" customHeight="1">
      <c r="A187" s="220"/>
      <c r="B187" s="220"/>
      <c r="C187" s="220"/>
      <c r="D187" s="220"/>
      <c r="E187" s="220"/>
      <c r="F187" s="220"/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0"/>
      <c r="AA187" s="220"/>
      <c r="AB187" s="220"/>
      <c r="AC187" s="220"/>
      <c r="AD187" s="220"/>
      <c r="AE187" s="220"/>
      <c r="AF187" s="220"/>
      <c r="AG187" s="220"/>
      <c r="AH187" s="220"/>
      <c r="AI187" s="220"/>
      <c r="AJ187" s="220"/>
      <c r="AK187" s="220"/>
      <c r="AL187" s="220"/>
      <c r="AM187" s="220"/>
      <c r="AN187" s="220"/>
      <c r="AO187" s="220"/>
      <c r="AP187" s="220"/>
      <c r="AQ187" s="220"/>
      <c r="AR187" s="220"/>
      <c r="AS187" s="220"/>
      <c r="AT187" s="220"/>
      <c r="AU187" s="220"/>
    </row>
    <row r="188" ht="15.75" customHeight="1">
      <c r="A188" s="220"/>
      <c r="B188" s="220"/>
      <c r="C188" s="220"/>
      <c r="D188" s="220"/>
      <c r="E188" s="220"/>
      <c r="F188" s="220"/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0"/>
      <c r="AA188" s="220"/>
      <c r="AB188" s="220"/>
      <c r="AC188" s="220"/>
      <c r="AD188" s="220"/>
      <c r="AE188" s="220"/>
      <c r="AF188" s="220"/>
      <c r="AG188" s="220"/>
      <c r="AH188" s="220"/>
      <c r="AI188" s="220"/>
      <c r="AJ188" s="220"/>
      <c r="AK188" s="220"/>
      <c r="AL188" s="220"/>
      <c r="AM188" s="220"/>
      <c r="AN188" s="220"/>
      <c r="AO188" s="220"/>
      <c r="AP188" s="220"/>
      <c r="AQ188" s="220"/>
      <c r="AR188" s="220"/>
      <c r="AS188" s="220"/>
      <c r="AT188" s="220"/>
      <c r="AU188" s="220"/>
    </row>
    <row r="189" ht="15.75" customHeight="1">
      <c r="A189" s="220"/>
      <c r="B189" s="220"/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0"/>
      <c r="AA189" s="220"/>
      <c r="AB189" s="220"/>
      <c r="AC189" s="220"/>
      <c r="AD189" s="220"/>
      <c r="AE189" s="220"/>
      <c r="AF189" s="220"/>
      <c r="AG189" s="220"/>
      <c r="AH189" s="220"/>
      <c r="AI189" s="220"/>
      <c r="AJ189" s="220"/>
      <c r="AK189" s="220"/>
      <c r="AL189" s="220"/>
      <c r="AM189" s="220"/>
      <c r="AN189" s="220"/>
      <c r="AO189" s="220"/>
      <c r="AP189" s="220"/>
      <c r="AQ189" s="220"/>
      <c r="AR189" s="220"/>
      <c r="AS189" s="220"/>
      <c r="AT189" s="220"/>
      <c r="AU189" s="220"/>
    </row>
    <row r="190" ht="15.75" customHeight="1">
      <c r="A190" s="220"/>
      <c r="B190" s="220"/>
      <c r="C190" s="220"/>
      <c r="D190" s="220"/>
      <c r="E190" s="220"/>
      <c r="F190" s="220"/>
      <c r="G190" s="220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0"/>
      <c r="AA190" s="220"/>
      <c r="AB190" s="220"/>
      <c r="AC190" s="220"/>
      <c r="AD190" s="220"/>
      <c r="AE190" s="220"/>
      <c r="AF190" s="220"/>
      <c r="AG190" s="220"/>
      <c r="AH190" s="220"/>
      <c r="AI190" s="220"/>
      <c r="AJ190" s="220"/>
      <c r="AK190" s="220"/>
      <c r="AL190" s="220"/>
      <c r="AM190" s="220"/>
      <c r="AN190" s="220"/>
      <c r="AO190" s="220"/>
      <c r="AP190" s="220"/>
      <c r="AQ190" s="220"/>
      <c r="AR190" s="220"/>
      <c r="AS190" s="220"/>
      <c r="AT190" s="220"/>
      <c r="AU190" s="220"/>
    </row>
    <row r="191" ht="15.75" customHeight="1">
      <c r="A191" s="220"/>
      <c r="B191" s="220"/>
      <c r="C191" s="220"/>
      <c r="D191" s="220"/>
      <c r="E191" s="220"/>
      <c r="F191" s="220"/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0"/>
      <c r="AA191" s="220"/>
      <c r="AB191" s="220"/>
      <c r="AC191" s="220"/>
      <c r="AD191" s="220"/>
      <c r="AE191" s="220"/>
      <c r="AF191" s="220"/>
      <c r="AG191" s="220"/>
      <c r="AH191" s="220"/>
      <c r="AI191" s="220"/>
      <c r="AJ191" s="220"/>
      <c r="AK191" s="220"/>
      <c r="AL191" s="220"/>
      <c r="AM191" s="220"/>
      <c r="AN191" s="220"/>
      <c r="AO191" s="220"/>
      <c r="AP191" s="220"/>
      <c r="AQ191" s="220"/>
      <c r="AR191" s="220"/>
      <c r="AS191" s="220"/>
      <c r="AT191" s="220"/>
      <c r="AU191" s="220"/>
    </row>
    <row r="192" ht="15.75" customHeight="1">
      <c r="A192" s="220"/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0"/>
      <c r="AA192" s="220"/>
      <c r="AB192" s="220"/>
      <c r="AC192" s="220"/>
      <c r="AD192" s="220"/>
      <c r="AE192" s="220"/>
      <c r="AF192" s="220"/>
      <c r="AG192" s="220"/>
      <c r="AH192" s="220"/>
      <c r="AI192" s="220"/>
      <c r="AJ192" s="220"/>
      <c r="AK192" s="220"/>
      <c r="AL192" s="220"/>
      <c r="AM192" s="220"/>
      <c r="AN192" s="220"/>
      <c r="AO192" s="220"/>
      <c r="AP192" s="220"/>
      <c r="AQ192" s="220"/>
      <c r="AR192" s="220"/>
      <c r="AS192" s="220"/>
      <c r="AT192" s="220"/>
      <c r="AU192" s="220"/>
    </row>
    <row r="193" ht="15.75" customHeight="1">
      <c r="A193" s="220"/>
      <c r="B193" s="220"/>
      <c r="C193" s="220"/>
      <c r="D193" s="220"/>
      <c r="E193" s="220"/>
      <c r="F193" s="220"/>
      <c r="G193" s="220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0"/>
      <c r="AA193" s="220"/>
      <c r="AB193" s="220"/>
      <c r="AC193" s="220"/>
      <c r="AD193" s="220"/>
      <c r="AE193" s="220"/>
      <c r="AF193" s="220"/>
      <c r="AG193" s="220"/>
      <c r="AH193" s="220"/>
      <c r="AI193" s="220"/>
      <c r="AJ193" s="220"/>
      <c r="AK193" s="220"/>
      <c r="AL193" s="220"/>
      <c r="AM193" s="220"/>
      <c r="AN193" s="220"/>
      <c r="AO193" s="220"/>
      <c r="AP193" s="220"/>
      <c r="AQ193" s="220"/>
      <c r="AR193" s="220"/>
      <c r="AS193" s="220"/>
      <c r="AT193" s="220"/>
      <c r="AU193" s="220"/>
    </row>
    <row r="194" ht="15.75" customHeight="1">
      <c r="A194" s="220"/>
      <c r="B194" s="220"/>
      <c r="C194" s="220"/>
      <c r="D194" s="220"/>
      <c r="E194" s="220"/>
      <c r="F194" s="220"/>
      <c r="G194" s="220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0"/>
      <c r="AA194" s="220"/>
      <c r="AB194" s="220"/>
      <c r="AC194" s="220"/>
      <c r="AD194" s="220"/>
      <c r="AE194" s="220"/>
      <c r="AF194" s="220"/>
      <c r="AG194" s="220"/>
      <c r="AH194" s="220"/>
      <c r="AI194" s="220"/>
      <c r="AJ194" s="220"/>
      <c r="AK194" s="220"/>
      <c r="AL194" s="220"/>
      <c r="AM194" s="220"/>
      <c r="AN194" s="220"/>
      <c r="AO194" s="220"/>
      <c r="AP194" s="220"/>
      <c r="AQ194" s="220"/>
      <c r="AR194" s="220"/>
      <c r="AS194" s="220"/>
      <c r="AT194" s="220"/>
      <c r="AU194" s="220"/>
    </row>
    <row r="195" ht="15.75" customHeight="1">
      <c r="A195" s="220"/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0"/>
      <c r="AA195" s="220"/>
      <c r="AB195" s="220"/>
      <c r="AC195" s="220"/>
      <c r="AD195" s="220"/>
      <c r="AE195" s="220"/>
      <c r="AF195" s="220"/>
      <c r="AG195" s="220"/>
      <c r="AH195" s="220"/>
      <c r="AI195" s="220"/>
      <c r="AJ195" s="220"/>
      <c r="AK195" s="220"/>
      <c r="AL195" s="220"/>
      <c r="AM195" s="220"/>
      <c r="AN195" s="220"/>
      <c r="AO195" s="220"/>
      <c r="AP195" s="220"/>
      <c r="AQ195" s="220"/>
      <c r="AR195" s="220"/>
      <c r="AS195" s="220"/>
      <c r="AT195" s="220"/>
      <c r="AU195" s="220"/>
    </row>
    <row r="196" ht="15.75" customHeight="1">
      <c r="A196" s="220"/>
      <c r="B196" s="220"/>
      <c r="C196" s="220"/>
      <c r="D196" s="220"/>
      <c r="E196" s="220"/>
      <c r="F196" s="220"/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0"/>
      <c r="AA196" s="220"/>
      <c r="AB196" s="220"/>
      <c r="AC196" s="220"/>
      <c r="AD196" s="220"/>
      <c r="AE196" s="220"/>
      <c r="AF196" s="220"/>
      <c r="AG196" s="220"/>
      <c r="AH196" s="220"/>
      <c r="AI196" s="220"/>
      <c r="AJ196" s="220"/>
      <c r="AK196" s="220"/>
      <c r="AL196" s="220"/>
      <c r="AM196" s="220"/>
      <c r="AN196" s="220"/>
      <c r="AO196" s="220"/>
      <c r="AP196" s="220"/>
      <c r="AQ196" s="220"/>
      <c r="AR196" s="220"/>
      <c r="AS196" s="220"/>
      <c r="AT196" s="220"/>
      <c r="AU196" s="220"/>
    </row>
    <row r="197" ht="15.75" customHeight="1">
      <c r="A197" s="220"/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0"/>
      <c r="AA197" s="220"/>
      <c r="AB197" s="220"/>
      <c r="AC197" s="220"/>
      <c r="AD197" s="220"/>
      <c r="AE197" s="220"/>
      <c r="AF197" s="220"/>
      <c r="AG197" s="220"/>
      <c r="AH197" s="220"/>
      <c r="AI197" s="220"/>
      <c r="AJ197" s="220"/>
      <c r="AK197" s="220"/>
      <c r="AL197" s="220"/>
      <c r="AM197" s="220"/>
      <c r="AN197" s="220"/>
      <c r="AO197" s="220"/>
      <c r="AP197" s="220"/>
      <c r="AQ197" s="220"/>
      <c r="AR197" s="220"/>
      <c r="AS197" s="220"/>
      <c r="AT197" s="220"/>
      <c r="AU197" s="220"/>
    </row>
    <row r="198" ht="15.75" customHeight="1">
      <c r="A198" s="220"/>
      <c r="B198" s="220"/>
      <c r="C198" s="220"/>
      <c r="D198" s="220"/>
      <c r="E198" s="220"/>
      <c r="F198" s="220"/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0"/>
      <c r="AA198" s="220"/>
      <c r="AB198" s="220"/>
      <c r="AC198" s="220"/>
      <c r="AD198" s="220"/>
      <c r="AE198" s="220"/>
      <c r="AF198" s="220"/>
      <c r="AG198" s="220"/>
      <c r="AH198" s="220"/>
      <c r="AI198" s="220"/>
      <c r="AJ198" s="220"/>
      <c r="AK198" s="220"/>
      <c r="AL198" s="220"/>
      <c r="AM198" s="220"/>
      <c r="AN198" s="220"/>
      <c r="AO198" s="220"/>
      <c r="AP198" s="220"/>
      <c r="AQ198" s="220"/>
      <c r="AR198" s="220"/>
      <c r="AS198" s="220"/>
      <c r="AT198" s="220"/>
      <c r="AU198" s="220"/>
    </row>
    <row r="199" ht="15.75" customHeight="1">
      <c r="A199" s="220"/>
      <c r="B199" s="220"/>
      <c r="C199" s="220"/>
      <c r="D199" s="220"/>
      <c r="E199" s="220"/>
      <c r="F199" s="220"/>
      <c r="G199" s="220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0"/>
      <c r="AA199" s="220"/>
      <c r="AB199" s="220"/>
      <c r="AC199" s="220"/>
      <c r="AD199" s="220"/>
      <c r="AE199" s="220"/>
      <c r="AF199" s="220"/>
      <c r="AG199" s="220"/>
      <c r="AH199" s="220"/>
      <c r="AI199" s="220"/>
      <c r="AJ199" s="220"/>
      <c r="AK199" s="220"/>
      <c r="AL199" s="220"/>
      <c r="AM199" s="220"/>
      <c r="AN199" s="220"/>
      <c r="AO199" s="220"/>
      <c r="AP199" s="220"/>
      <c r="AQ199" s="220"/>
      <c r="AR199" s="220"/>
      <c r="AS199" s="220"/>
      <c r="AT199" s="220"/>
      <c r="AU199" s="220"/>
    </row>
    <row r="200" ht="15.75" customHeight="1">
      <c r="A200" s="220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0"/>
      <c r="AA200" s="220"/>
      <c r="AB200" s="220"/>
      <c r="AC200" s="220"/>
      <c r="AD200" s="220"/>
      <c r="AE200" s="220"/>
      <c r="AF200" s="220"/>
      <c r="AG200" s="220"/>
      <c r="AH200" s="220"/>
      <c r="AI200" s="220"/>
      <c r="AJ200" s="220"/>
      <c r="AK200" s="220"/>
      <c r="AL200" s="220"/>
      <c r="AM200" s="220"/>
      <c r="AN200" s="220"/>
      <c r="AO200" s="220"/>
      <c r="AP200" s="220"/>
      <c r="AQ200" s="220"/>
      <c r="AR200" s="220"/>
      <c r="AS200" s="220"/>
      <c r="AT200" s="220"/>
      <c r="AU200" s="220"/>
    </row>
    <row r="201" ht="15.75" customHeight="1">
      <c r="A201" s="220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0"/>
      <c r="AA201" s="220"/>
      <c r="AB201" s="220"/>
      <c r="AC201" s="220"/>
      <c r="AD201" s="220"/>
      <c r="AE201" s="220"/>
      <c r="AF201" s="220"/>
      <c r="AG201" s="220"/>
      <c r="AH201" s="220"/>
      <c r="AI201" s="220"/>
      <c r="AJ201" s="220"/>
      <c r="AK201" s="220"/>
      <c r="AL201" s="220"/>
      <c r="AM201" s="220"/>
      <c r="AN201" s="220"/>
      <c r="AO201" s="220"/>
      <c r="AP201" s="220"/>
      <c r="AQ201" s="220"/>
      <c r="AR201" s="220"/>
      <c r="AS201" s="220"/>
      <c r="AT201" s="220"/>
      <c r="AU201" s="220"/>
    </row>
    <row r="202" ht="15.75" customHeight="1">
      <c r="A202" s="22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0"/>
      <c r="AA202" s="220"/>
      <c r="AB202" s="220"/>
      <c r="AC202" s="220"/>
      <c r="AD202" s="220"/>
      <c r="AE202" s="220"/>
      <c r="AF202" s="220"/>
      <c r="AG202" s="220"/>
      <c r="AH202" s="220"/>
      <c r="AI202" s="220"/>
      <c r="AJ202" s="220"/>
      <c r="AK202" s="220"/>
      <c r="AL202" s="220"/>
      <c r="AM202" s="220"/>
      <c r="AN202" s="220"/>
      <c r="AO202" s="220"/>
      <c r="AP202" s="220"/>
      <c r="AQ202" s="220"/>
      <c r="AR202" s="220"/>
      <c r="AS202" s="220"/>
      <c r="AT202" s="220"/>
      <c r="AU202" s="220"/>
    </row>
    <row r="203" ht="15.75" customHeight="1">
      <c r="A203" s="220"/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0"/>
      <c r="AA203" s="220"/>
      <c r="AB203" s="220"/>
      <c r="AC203" s="220"/>
      <c r="AD203" s="220"/>
      <c r="AE203" s="220"/>
      <c r="AF203" s="220"/>
      <c r="AG203" s="220"/>
      <c r="AH203" s="220"/>
      <c r="AI203" s="220"/>
      <c r="AJ203" s="220"/>
      <c r="AK203" s="220"/>
      <c r="AL203" s="220"/>
      <c r="AM203" s="220"/>
      <c r="AN203" s="220"/>
      <c r="AO203" s="220"/>
      <c r="AP203" s="220"/>
      <c r="AQ203" s="220"/>
      <c r="AR203" s="220"/>
      <c r="AS203" s="220"/>
      <c r="AT203" s="220"/>
      <c r="AU203" s="220"/>
    </row>
    <row r="204" ht="15.75" customHeight="1">
      <c r="A204" s="220"/>
      <c r="B204" s="220"/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0"/>
      <c r="AA204" s="220"/>
      <c r="AB204" s="220"/>
      <c r="AC204" s="220"/>
      <c r="AD204" s="220"/>
      <c r="AE204" s="220"/>
      <c r="AF204" s="220"/>
      <c r="AG204" s="220"/>
      <c r="AH204" s="220"/>
      <c r="AI204" s="220"/>
      <c r="AJ204" s="220"/>
      <c r="AK204" s="220"/>
      <c r="AL204" s="220"/>
      <c r="AM204" s="220"/>
      <c r="AN204" s="220"/>
      <c r="AO204" s="220"/>
      <c r="AP204" s="220"/>
      <c r="AQ204" s="220"/>
      <c r="AR204" s="220"/>
      <c r="AS204" s="220"/>
      <c r="AT204" s="220"/>
      <c r="AU204" s="220"/>
    </row>
    <row r="205" ht="15.75" customHeight="1">
      <c r="A205" s="220"/>
      <c r="B205" s="220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0"/>
      <c r="AA205" s="220"/>
      <c r="AB205" s="220"/>
      <c r="AC205" s="220"/>
      <c r="AD205" s="220"/>
      <c r="AE205" s="220"/>
      <c r="AF205" s="220"/>
      <c r="AG205" s="220"/>
      <c r="AH205" s="220"/>
      <c r="AI205" s="220"/>
      <c r="AJ205" s="220"/>
      <c r="AK205" s="220"/>
      <c r="AL205" s="220"/>
      <c r="AM205" s="220"/>
      <c r="AN205" s="220"/>
      <c r="AO205" s="220"/>
      <c r="AP205" s="220"/>
      <c r="AQ205" s="220"/>
      <c r="AR205" s="220"/>
      <c r="AS205" s="220"/>
      <c r="AT205" s="220"/>
      <c r="AU205" s="220"/>
    </row>
    <row r="206" ht="15.75" customHeight="1">
      <c r="A206" s="220"/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0"/>
      <c r="AA206" s="220"/>
      <c r="AB206" s="220"/>
      <c r="AC206" s="220"/>
      <c r="AD206" s="220"/>
      <c r="AE206" s="220"/>
      <c r="AF206" s="220"/>
      <c r="AG206" s="220"/>
      <c r="AH206" s="220"/>
      <c r="AI206" s="220"/>
      <c r="AJ206" s="220"/>
      <c r="AK206" s="220"/>
      <c r="AL206" s="220"/>
      <c r="AM206" s="220"/>
      <c r="AN206" s="220"/>
      <c r="AO206" s="220"/>
      <c r="AP206" s="220"/>
      <c r="AQ206" s="220"/>
      <c r="AR206" s="220"/>
      <c r="AS206" s="220"/>
      <c r="AT206" s="220"/>
      <c r="AU206" s="220"/>
    </row>
    <row r="207" ht="15.75" customHeight="1">
      <c r="A207" s="22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0"/>
      <c r="AA207" s="220"/>
      <c r="AB207" s="220"/>
      <c r="AC207" s="220"/>
      <c r="AD207" s="220"/>
      <c r="AE207" s="220"/>
      <c r="AF207" s="220"/>
      <c r="AG207" s="220"/>
      <c r="AH207" s="220"/>
      <c r="AI207" s="220"/>
      <c r="AJ207" s="220"/>
      <c r="AK207" s="220"/>
      <c r="AL207" s="220"/>
      <c r="AM207" s="220"/>
      <c r="AN207" s="220"/>
      <c r="AO207" s="220"/>
      <c r="AP207" s="220"/>
      <c r="AQ207" s="220"/>
      <c r="AR207" s="220"/>
      <c r="AS207" s="220"/>
      <c r="AT207" s="220"/>
      <c r="AU207" s="220"/>
    </row>
    <row r="208" ht="15.75" customHeight="1">
      <c r="A208" s="220"/>
      <c r="B208" s="220"/>
      <c r="C208" s="220"/>
      <c r="D208" s="220"/>
      <c r="E208" s="220"/>
      <c r="F208" s="220"/>
      <c r="G208" s="220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0"/>
      <c r="AA208" s="220"/>
      <c r="AB208" s="220"/>
      <c r="AC208" s="220"/>
      <c r="AD208" s="220"/>
      <c r="AE208" s="220"/>
      <c r="AF208" s="220"/>
      <c r="AG208" s="220"/>
      <c r="AH208" s="220"/>
      <c r="AI208" s="220"/>
      <c r="AJ208" s="220"/>
      <c r="AK208" s="220"/>
      <c r="AL208" s="220"/>
      <c r="AM208" s="220"/>
      <c r="AN208" s="220"/>
      <c r="AO208" s="220"/>
      <c r="AP208" s="220"/>
      <c r="AQ208" s="220"/>
      <c r="AR208" s="220"/>
      <c r="AS208" s="220"/>
      <c r="AT208" s="220"/>
      <c r="AU208" s="220"/>
    </row>
    <row r="209" ht="15.75" customHeight="1">
      <c r="A209" s="220"/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0"/>
      <c r="AA209" s="220"/>
      <c r="AB209" s="220"/>
      <c r="AC209" s="220"/>
      <c r="AD209" s="220"/>
      <c r="AE209" s="220"/>
      <c r="AF209" s="220"/>
      <c r="AG209" s="220"/>
      <c r="AH209" s="220"/>
      <c r="AI209" s="220"/>
      <c r="AJ209" s="220"/>
      <c r="AK209" s="220"/>
      <c r="AL209" s="220"/>
      <c r="AM209" s="220"/>
      <c r="AN209" s="220"/>
      <c r="AO209" s="220"/>
      <c r="AP209" s="220"/>
      <c r="AQ209" s="220"/>
      <c r="AR209" s="220"/>
      <c r="AS209" s="220"/>
      <c r="AT209" s="220"/>
      <c r="AU209" s="220"/>
    </row>
    <row r="210" ht="15.75" customHeight="1">
      <c r="A210" s="220"/>
      <c r="B210" s="220"/>
      <c r="C210" s="220"/>
      <c r="D210" s="220"/>
      <c r="E210" s="220"/>
      <c r="F210" s="220"/>
      <c r="G210" s="220"/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0"/>
      <c r="AA210" s="220"/>
      <c r="AB210" s="220"/>
      <c r="AC210" s="220"/>
      <c r="AD210" s="220"/>
      <c r="AE210" s="220"/>
      <c r="AF210" s="220"/>
      <c r="AG210" s="220"/>
      <c r="AH210" s="220"/>
      <c r="AI210" s="220"/>
      <c r="AJ210" s="220"/>
      <c r="AK210" s="220"/>
      <c r="AL210" s="220"/>
      <c r="AM210" s="220"/>
      <c r="AN210" s="220"/>
      <c r="AO210" s="220"/>
      <c r="AP210" s="220"/>
      <c r="AQ210" s="220"/>
      <c r="AR210" s="220"/>
      <c r="AS210" s="220"/>
      <c r="AT210" s="220"/>
      <c r="AU210" s="220"/>
    </row>
    <row r="211" ht="15.75" customHeight="1">
      <c r="A211" s="220"/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0"/>
      <c r="AA211" s="220"/>
      <c r="AB211" s="220"/>
      <c r="AC211" s="220"/>
      <c r="AD211" s="220"/>
      <c r="AE211" s="220"/>
      <c r="AF211" s="220"/>
      <c r="AG211" s="220"/>
      <c r="AH211" s="220"/>
      <c r="AI211" s="220"/>
      <c r="AJ211" s="220"/>
      <c r="AK211" s="220"/>
      <c r="AL211" s="220"/>
      <c r="AM211" s="220"/>
      <c r="AN211" s="220"/>
      <c r="AO211" s="220"/>
      <c r="AP211" s="220"/>
      <c r="AQ211" s="220"/>
      <c r="AR211" s="220"/>
      <c r="AS211" s="220"/>
      <c r="AT211" s="220"/>
      <c r="AU211" s="220"/>
    </row>
    <row r="212" ht="15.75" customHeight="1">
      <c r="A212" s="220"/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0"/>
      <c r="AA212" s="220"/>
      <c r="AB212" s="220"/>
      <c r="AC212" s="220"/>
      <c r="AD212" s="220"/>
      <c r="AE212" s="220"/>
      <c r="AF212" s="220"/>
      <c r="AG212" s="220"/>
      <c r="AH212" s="220"/>
      <c r="AI212" s="220"/>
      <c r="AJ212" s="220"/>
      <c r="AK212" s="220"/>
      <c r="AL212" s="220"/>
      <c r="AM212" s="220"/>
      <c r="AN212" s="220"/>
      <c r="AO212" s="220"/>
      <c r="AP212" s="220"/>
      <c r="AQ212" s="220"/>
      <c r="AR212" s="220"/>
      <c r="AS212" s="220"/>
      <c r="AT212" s="220"/>
      <c r="AU212" s="220"/>
    </row>
    <row r="213" ht="15.75" customHeight="1">
      <c r="A213" s="220"/>
      <c r="B213" s="220"/>
      <c r="C213" s="220"/>
      <c r="D213" s="220"/>
      <c r="E213" s="220"/>
      <c r="F213" s="220"/>
      <c r="G213" s="220"/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0"/>
      <c r="AA213" s="220"/>
      <c r="AB213" s="220"/>
      <c r="AC213" s="220"/>
      <c r="AD213" s="220"/>
      <c r="AE213" s="220"/>
      <c r="AF213" s="220"/>
      <c r="AG213" s="220"/>
      <c r="AH213" s="220"/>
      <c r="AI213" s="220"/>
      <c r="AJ213" s="220"/>
      <c r="AK213" s="220"/>
      <c r="AL213" s="220"/>
      <c r="AM213" s="220"/>
      <c r="AN213" s="220"/>
      <c r="AO213" s="220"/>
      <c r="AP213" s="220"/>
      <c r="AQ213" s="220"/>
      <c r="AR213" s="220"/>
      <c r="AS213" s="220"/>
      <c r="AT213" s="220"/>
      <c r="AU213" s="220"/>
    </row>
    <row r="214" ht="15.75" customHeight="1">
      <c r="A214" s="220"/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0"/>
      <c r="AA214" s="220"/>
      <c r="AB214" s="220"/>
      <c r="AC214" s="220"/>
      <c r="AD214" s="220"/>
      <c r="AE214" s="220"/>
      <c r="AF214" s="220"/>
      <c r="AG214" s="220"/>
      <c r="AH214" s="220"/>
      <c r="AI214" s="220"/>
      <c r="AJ214" s="220"/>
      <c r="AK214" s="220"/>
      <c r="AL214" s="220"/>
      <c r="AM214" s="220"/>
      <c r="AN214" s="220"/>
      <c r="AO214" s="220"/>
      <c r="AP214" s="220"/>
      <c r="AQ214" s="220"/>
      <c r="AR214" s="220"/>
      <c r="AS214" s="220"/>
      <c r="AT214" s="220"/>
      <c r="AU214" s="220"/>
    </row>
    <row r="215" ht="15.75" customHeight="1">
      <c r="A215" s="220"/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0"/>
      <c r="AA215" s="220"/>
      <c r="AB215" s="220"/>
      <c r="AC215" s="220"/>
      <c r="AD215" s="220"/>
      <c r="AE215" s="220"/>
      <c r="AF215" s="220"/>
      <c r="AG215" s="220"/>
      <c r="AH215" s="220"/>
      <c r="AI215" s="220"/>
      <c r="AJ215" s="220"/>
      <c r="AK215" s="220"/>
      <c r="AL215" s="220"/>
      <c r="AM215" s="220"/>
      <c r="AN215" s="220"/>
      <c r="AO215" s="220"/>
      <c r="AP215" s="220"/>
      <c r="AQ215" s="220"/>
      <c r="AR215" s="220"/>
      <c r="AS215" s="220"/>
      <c r="AT215" s="220"/>
      <c r="AU215" s="220"/>
    </row>
    <row r="216" ht="15.75" customHeight="1">
      <c r="A216" s="220"/>
      <c r="B216" s="220"/>
      <c r="C216" s="220"/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0"/>
      <c r="AA216" s="220"/>
      <c r="AB216" s="220"/>
      <c r="AC216" s="220"/>
      <c r="AD216" s="220"/>
      <c r="AE216" s="220"/>
      <c r="AF216" s="220"/>
      <c r="AG216" s="220"/>
      <c r="AH216" s="220"/>
      <c r="AI216" s="220"/>
      <c r="AJ216" s="220"/>
      <c r="AK216" s="220"/>
      <c r="AL216" s="220"/>
      <c r="AM216" s="220"/>
      <c r="AN216" s="220"/>
      <c r="AO216" s="220"/>
      <c r="AP216" s="220"/>
      <c r="AQ216" s="220"/>
      <c r="AR216" s="220"/>
      <c r="AS216" s="220"/>
      <c r="AT216" s="220"/>
      <c r="AU216" s="220"/>
    </row>
    <row r="217" ht="15.75" customHeight="1">
      <c r="A217" s="220"/>
      <c r="B217" s="220"/>
      <c r="C217" s="220"/>
      <c r="D217" s="220"/>
      <c r="E217" s="220"/>
      <c r="F217" s="220"/>
      <c r="G217" s="220"/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0"/>
      <c r="AA217" s="220"/>
      <c r="AB217" s="220"/>
      <c r="AC217" s="220"/>
      <c r="AD217" s="220"/>
      <c r="AE217" s="220"/>
      <c r="AF217" s="220"/>
      <c r="AG217" s="220"/>
      <c r="AH217" s="220"/>
      <c r="AI217" s="220"/>
      <c r="AJ217" s="220"/>
      <c r="AK217" s="220"/>
      <c r="AL217" s="220"/>
      <c r="AM217" s="220"/>
      <c r="AN217" s="220"/>
      <c r="AO217" s="220"/>
      <c r="AP217" s="220"/>
      <c r="AQ217" s="220"/>
      <c r="AR217" s="220"/>
      <c r="AS217" s="220"/>
      <c r="AT217" s="220"/>
      <c r="AU217" s="220"/>
    </row>
    <row r="218" ht="15.75" customHeight="1">
      <c r="A218" s="220"/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0"/>
      <c r="AA218" s="220"/>
      <c r="AB218" s="220"/>
      <c r="AC218" s="220"/>
      <c r="AD218" s="220"/>
      <c r="AE218" s="220"/>
      <c r="AF218" s="220"/>
      <c r="AG218" s="220"/>
      <c r="AH218" s="220"/>
      <c r="AI218" s="220"/>
      <c r="AJ218" s="220"/>
      <c r="AK218" s="220"/>
      <c r="AL218" s="220"/>
      <c r="AM218" s="220"/>
      <c r="AN218" s="220"/>
      <c r="AO218" s="220"/>
      <c r="AP218" s="220"/>
      <c r="AQ218" s="220"/>
      <c r="AR218" s="220"/>
      <c r="AS218" s="220"/>
      <c r="AT218" s="220"/>
      <c r="AU218" s="220"/>
    </row>
    <row r="219" ht="15.75" customHeight="1">
      <c r="A219" s="220"/>
      <c r="B219" s="220"/>
      <c r="C219" s="220"/>
      <c r="D219" s="220"/>
      <c r="E219" s="220"/>
      <c r="F219" s="220"/>
      <c r="G219" s="220"/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0"/>
      <c r="AA219" s="220"/>
      <c r="AB219" s="220"/>
      <c r="AC219" s="220"/>
      <c r="AD219" s="220"/>
      <c r="AE219" s="220"/>
      <c r="AF219" s="220"/>
      <c r="AG219" s="220"/>
      <c r="AH219" s="220"/>
      <c r="AI219" s="220"/>
      <c r="AJ219" s="220"/>
      <c r="AK219" s="220"/>
      <c r="AL219" s="220"/>
      <c r="AM219" s="220"/>
      <c r="AN219" s="220"/>
      <c r="AO219" s="220"/>
      <c r="AP219" s="220"/>
      <c r="AQ219" s="220"/>
      <c r="AR219" s="220"/>
      <c r="AS219" s="220"/>
      <c r="AT219" s="220"/>
      <c r="AU219" s="220"/>
    </row>
    <row r="220" ht="15.75" customHeight="1">
      <c r="A220" s="22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0"/>
      <c r="AA220" s="220"/>
      <c r="AB220" s="220"/>
      <c r="AC220" s="220"/>
      <c r="AD220" s="220"/>
      <c r="AE220" s="220"/>
      <c r="AF220" s="220"/>
      <c r="AG220" s="220"/>
      <c r="AH220" s="220"/>
      <c r="AI220" s="220"/>
      <c r="AJ220" s="220"/>
      <c r="AK220" s="220"/>
      <c r="AL220" s="220"/>
      <c r="AM220" s="220"/>
      <c r="AN220" s="220"/>
      <c r="AO220" s="220"/>
      <c r="AP220" s="220"/>
      <c r="AQ220" s="220"/>
      <c r="AR220" s="220"/>
      <c r="AS220" s="220"/>
      <c r="AT220" s="220"/>
      <c r="AU220" s="220"/>
    </row>
    <row r="221" ht="15.75" customHeight="1">
      <c r="A221" s="220"/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0"/>
      <c r="AA221" s="220"/>
      <c r="AB221" s="220"/>
      <c r="AC221" s="220"/>
      <c r="AD221" s="220"/>
      <c r="AE221" s="220"/>
      <c r="AF221" s="220"/>
      <c r="AG221" s="220"/>
      <c r="AH221" s="220"/>
      <c r="AI221" s="220"/>
      <c r="AJ221" s="220"/>
      <c r="AK221" s="220"/>
      <c r="AL221" s="220"/>
      <c r="AM221" s="220"/>
      <c r="AN221" s="220"/>
      <c r="AO221" s="220"/>
      <c r="AP221" s="220"/>
      <c r="AQ221" s="220"/>
      <c r="AR221" s="220"/>
      <c r="AS221" s="220"/>
      <c r="AT221" s="220"/>
      <c r="AU221" s="220"/>
    </row>
    <row r="222" ht="15.75" customHeight="1">
      <c r="A222" s="220"/>
      <c r="B222" s="220"/>
      <c r="C222" s="220"/>
      <c r="D222" s="220"/>
      <c r="E222" s="220"/>
      <c r="F222" s="220"/>
      <c r="G222" s="220"/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0"/>
      <c r="AA222" s="220"/>
      <c r="AB222" s="220"/>
      <c r="AC222" s="220"/>
      <c r="AD222" s="220"/>
      <c r="AE222" s="220"/>
      <c r="AF222" s="220"/>
      <c r="AG222" s="220"/>
      <c r="AH222" s="220"/>
      <c r="AI222" s="220"/>
      <c r="AJ222" s="220"/>
      <c r="AK222" s="220"/>
      <c r="AL222" s="220"/>
      <c r="AM222" s="220"/>
      <c r="AN222" s="220"/>
      <c r="AO222" s="220"/>
      <c r="AP222" s="220"/>
      <c r="AQ222" s="220"/>
      <c r="AR222" s="220"/>
      <c r="AS222" s="220"/>
      <c r="AT222" s="220"/>
      <c r="AU222" s="220"/>
    </row>
    <row r="223" ht="15.75" customHeight="1">
      <c r="A223" s="220"/>
      <c r="B223" s="220"/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0"/>
      <c r="AA223" s="220"/>
      <c r="AB223" s="220"/>
      <c r="AC223" s="220"/>
      <c r="AD223" s="220"/>
      <c r="AE223" s="220"/>
      <c r="AF223" s="220"/>
      <c r="AG223" s="220"/>
      <c r="AH223" s="220"/>
      <c r="AI223" s="220"/>
      <c r="AJ223" s="220"/>
      <c r="AK223" s="220"/>
      <c r="AL223" s="220"/>
      <c r="AM223" s="220"/>
      <c r="AN223" s="220"/>
      <c r="AO223" s="220"/>
      <c r="AP223" s="220"/>
      <c r="AQ223" s="220"/>
      <c r="AR223" s="220"/>
      <c r="AS223" s="220"/>
      <c r="AT223" s="220"/>
      <c r="AU223" s="220"/>
    </row>
    <row r="224" ht="15.75" customHeight="1">
      <c r="A224" s="220"/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0"/>
      <c r="AA224" s="220"/>
      <c r="AB224" s="220"/>
      <c r="AC224" s="220"/>
      <c r="AD224" s="220"/>
      <c r="AE224" s="220"/>
      <c r="AF224" s="220"/>
      <c r="AG224" s="220"/>
      <c r="AH224" s="220"/>
      <c r="AI224" s="220"/>
      <c r="AJ224" s="220"/>
      <c r="AK224" s="220"/>
      <c r="AL224" s="220"/>
      <c r="AM224" s="220"/>
      <c r="AN224" s="220"/>
      <c r="AO224" s="220"/>
      <c r="AP224" s="220"/>
      <c r="AQ224" s="220"/>
      <c r="AR224" s="220"/>
      <c r="AS224" s="220"/>
      <c r="AT224" s="220"/>
      <c r="AU224" s="220"/>
    </row>
    <row r="225" ht="15.75" customHeight="1">
      <c r="A225" s="220"/>
      <c r="B225" s="220"/>
      <c r="C225" s="220"/>
      <c r="D225" s="220"/>
      <c r="E225" s="220"/>
      <c r="F225" s="220"/>
      <c r="G225" s="220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0"/>
      <c r="AA225" s="220"/>
      <c r="AB225" s="220"/>
      <c r="AC225" s="220"/>
      <c r="AD225" s="220"/>
      <c r="AE225" s="220"/>
      <c r="AF225" s="220"/>
      <c r="AG225" s="220"/>
      <c r="AH225" s="220"/>
      <c r="AI225" s="220"/>
      <c r="AJ225" s="220"/>
      <c r="AK225" s="220"/>
      <c r="AL225" s="220"/>
      <c r="AM225" s="220"/>
      <c r="AN225" s="220"/>
      <c r="AO225" s="220"/>
      <c r="AP225" s="220"/>
      <c r="AQ225" s="220"/>
      <c r="AR225" s="220"/>
      <c r="AS225" s="220"/>
      <c r="AT225" s="220"/>
      <c r="AU225" s="220"/>
    </row>
    <row r="226" ht="15.75" customHeight="1">
      <c r="A226" s="220"/>
      <c r="B226" s="220"/>
      <c r="C226" s="220"/>
      <c r="D226" s="220"/>
      <c r="E226" s="220"/>
      <c r="F226" s="220"/>
      <c r="G226" s="220"/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0"/>
      <c r="AA226" s="220"/>
      <c r="AB226" s="220"/>
      <c r="AC226" s="220"/>
      <c r="AD226" s="220"/>
      <c r="AE226" s="220"/>
      <c r="AF226" s="220"/>
      <c r="AG226" s="220"/>
      <c r="AH226" s="220"/>
      <c r="AI226" s="220"/>
      <c r="AJ226" s="220"/>
      <c r="AK226" s="220"/>
      <c r="AL226" s="220"/>
      <c r="AM226" s="220"/>
      <c r="AN226" s="220"/>
      <c r="AO226" s="220"/>
      <c r="AP226" s="220"/>
      <c r="AQ226" s="220"/>
      <c r="AR226" s="220"/>
      <c r="AS226" s="220"/>
      <c r="AT226" s="220"/>
      <c r="AU226" s="220"/>
    </row>
    <row r="227" ht="15.75" customHeight="1">
      <c r="A227" s="220"/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0"/>
      <c r="AA227" s="220"/>
      <c r="AB227" s="220"/>
      <c r="AC227" s="220"/>
      <c r="AD227" s="220"/>
      <c r="AE227" s="220"/>
      <c r="AF227" s="220"/>
      <c r="AG227" s="220"/>
      <c r="AH227" s="220"/>
      <c r="AI227" s="220"/>
      <c r="AJ227" s="220"/>
      <c r="AK227" s="220"/>
      <c r="AL227" s="220"/>
      <c r="AM227" s="220"/>
      <c r="AN227" s="220"/>
      <c r="AO227" s="220"/>
      <c r="AP227" s="220"/>
      <c r="AQ227" s="220"/>
      <c r="AR227" s="220"/>
      <c r="AS227" s="220"/>
      <c r="AT227" s="220"/>
      <c r="AU227" s="220"/>
    </row>
    <row r="228" ht="15.75" customHeight="1">
      <c r="A228" s="220"/>
      <c r="B228" s="220"/>
      <c r="C228" s="220"/>
      <c r="D228" s="220"/>
      <c r="E228" s="220"/>
      <c r="F228" s="220"/>
      <c r="G228" s="220"/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0"/>
      <c r="AA228" s="220"/>
      <c r="AB228" s="220"/>
      <c r="AC228" s="220"/>
      <c r="AD228" s="220"/>
      <c r="AE228" s="220"/>
      <c r="AF228" s="220"/>
      <c r="AG228" s="220"/>
      <c r="AH228" s="220"/>
      <c r="AI228" s="220"/>
      <c r="AJ228" s="220"/>
      <c r="AK228" s="220"/>
      <c r="AL228" s="220"/>
      <c r="AM228" s="220"/>
      <c r="AN228" s="220"/>
      <c r="AO228" s="220"/>
      <c r="AP228" s="220"/>
      <c r="AQ228" s="220"/>
      <c r="AR228" s="220"/>
      <c r="AS228" s="220"/>
      <c r="AT228" s="220"/>
      <c r="AU228" s="220"/>
    </row>
    <row r="229" ht="15.75" customHeight="1">
      <c r="A229" s="220"/>
      <c r="B229" s="220"/>
      <c r="C229" s="220"/>
      <c r="D229" s="220"/>
      <c r="E229" s="220"/>
      <c r="F229" s="220"/>
      <c r="G229" s="220"/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0"/>
      <c r="AA229" s="220"/>
      <c r="AB229" s="220"/>
      <c r="AC229" s="220"/>
      <c r="AD229" s="220"/>
      <c r="AE229" s="220"/>
      <c r="AF229" s="220"/>
      <c r="AG229" s="220"/>
      <c r="AH229" s="220"/>
      <c r="AI229" s="220"/>
      <c r="AJ229" s="220"/>
      <c r="AK229" s="220"/>
      <c r="AL229" s="220"/>
      <c r="AM229" s="220"/>
      <c r="AN229" s="220"/>
      <c r="AO229" s="220"/>
      <c r="AP229" s="220"/>
      <c r="AQ229" s="220"/>
      <c r="AR229" s="220"/>
      <c r="AS229" s="220"/>
      <c r="AT229" s="220"/>
      <c r="AU229" s="220"/>
    </row>
    <row r="230" ht="15.75" customHeight="1">
      <c r="A230" s="220"/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0"/>
      <c r="AA230" s="220"/>
      <c r="AB230" s="220"/>
      <c r="AC230" s="220"/>
      <c r="AD230" s="220"/>
      <c r="AE230" s="220"/>
      <c r="AF230" s="220"/>
      <c r="AG230" s="220"/>
      <c r="AH230" s="220"/>
      <c r="AI230" s="220"/>
      <c r="AJ230" s="220"/>
      <c r="AK230" s="220"/>
      <c r="AL230" s="220"/>
      <c r="AM230" s="220"/>
      <c r="AN230" s="220"/>
      <c r="AO230" s="220"/>
      <c r="AP230" s="220"/>
      <c r="AQ230" s="220"/>
      <c r="AR230" s="220"/>
      <c r="AS230" s="220"/>
      <c r="AT230" s="220"/>
      <c r="AU230" s="220"/>
    </row>
    <row r="231" ht="15.75" customHeight="1">
      <c r="A231" s="220"/>
      <c r="B231" s="220"/>
      <c r="C231" s="220"/>
      <c r="D231" s="220"/>
      <c r="E231" s="220"/>
      <c r="F231" s="220"/>
      <c r="G231" s="220"/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0"/>
      <c r="AA231" s="220"/>
      <c r="AB231" s="220"/>
      <c r="AC231" s="220"/>
      <c r="AD231" s="220"/>
      <c r="AE231" s="220"/>
      <c r="AF231" s="220"/>
      <c r="AG231" s="220"/>
      <c r="AH231" s="220"/>
      <c r="AI231" s="220"/>
      <c r="AJ231" s="220"/>
      <c r="AK231" s="220"/>
      <c r="AL231" s="220"/>
      <c r="AM231" s="220"/>
      <c r="AN231" s="220"/>
      <c r="AO231" s="220"/>
      <c r="AP231" s="220"/>
      <c r="AQ231" s="220"/>
      <c r="AR231" s="220"/>
      <c r="AS231" s="220"/>
      <c r="AT231" s="220"/>
      <c r="AU231" s="220"/>
    </row>
    <row r="232" ht="15.75" customHeight="1">
      <c r="A232" s="220"/>
      <c r="B232" s="220"/>
      <c r="C232" s="220"/>
      <c r="D232" s="220"/>
      <c r="E232" s="220"/>
      <c r="F232" s="220"/>
      <c r="G232" s="220"/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0"/>
      <c r="AA232" s="220"/>
      <c r="AB232" s="220"/>
      <c r="AC232" s="220"/>
      <c r="AD232" s="220"/>
      <c r="AE232" s="220"/>
      <c r="AF232" s="220"/>
      <c r="AG232" s="220"/>
      <c r="AH232" s="220"/>
      <c r="AI232" s="220"/>
      <c r="AJ232" s="220"/>
      <c r="AK232" s="220"/>
      <c r="AL232" s="220"/>
      <c r="AM232" s="220"/>
      <c r="AN232" s="220"/>
      <c r="AO232" s="220"/>
      <c r="AP232" s="220"/>
      <c r="AQ232" s="220"/>
      <c r="AR232" s="220"/>
      <c r="AS232" s="220"/>
      <c r="AT232" s="220"/>
      <c r="AU232" s="220"/>
    </row>
    <row r="233" ht="15.75" customHeight="1">
      <c r="A233" s="220"/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0"/>
      <c r="AA233" s="220"/>
      <c r="AB233" s="220"/>
      <c r="AC233" s="220"/>
      <c r="AD233" s="220"/>
      <c r="AE233" s="220"/>
      <c r="AF233" s="220"/>
      <c r="AG233" s="220"/>
      <c r="AH233" s="220"/>
      <c r="AI233" s="220"/>
      <c r="AJ233" s="220"/>
      <c r="AK233" s="220"/>
      <c r="AL233" s="220"/>
      <c r="AM233" s="220"/>
      <c r="AN233" s="220"/>
      <c r="AO233" s="220"/>
      <c r="AP233" s="220"/>
      <c r="AQ233" s="220"/>
      <c r="AR233" s="220"/>
      <c r="AS233" s="220"/>
      <c r="AT233" s="220"/>
      <c r="AU233" s="220"/>
    </row>
    <row r="234" ht="15.75" customHeight="1">
      <c r="A234" s="220"/>
      <c r="B234" s="220"/>
      <c r="C234" s="220"/>
      <c r="D234" s="220"/>
      <c r="E234" s="220"/>
      <c r="F234" s="220"/>
      <c r="G234" s="220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0"/>
      <c r="AA234" s="220"/>
      <c r="AB234" s="220"/>
      <c r="AC234" s="220"/>
      <c r="AD234" s="220"/>
      <c r="AE234" s="220"/>
      <c r="AF234" s="220"/>
      <c r="AG234" s="220"/>
      <c r="AH234" s="220"/>
      <c r="AI234" s="220"/>
      <c r="AJ234" s="220"/>
      <c r="AK234" s="220"/>
      <c r="AL234" s="220"/>
      <c r="AM234" s="220"/>
      <c r="AN234" s="220"/>
      <c r="AO234" s="220"/>
      <c r="AP234" s="220"/>
      <c r="AQ234" s="220"/>
      <c r="AR234" s="220"/>
      <c r="AS234" s="220"/>
      <c r="AT234" s="220"/>
      <c r="AU234" s="220"/>
    </row>
    <row r="235" ht="15.75" customHeight="1">
      <c r="A235" s="220"/>
      <c r="B235" s="220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0"/>
      <c r="AA235" s="220"/>
      <c r="AB235" s="220"/>
      <c r="AC235" s="220"/>
      <c r="AD235" s="220"/>
      <c r="AE235" s="220"/>
      <c r="AF235" s="220"/>
      <c r="AG235" s="220"/>
      <c r="AH235" s="220"/>
      <c r="AI235" s="220"/>
      <c r="AJ235" s="220"/>
      <c r="AK235" s="220"/>
      <c r="AL235" s="220"/>
      <c r="AM235" s="220"/>
      <c r="AN235" s="220"/>
      <c r="AO235" s="220"/>
      <c r="AP235" s="220"/>
      <c r="AQ235" s="220"/>
      <c r="AR235" s="220"/>
      <c r="AS235" s="220"/>
      <c r="AT235" s="220"/>
      <c r="AU235" s="220"/>
    </row>
    <row r="236" ht="15.75" customHeight="1">
      <c r="A236" s="220"/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0"/>
      <c r="AA236" s="220"/>
      <c r="AB236" s="220"/>
      <c r="AC236" s="220"/>
      <c r="AD236" s="220"/>
      <c r="AE236" s="220"/>
      <c r="AF236" s="220"/>
      <c r="AG236" s="220"/>
      <c r="AH236" s="220"/>
      <c r="AI236" s="220"/>
      <c r="AJ236" s="220"/>
      <c r="AK236" s="220"/>
      <c r="AL236" s="220"/>
      <c r="AM236" s="220"/>
      <c r="AN236" s="220"/>
      <c r="AO236" s="220"/>
      <c r="AP236" s="220"/>
      <c r="AQ236" s="220"/>
      <c r="AR236" s="220"/>
      <c r="AS236" s="220"/>
      <c r="AT236" s="220"/>
      <c r="AU236" s="220"/>
    </row>
    <row r="237" ht="15.75" customHeight="1">
      <c r="A237" s="220"/>
      <c r="B237" s="220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0"/>
      <c r="AA237" s="220"/>
      <c r="AB237" s="220"/>
      <c r="AC237" s="220"/>
      <c r="AD237" s="220"/>
      <c r="AE237" s="220"/>
      <c r="AF237" s="220"/>
      <c r="AG237" s="220"/>
      <c r="AH237" s="220"/>
      <c r="AI237" s="220"/>
      <c r="AJ237" s="220"/>
      <c r="AK237" s="220"/>
      <c r="AL237" s="220"/>
      <c r="AM237" s="220"/>
      <c r="AN237" s="220"/>
      <c r="AO237" s="220"/>
      <c r="AP237" s="220"/>
      <c r="AQ237" s="220"/>
      <c r="AR237" s="220"/>
      <c r="AS237" s="220"/>
      <c r="AT237" s="220"/>
      <c r="AU237" s="220"/>
    </row>
    <row r="238" ht="15.75" customHeight="1">
      <c r="A238" s="22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0"/>
      <c r="AA238" s="220"/>
      <c r="AB238" s="220"/>
      <c r="AC238" s="220"/>
      <c r="AD238" s="220"/>
      <c r="AE238" s="220"/>
      <c r="AF238" s="220"/>
      <c r="AG238" s="220"/>
      <c r="AH238" s="220"/>
      <c r="AI238" s="220"/>
      <c r="AJ238" s="220"/>
      <c r="AK238" s="220"/>
      <c r="AL238" s="220"/>
      <c r="AM238" s="220"/>
      <c r="AN238" s="220"/>
      <c r="AO238" s="220"/>
      <c r="AP238" s="220"/>
      <c r="AQ238" s="220"/>
      <c r="AR238" s="220"/>
      <c r="AS238" s="220"/>
      <c r="AT238" s="220"/>
      <c r="AU238" s="220"/>
    </row>
    <row r="239" ht="15.75" customHeight="1">
      <c r="A239" s="220"/>
      <c r="B239" s="220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0"/>
      <c r="AA239" s="220"/>
      <c r="AB239" s="220"/>
      <c r="AC239" s="220"/>
      <c r="AD239" s="220"/>
      <c r="AE239" s="220"/>
      <c r="AF239" s="220"/>
      <c r="AG239" s="220"/>
      <c r="AH239" s="220"/>
      <c r="AI239" s="220"/>
      <c r="AJ239" s="220"/>
      <c r="AK239" s="220"/>
      <c r="AL239" s="220"/>
      <c r="AM239" s="220"/>
      <c r="AN239" s="220"/>
      <c r="AO239" s="220"/>
      <c r="AP239" s="220"/>
      <c r="AQ239" s="220"/>
      <c r="AR239" s="220"/>
      <c r="AS239" s="220"/>
      <c r="AT239" s="220"/>
      <c r="AU239" s="220"/>
    </row>
    <row r="240" ht="15.75" customHeight="1">
      <c r="A240" s="220"/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0"/>
      <c r="AA240" s="220"/>
      <c r="AB240" s="220"/>
      <c r="AC240" s="220"/>
      <c r="AD240" s="220"/>
      <c r="AE240" s="220"/>
      <c r="AF240" s="220"/>
      <c r="AG240" s="220"/>
      <c r="AH240" s="220"/>
      <c r="AI240" s="220"/>
      <c r="AJ240" s="220"/>
      <c r="AK240" s="220"/>
      <c r="AL240" s="220"/>
      <c r="AM240" s="220"/>
      <c r="AN240" s="220"/>
      <c r="AO240" s="220"/>
      <c r="AP240" s="220"/>
      <c r="AQ240" s="220"/>
      <c r="AR240" s="220"/>
      <c r="AS240" s="220"/>
      <c r="AT240" s="220"/>
      <c r="AU240" s="220"/>
    </row>
    <row r="241" ht="15.75" customHeight="1">
      <c r="A241" s="220"/>
      <c r="B241" s="220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0"/>
      <c r="AA241" s="220"/>
      <c r="AB241" s="220"/>
      <c r="AC241" s="220"/>
      <c r="AD241" s="220"/>
      <c r="AE241" s="220"/>
      <c r="AF241" s="220"/>
      <c r="AG241" s="220"/>
      <c r="AH241" s="220"/>
      <c r="AI241" s="220"/>
      <c r="AJ241" s="220"/>
      <c r="AK241" s="220"/>
      <c r="AL241" s="220"/>
      <c r="AM241" s="220"/>
      <c r="AN241" s="220"/>
      <c r="AO241" s="220"/>
      <c r="AP241" s="220"/>
      <c r="AQ241" s="220"/>
      <c r="AR241" s="220"/>
      <c r="AS241" s="220"/>
      <c r="AT241" s="220"/>
      <c r="AU241" s="220"/>
    </row>
    <row r="242" ht="15.75" customHeight="1">
      <c r="A242" s="22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0"/>
      <c r="AA242" s="220"/>
      <c r="AB242" s="220"/>
      <c r="AC242" s="220"/>
      <c r="AD242" s="220"/>
      <c r="AE242" s="220"/>
      <c r="AF242" s="220"/>
      <c r="AG242" s="220"/>
      <c r="AH242" s="220"/>
      <c r="AI242" s="220"/>
      <c r="AJ242" s="220"/>
      <c r="AK242" s="220"/>
      <c r="AL242" s="220"/>
      <c r="AM242" s="220"/>
      <c r="AN242" s="220"/>
      <c r="AO242" s="220"/>
      <c r="AP242" s="220"/>
      <c r="AQ242" s="220"/>
      <c r="AR242" s="220"/>
      <c r="AS242" s="220"/>
      <c r="AT242" s="220"/>
      <c r="AU242" s="220"/>
    </row>
    <row r="243" ht="15.75" customHeight="1">
      <c r="A243" s="220"/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0"/>
      <c r="AA243" s="220"/>
      <c r="AB243" s="220"/>
      <c r="AC243" s="220"/>
      <c r="AD243" s="220"/>
      <c r="AE243" s="220"/>
      <c r="AF243" s="220"/>
      <c r="AG243" s="220"/>
      <c r="AH243" s="220"/>
      <c r="AI243" s="220"/>
      <c r="AJ243" s="220"/>
      <c r="AK243" s="220"/>
      <c r="AL243" s="220"/>
      <c r="AM243" s="220"/>
      <c r="AN243" s="220"/>
      <c r="AO243" s="220"/>
      <c r="AP243" s="220"/>
      <c r="AQ243" s="220"/>
      <c r="AR243" s="220"/>
      <c r="AS243" s="220"/>
      <c r="AT243" s="220"/>
      <c r="AU243" s="220"/>
    </row>
    <row r="244" ht="15.75" customHeight="1">
      <c r="A244" s="220"/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0"/>
      <c r="AA244" s="220"/>
      <c r="AB244" s="220"/>
      <c r="AC244" s="220"/>
      <c r="AD244" s="220"/>
      <c r="AE244" s="220"/>
      <c r="AF244" s="220"/>
      <c r="AG244" s="220"/>
      <c r="AH244" s="220"/>
      <c r="AI244" s="220"/>
      <c r="AJ244" s="220"/>
      <c r="AK244" s="220"/>
      <c r="AL244" s="220"/>
      <c r="AM244" s="220"/>
      <c r="AN244" s="220"/>
      <c r="AO244" s="220"/>
      <c r="AP244" s="220"/>
      <c r="AQ244" s="220"/>
      <c r="AR244" s="220"/>
      <c r="AS244" s="220"/>
      <c r="AT244" s="220"/>
      <c r="AU244" s="220"/>
    </row>
    <row r="245" ht="15.75" customHeight="1">
      <c r="A245" s="220"/>
      <c r="B245" s="220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0"/>
      <c r="AA245" s="220"/>
      <c r="AB245" s="220"/>
      <c r="AC245" s="220"/>
      <c r="AD245" s="220"/>
      <c r="AE245" s="220"/>
      <c r="AF245" s="220"/>
      <c r="AG245" s="220"/>
      <c r="AH245" s="220"/>
      <c r="AI245" s="220"/>
      <c r="AJ245" s="220"/>
      <c r="AK245" s="220"/>
      <c r="AL245" s="220"/>
      <c r="AM245" s="220"/>
      <c r="AN245" s="220"/>
      <c r="AO245" s="220"/>
      <c r="AP245" s="220"/>
      <c r="AQ245" s="220"/>
      <c r="AR245" s="220"/>
      <c r="AS245" s="220"/>
      <c r="AT245" s="220"/>
      <c r="AU245" s="220"/>
    </row>
    <row r="246" ht="15.75" customHeight="1">
      <c r="A246" s="22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0"/>
      <c r="AA246" s="220"/>
      <c r="AB246" s="220"/>
      <c r="AC246" s="220"/>
      <c r="AD246" s="220"/>
      <c r="AE246" s="220"/>
      <c r="AF246" s="220"/>
      <c r="AG246" s="220"/>
      <c r="AH246" s="220"/>
      <c r="AI246" s="220"/>
      <c r="AJ246" s="220"/>
      <c r="AK246" s="220"/>
      <c r="AL246" s="220"/>
      <c r="AM246" s="220"/>
      <c r="AN246" s="220"/>
      <c r="AO246" s="220"/>
      <c r="AP246" s="220"/>
      <c r="AQ246" s="220"/>
      <c r="AR246" s="220"/>
      <c r="AS246" s="220"/>
      <c r="AT246" s="220"/>
      <c r="AU246" s="220"/>
    </row>
    <row r="247" ht="15.75" customHeight="1">
      <c r="A247" s="220"/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0"/>
      <c r="AA247" s="220"/>
      <c r="AB247" s="220"/>
      <c r="AC247" s="220"/>
      <c r="AD247" s="220"/>
      <c r="AE247" s="220"/>
      <c r="AF247" s="220"/>
      <c r="AG247" s="220"/>
      <c r="AH247" s="220"/>
      <c r="AI247" s="220"/>
      <c r="AJ247" s="220"/>
      <c r="AK247" s="220"/>
      <c r="AL247" s="220"/>
      <c r="AM247" s="220"/>
      <c r="AN247" s="220"/>
      <c r="AO247" s="220"/>
      <c r="AP247" s="220"/>
      <c r="AQ247" s="220"/>
      <c r="AR247" s="220"/>
      <c r="AS247" s="220"/>
      <c r="AT247" s="220"/>
      <c r="AU247" s="220"/>
    </row>
    <row r="248" ht="15.75" customHeight="1">
      <c r="A248" s="220"/>
      <c r="B248" s="220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0"/>
      <c r="AA248" s="220"/>
      <c r="AB248" s="220"/>
      <c r="AC248" s="220"/>
      <c r="AD248" s="220"/>
      <c r="AE248" s="220"/>
      <c r="AF248" s="220"/>
      <c r="AG248" s="220"/>
      <c r="AH248" s="220"/>
      <c r="AI248" s="220"/>
      <c r="AJ248" s="220"/>
      <c r="AK248" s="220"/>
      <c r="AL248" s="220"/>
      <c r="AM248" s="220"/>
      <c r="AN248" s="220"/>
      <c r="AO248" s="220"/>
      <c r="AP248" s="220"/>
      <c r="AQ248" s="220"/>
      <c r="AR248" s="220"/>
      <c r="AS248" s="220"/>
      <c r="AT248" s="220"/>
      <c r="AU248" s="220"/>
    </row>
    <row r="249" ht="15.75" customHeight="1">
      <c r="A249" s="220"/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0"/>
      <c r="AA249" s="220"/>
      <c r="AB249" s="220"/>
      <c r="AC249" s="220"/>
      <c r="AD249" s="220"/>
      <c r="AE249" s="220"/>
      <c r="AF249" s="220"/>
      <c r="AG249" s="220"/>
      <c r="AH249" s="220"/>
      <c r="AI249" s="220"/>
      <c r="AJ249" s="220"/>
      <c r="AK249" s="220"/>
      <c r="AL249" s="220"/>
      <c r="AM249" s="220"/>
      <c r="AN249" s="220"/>
      <c r="AO249" s="220"/>
      <c r="AP249" s="220"/>
      <c r="AQ249" s="220"/>
      <c r="AR249" s="220"/>
      <c r="AS249" s="220"/>
      <c r="AT249" s="220"/>
      <c r="AU249" s="220"/>
    </row>
    <row r="250" ht="15.75" customHeight="1">
      <c r="A250" s="22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0"/>
      <c r="AA250" s="220"/>
      <c r="AB250" s="220"/>
      <c r="AC250" s="220"/>
      <c r="AD250" s="220"/>
      <c r="AE250" s="220"/>
      <c r="AF250" s="220"/>
      <c r="AG250" s="220"/>
      <c r="AH250" s="220"/>
      <c r="AI250" s="220"/>
      <c r="AJ250" s="220"/>
      <c r="AK250" s="220"/>
      <c r="AL250" s="220"/>
      <c r="AM250" s="220"/>
      <c r="AN250" s="220"/>
      <c r="AO250" s="220"/>
      <c r="AP250" s="220"/>
      <c r="AQ250" s="220"/>
      <c r="AR250" s="220"/>
      <c r="AS250" s="220"/>
      <c r="AT250" s="220"/>
      <c r="AU250" s="220"/>
    </row>
    <row r="251" ht="15.75" customHeight="1">
      <c r="A251" s="220"/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0"/>
      <c r="AA251" s="220"/>
      <c r="AB251" s="220"/>
      <c r="AC251" s="220"/>
      <c r="AD251" s="220"/>
      <c r="AE251" s="220"/>
      <c r="AF251" s="220"/>
      <c r="AG251" s="220"/>
      <c r="AH251" s="220"/>
      <c r="AI251" s="220"/>
      <c r="AJ251" s="220"/>
      <c r="AK251" s="220"/>
      <c r="AL251" s="220"/>
      <c r="AM251" s="220"/>
      <c r="AN251" s="220"/>
      <c r="AO251" s="220"/>
      <c r="AP251" s="220"/>
      <c r="AQ251" s="220"/>
      <c r="AR251" s="220"/>
      <c r="AS251" s="220"/>
      <c r="AT251" s="220"/>
      <c r="AU251" s="220"/>
    </row>
    <row r="252" ht="15.75" customHeight="1">
      <c r="A252" s="220"/>
      <c r="B252" s="220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0"/>
      <c r="AA252" s="220"/>
      <c r="AB252" s="220"/>
      <c r="AC252" s="220"/>
      <c r="AD252" s="220"/>
      <c r="AE252" s="220"/>
      <c r="AF252" s="220"/>
      <c r="AG252" s="220"/>
      <c r="AH252" s="220"/>
      <c r="AI252" s="220"/>
      <c r="AJ252" s="220"/>
      <c r="AK252" s="220"/>
      <c r="AL252" s="220"/>
      <c r="AM252" s="220"/>
      <c r="AN252" s="220"/>
      <c r="AO252" s="220"/>
      <c r="AP252" s="220"/>
      <c r="AQ252" s="220"/>
      <c r="AR252" s="220"/>
      <c r="AS252" s="220"/>
      <c r="AT252" s="220"/>
      <c r="AU252" s="220"/>
    </row>
    <row r="253" ht="15.75" customHeight="1">
      <c r="A253" s="220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0"/>
      <c r="AA253" s="220"/>
      <c r="AB253" s="220"/>
      <c r="AC253" s="220"/>
      <c r="AD253" s="220"/>
      <c r="AE253" s="220"/>
      <c r="AF253" s="220"/>
      <c r="AG253" s="220"/>
      <c r="AH253" s="220"/>
      <c r="AI253" s="220"/>
      <c r="AJ253" s="220"/>
      <c r="AK253" s="220"/>
      <c r="AL253" s="220"/>
      <c r="AM253" s="220"/>
      <c r="AN253" s="220"/>
      <c r="AO253" s="220"/>
      <c r="AP253" s="220"/>
      <c r="AQ253" s="220"/>
      <c r="AR253" s="220"/>
      <c r="AS253" s="220"/>
      <c r="AT253" s="220"/>
      <c r="AU253" s="220"/>
    </row>
    <row r="254" ht="15.75" customHeight="1">
      <c r="A254" s="22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0"/>
      <c r="AA254" s="220"/>
      <c r="AB254" s="220"/>
      <c r="AC254" s="220"/>
      <c r="AD254" s="220"/>
      <c r="AE254" s="220"/>
      <c r="AF254" s="220"/>
      <c r="AG254" s="220"/>
      <c r="AH254" s="220"/>
      <c r="AI254" s="220"/>
      <c r="AJ254" s="220"/>
      <c r="AK254" s="220"/>
      <c r="AL254" s="220"/>
      <c r="AM254" s="220"/>
      <c r="AN254" s="220"/>
      <c r="AO254" s="220"/>
      <c r="AP254" s="220"/>
      <c r="AQ254" s="220"/>
      <c r="AR254" s="220"/>
      <c r="AS254" s="220"/>
      <c r="AT254" s="220"/>
      <c r="AU254" s="220"/>
    </row>
    <row r="255" ht="15.75" customHeight="1">
      <c r="A255" s="220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0"/>
      <c r="AA255" s="220"/>
      <c r="AB255" s="220"/>
      <c r="AC255" s="220"/>
      <c r="AD255" s="220"/>
      <c r="AE255" s="220"/>
      <c r="AF255" s="220"/>
      <c r="AG255" s="220"/>
      <c r="AH255" s="220"/>
      <c r="AI255" s="220"/>
      <c r="AJ255" s="220"/>
      <c r="AK255" s="220"/>
      <c r="AL255" s="220"/>
      <c r="AM255" s="220"/>
      <c r="AN255" s="220"/>
      <c r="AO255" s="220"/>
      <c r="AP255" s="220"/>
      <c r="AQ255" s="220"/>
      <c r="AR255" s="220"/>
      <c r="AS255" s="220"/>
      <c r="AT255" s="220"/>
      <c r="AU255" s="220"/>
    </row>
    <row r="256" ht="15.75" customHeight="1">
      <c r="A256" s="220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0"/>
      <c r="AA256" s="220"/>
      <c r="AB256" s="220"/>
      <c r="AC256" s="220"/>
      <c r="AD256" s="220"/>
      <c r="AE256" s="220"/>
      <c r="AF256" s="220"/>
      <c r="AG256" s="220"/>
      <c r="AH256" s="220"/>
      <c r="AI256" s="220"/>
      <c r="AJ256" s="220"/>
      <c r="AK256" s="220"/>
      <c r="AL256" s="220"/>
      <c r="AM256" s="220"/>
      <c r="AN256" s="220"/>
      <c r="AO256" s="220"/>
      <c r="AP256" s="220"/>
      <c r="AQ256" s="220"/>
      <c r="AR256" s="220"/>
      <c r="AS256" s="220"/>
      <c r="AT256" s="220"/>
      <c r="AU256" s="220"/>
    </row>
    <row r="257" ht="15.75" customHeight="1">
      <c r="A257" s="220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0"/>
      <c r="AA257" s="220"/>
      <c r="AB257" s="220"/>
      <c r="AC257" s="220"/>
      <c r="AD257" s="220"/>
      <c r="AE257" s="220"/>
      <c r="AF257" s="220"/>
      <c r="AG257" s="220"/>
      <c r="AH257" s="220"/>
      <c r="AI257" s="220"/>
      <c r="AJ257" s="220"/>
      <c r="AK257" s="220"/>
      <c r="AL257" s="220"/>
      <c r="AM257" s="220"/>
      <c r="AN257" s="220"/>
      <c r="AO257" s="220"/>
      <c r="AP257" s="220"/>
      <c r="AQ257" s="220"/>
      <c r="AR257" s="220"/>
      <c r="AS257" s="220"/>
      <c r="AT257" s="220"/>
      <c r="AU257" s="220"/>
    </row>
    <row r="258" ht="15.75" customHeight="1">
      <c r="A258" s="22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0"/>
      <c r="AA258" s="220"/>
      <c r="AB258" s="220"/>
      <c r="AC258" s="220"/>
      <c r="AD258" s="220"/>
      <c r="AE258" s="220"/>
      <c r="AF258" s="220"/>
      <c r="AG258" s="220"/>
      <c r="AH258" s="220"/>
      <c r="AI258" s="220"/>
      <c r="AJ258" s="220"/>
      <c r="AK258" s="220"/>
      <c r="AL258" s="220"/>
      <c r="AM258" s="220"/>
      <c r="AN258" s="220"/>
      <c r="AO258" s="220"/>
      <c r="AP258" s="220"/>
      <c r="AQ258" s="220"/>
      <c r="AR258" s="220"/>
      <c r="AS258" s="220"/>
      <c r="AT258" s="220"/>
      <c r="AU258" s="220"/>
    </row>
    <row r="259" ht="15.75" customHeight="1">
      <c r="A259" s="220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0"/>
      <c r="AA259" s="220"/>
      <c r="AB259" s="220"/>
      <c r="AC259" s="220"/>
      <c r="AD259" s="220"/>
      <c r="AE259" s="220"/>
      <c r="AF259" s="220"/>
      <c r="AG259" s="220"/>
      <c r="AH259" s="220"/>
      <c r="AI259" s="220"/>
      <c r="AJ259" s="220"/>
      <c r="AK259" s="220"/>
      <c r="AL259" s="220"/>
      <c r="AM259" s="220"/>
      <c r="AN259" s="220"/>
      <c r="AO259" s="220"/>
      <c r="AP259" s="220"/>
      <c r="AQ259" s="220"/>
      <c r="AR259" s="220"/>
      <c r="AS259" s="220"/>
      <c r="AT259" s="220"/>
      <c r="AU259" s="220"/>
    </row>
    <row r="260" ht="15.75" customHeight="1">
      <c r="A260" s="220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0"/>
      <c r="AA260" s="220"/>
      <c r="AB260" s="220"/>
      <c r="AC260" s="220"/>
      <c r="AD260" s="220"/>
      <c r="AE260" s="220"/>
      <c r="AF260" s="220"/>
      <c r="AG260" s="220"/>
      <c r="AH260" s="220"/>
      <c r="AI260" s="220"/>
      <c r="AJ260" s="220"/>
      <c r="AK260" s="220"/>
      <c r="AL260" s="220"/>
      <c r="AM260" s="220"/>
      <c r="AN260" s="220"/>
      <c r="AO260" s="220"/>
      <c r="AP260" s="220"/>
      <c r="AQ260" s="220"/>
      <c r="AR260" s="220"/>
      <c r="AS260" s="220"/>
      <c r="AT260" s="220"/>
      <c r="AU260" s="220"/>
    </row>
    <row r="261" ht="15.75" customHeight="1">
      <c r="A261" s="220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0"/>
      <c r="AA261" s="220"/>
      <c r="AB261" s="220"/>
      <c r="AC261" s="220"/>
      <c r="AD261" s="220"/>
      <c r="AE261" s="220"/>
      <c r="AF261" s="220"/>
      <c r="AG261" s="220"/>
      <c r="AH261" s="220"/>
      <c r="AI261" s="220"/>
      <c r="AJ261" s="220"/>
      <c r="AK261" s="220"/>
      <c r="AL261" s="220"/>
      <c r="AM261" s="220"/>
      <c r="AN261" s="220"/>
      <c r="AO261" s="220"/>
      <c r="AP261" s="220"/>
      <c r="AQ261" s="220"/>
      <c r="AR261" s="220"/>
      <c r="AS261" s="220"/>
      <c r="AT261" s="220"/>
      <c r="AU261" s="220"/>
    </row>
    <row r="262" ht="15.75" customHeight="1">
      <c r="A262" s="22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0"/>
      <c r="AA262" s="220"/>
      <c r="AB262" s="220"/>
      <c r="AC262" s="220"/>
      <c r="AD262" s="220"/>
      <c r="AE262" s="220"/>
      <c r="AF262" s="220"/>
      <c r="AG262" s="220"/>
      <c r="AH262" s="220"/>
      <c r="AI262" s="220"/>
      <c r="AJ262" s="220"/>
      <c r="AK262" s="220"/>
      <c r="AL262" s="220"/>
      <c r="AM262" s="220"/>
      <c r="AN262" s="220"/>
      <c r="AO262" s="220"/>
      <c r="AP262" s="220"/>
      <c r="AQ262" s="220"/>
      <c r="AR262" s="220"/>
      <c r="AS262" s="220"/>
      <c r="AT262" s="220"/>
      <c r="AU262" s="220"/>
    </row>
    <row r="263" ht="15.75" customHeight="1">
      <c r="A263" s="220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0"/>
      <c r="AA263" s="220"/>
      <c r="AB263" s="220"/>
      <c r="AC263" s="220"/>
      <c r="AD263" s="220"/>
      <c r="AE263" s="220"/>
      <c r="AF263" s="220"/>
      <c r="AG263" s="220"/>
      <c r="AH263" s="220"/>
      <c r="AI263" s="220"/>
      <c r="AJ263" s="220"/>
      <c r="AK263" s="220"/>
      <c r="AL263" s="220"/>
      <c r="AM263" s="220"/>
      <c r="AN263" s="220"/>
      <c r="AO263" s="220"/>
      <c r="AP263" s="220"/>
      <c r="AQ263" s="220"/>
      <c r="AR263" s="220"/>
      <c r="AS263" s="220"/>
      <c r="AT263" s="220"/>
      <c r="AU263" s="220"/>
    </row>
    <row r="264" ht="15.75" customHeight="1">
      <c r="A264" s="220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0"/>
      <c r="AA264" s="220"/>
      <c r="AB264" s="220"/>
      <c r="AC264" s="220"/>
      <c r="AD264" s="220"/>
      <c r="AE264" s="220"/>
      <c r="AF264" s="220"/>
      <c r="AG264" s="220"/>
      <c r="AH264" s="220"/>
      <c r="AI264" s="220"/>
      <c r="AJ264" s="220"/>
      <c r="AK264" s="220"/>
      <c r="AL264" s="220"/>
      <c r="AM264" s="220"/>
      <c r="AN264" s="220"/>
      <c r="AO264" s="220"/>
      <c r="AP264" s="220"/>
      <c r="AQ264" s="220"/>
      <c r="AR264" s="220"/>
      <c r="AS264" s="220"/>
      <c r="AT264" s="220"/>
      <c r="AU264" s="220"/>
    </row>
    <row r="265" ht="15.75" customHeight="1">
      <c r="A265" s="220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0"/>
      <c r="AA265" s="220"/>
      <c r="AB265" s="220"/>
      <c r="AC265" s="220"/>
      <c r="AD265" s="220"/>
      <c r="AE265" s="220"/>
      <c r="AF265" s="220"/>
      <c r="AG265" s="220"/>
      <c r="AH265" s="220"/>
      <c r="AI265" s="220"/>
      <c r="AJ265" s="220"/>
      <c r="AK265" s="220"/>
      <c r="AL265" s="220"/>
      <c r="AM265" s="220"/>
      <c r="AN265" s="220"/>
      <c r="AO265" s="220"/>
      <c r="AP265" s="220"/>
      <c r="AQ265" s="220"/>
      <c r="AR265" s="220"/>
      <c r="AS265" s="220"/>
      <c r="AT265" s="220"/>
      <c r="AU265" s="220"/>
    </row>
    <row r="266" ht="15.75" customHeight="1">
      <c r="A266" s="22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0"/>
      <c r="AA266" s="220"/>
      <c r="AB266" s="220"/>
      <c r="AC266" s="220"/>
      <c r="AD266" s="220"/>
      <c r="AE266" s="220"/>
      <c r="AF266" s="220"/>
      <c r="AG266" s="220"/>
      <c r="AH266" s="220"/>
      <c r="AI266" s="220"/>
      <c r="AJ266" s="220"/>
      <c r="AK266" s="220"/>
      <c r="AL266" s="220"/>
      <c r="AM266" s="220"/>
      <c r="AN266" s="220"/>
      <c r="AO266" s="220"/>
      <c r="AP266" s="220"/>
      <c r="AQ266" s="220"/>
      <c r="AR266" s="220"/>
      <c r="AS266" s="220"/>
      <c r="AT266" s="220"/>
      <c r="AU266" s="220"/>
    </row>
    <row r="267" ht="15.75" customHeight="1">
      <c r="A267" s="220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0"/>
      <c r="AA267" s="220"/>
      <c r="AB267" s="220"/>
      <c r="AC267" s="220"/>
      <c r="AD267" s="220"/>
      <c r="AE267" s="220"/>
      <c r="AF267" s="220"/>
      <c r="AG267" s="220"/>
      <c r="AH267" s="220"/>
      <c r="AI267" s="220"/>
      <c r="AJ267" s="220"/>
      <c r="AK267" s="220"/>
      <c r="AL267" s="220"/>
      <c r="AM267" s="220"/>
      <c r="AN267" s="220"/>
      <c r="AO267" s="220"/>
      <c r="AP267" s="220"/>
      <c r="AQ267" s="220"/>
      <c r="AR267" s="220"/>
      <c r="AS267" s="220"/>
      <c r="AT267" s="220"/>
      <c r="AU267" s="220"/>
    </row>
    <row r="268" ht="15.75" customHeight="1">
      <c r="A268" s="220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0"/>
      <c r="AA268" s="220"/>
      <c r="AB268" s="220"/>
      <c r="AC268" s="220"/>
      <c r="AD268" s="220"/>
      <c r="AE268" s="220"/>
      <c r="AF268" s="220"/>
      <c r="AG268" s="220"/>
      <c r="AH268" s="220"/>
      <c r="AI268" s="220"/>
      <c r="AJ268" s="220"/>
      <c r="AK268" s="220"/>
      <c r="AL268" s="220"/>
      <c r="AM268" s="220"/>
      <c r="AN268" s="220"/>
      <c r="AO268" s="220"/>
      <c r="AP268" s="220"/>
      <c r="AQ268" s="220"/>
      <c r="AR268" s="220"/>
      <c r="AS268" s="220"/>
      <c r="AT268" s="220"/>
      <c r="AU268" s="220"/>
    </row>
    <row r="269" ht="15.75" customHeight="1">
      <c r="A269" s="220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0"/>
      <c r="AA269" s="220"/>
      <c r="AB269" s="220"/>
      <c r="AC269" s="220"/>
      <c r="AD269" s="220"/>
      <c r="AE269" s="220"/>
      <c r="AF269" s="220"/>
      <c r="AG269" s="220"/>
      <c r="AH269" s="220"/>
      <c r="AI269" s="220"/>
      <c r="AJ269" s="220"/>
      <c r="AK269" s="220"/>
      <c r="AL269" s="220"/>
      <c r="AM269" s="220"/>
      <c r="AN269" s="220"/>
      <c r="AO269" s="220"/>
      <c r="AP269" s="220"/>
      <c r="AQ269" s="220"/>
      <c r="AR269" s="220"/>
      <c r="AS269" s="220"/>
      <c r="AT269" s="220"/>
      <c r="AU269" s="220"/>
    </row>
    <row r="270" ht="15.75" customHeight="1">
      <c r="A270" s="22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0"/>
      <c r="AA270" s="220"/>
      <c r="AB270" s="220"/>
      <c r="AC270" s="220"/>
      <c r="AD270" s="220"/>
      <c r="AE270" s="220"/>
      <c r="AF270" s="220"/>
      <c r="AG270" s="220"/>
      <c r="AH270" s="220"/>
      <c r="AI270" s="220"/>
      <c r="AJ270" s="220"/>
      <c r="AK270" s="220"/>
      <c r="AL270" s="220"/>
      <c r="AM270" s="220"/>
      <c r="AN270" s="220"/>
      <c r="AO270" s="220"/>
      <c r="AP270" s="220"/>
      <c r="AQ270" s="220"/>
      <c r="AR270" s="220"/>
      <c r="AS270" s="220"/>
      <c r="AT270" s="220"/>
      <c r="AU270" s="220"/>
    </row>
    <row r="271" ht="15.75" customHeight="1">
      <c r="A271" s="220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0"/>
      <c r="AA271" s="220"/>
      <c r="AB271" s="220"/>
      <c r="AC271" s="220"/>
      <c r="AD271" s="220"/>
      <c r="AE271" s="220"/>
      <c r="AF271" s="220"/>
      <c r="AG271" s="220"/>
      <c r="AH271" s="220"/>
      <c r="AI271" s="220"/>
      <c r="AJ271" s="220"/>
      <c r="AK271" s="220"/>
      <c r="AL271" s="220"/>
      <c r="AM271" s="220"/>
      <c r="AN271" s="220"/>
      <c r="AO271" s="220"/>
      <c r="AP271" s="220"/>
      <c r="AQ271" s="220"/>
      <c r="AR271" s="220"/>
      <c r="AS271" s="220"/>
      <c r="AT271" s="220"/>
      <c r="AU271" s="220"/>
    </row>
    <row r="272" ht="15.75" customHeight="1">
      <c r="A272" s="220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0"/>
      <c r="AA272" s="220"/>
      <c r="AB272" s="220"/>
      <c r="AC272" s="220"/>
      <c r="AD272" s="220"/>
      <c r="AE272" s="220"/>
      <c r="AF272" s="220"/>
      <c r="AG272" s="220"/>
      <c r="AH272" s="220"/>
      <c r="AI272" s="220"/>
      <c r="AJ272" s="220"/>
      <c r="AK272" s="220"/>
      <c r="AL272" s="220"/>
      <c r="AM272" s="220"/>
      <c r="AN272" s="220"/>
      <c r="AO272" s="220"/>
      <c r="AP272" s="220"/>
      <c r="AQ272" s="220"/>
      <c r="AR272" s="220"/>
      <c r="AS272" s="220"/>
      <c r="AT272" s="220"/>
      <c r="AU272" s="220"/>
    </row>
    <row r="273" ht="15.75" customHeight="1">
      <c r="A273" s="220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0"/>
      <c r="AA273" s="220"/>
      <c r="AB273" s="220"/>
      <c r="AC273" s="220"/>
      <c r="AD273" s="220"/>
      <c r="AE273" s="220"/>
      <c r="AF273" s="220"/>
      <c r="AG273" s="220"/>
      <c r="AH273" s="220"/>
      <c r="AI273" s="220"/>
      <c r="AJ273" s="220"/>
      <c r="AK273" s="220"/>
      <c r="AL273" s="220"/>
      <c r="AM273" s="220"/>
      <c r="AN273" s="220"/>
      <c r="AO273" s="220"/>
      <c r="AP273" s="220"/>
      <c r="AQ273" s="220"/>
      <c r="AR273" s="220"/>
      <c r="AS273" s="220"/>
      <c r="AT273" s="220"/>
      <c r="AU273" s="220"/>
    </row>
    <row r="274" ht="15.75" customHeight="1">
      <c r="A274" s="220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0"/>
      <c r="AA274" s="220"/>
      <c r="AB274" s="220"/>
      <c r="AC274" s="220"/>
      <c r="AD274" s="220"/>
      <c r="AE274" s="220"/>
      <c r="AF274" s="220"/>
      <c r="AG274" s="220"/>
      <c r="AH274" s="220"/>
      <c r="AI274" s="220"/>
      <c r="AJ274" s="220"/>
      <c r="AK274" s="220"/>
      <c r="AL274" s="220"/>
      <c r="AM274" s="220"/>
      <c r="AN274" s="220"/>
      <c r="AO274" s="220"/>
      <c r="AP274" s="220"/>
      <c r="AQ274" s="220"/>
      <c r="AR274" s="220"/>
      <c r="AS274" s="220"/>
      <c r="AT274" s="220"/>
      <c r="AU274" s="220"/>
    </row>
    <row r="275" ht="15.75" customHeight="1">
      <c r="A275" s="220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0"/>
      <c r="AA275" s="220"/>
      <c r="AB275" s="220"/>
      <c r="AC275" s="220"/>
      <c r="AD275" s="220"/>
      <c r="AE275" s="220"/>
      <c r="AF275" s="220"/>
      <c r="AG275" s="220"/>
      <c r="AH275" s="220"/>
      <c r="AI275" s="220"/>
      <c r="AJ275" s="220"/>
      <c r="AK275" s="220"/>
      <c r="AL275" s="220"/>
      <c r="AM275" s="220"/>
      <c r="AN275" s="220"/>
      <c r="AO275" s="220"/>
      <c r="AP275" s="220"/>
      <c r="AQ275" s="220"/>
      <c r="AR275" s="220"/>
      <c r="AS275" s="220"/>
      <c r="AT275" s="220"/>
      <c r="AU275" s="220"/>
    </row>
    <row r="276" ht="15.75" customHeight="1">
      <c r="A276" s="220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  <c r="AA276" s="220"/>
      <c r="AB276" s="220"/>
      <c r="AC276" s="220"/>
      <c r="AD276" s="220"/>
      <c r="AE276" s="220"/>
      <c r="AF276" s="220"/>
      <c r="AG276" s="220"/>
      <c r="AH276" s="220"/>
      <c r="AI276" s="220"/>
      <c r="AJ276" s="220"/>
      <c r="AK276" s="220"/>
      <c r="AL276" s="220"/>
      <c r="AM276" s="220"/>
      <c r="AN276" s="220"/>
      <c r="AO276" s="220"/>
      <c r="AP276" s="220"/>
      <c r="AQ276" s="220"/>
      <c r="AR276" s="220"/>
      <c r="AS276" s="220"/>
      <c r="AT276" s="220"/>
      <c r="AU276" s="220"/>
    </row>
    <row r="277" ht="15.75" customHeight="1">
      <c r="A277" s="220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0"/>
      <c r="AA277" s="220"/>
      <c r="AB277" s="220"/>
      <c r="AC277" s="220"/>
      <c r="AD277" s="220"/>
      <c r="AE277" s="220"/>
      <c r="AF277" s="220"/>
      <c r="AG277" s="220"/>
      <c r="AH277" s="220"/>
      <c r="AI277" s="220"/>
      <c r="AJ277" s="220"/>
      <c r="AK277" s="220"/>
      <c r="AL277" s="220"/>
      <c r="AM277" s="220"/>
      <c r="AN277" s="220"/>
      <c r="AO277" s="220"/>
      <c r="AP277" s="220"/>
      <c r="AQ277" s="220"/>
      <c r="AR277" s="220"/>
      <c r="AS277" s="220"/>
      <c r="AT277" s="220"/>
      <c r="AU277" s="220"/>
    </row>
    <row r="278" ht="15.75" customHeight="1">
      <c r="A278" s="220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0"/>
      <c r="AA278" s="220"/>
      <c r="AB278" s="220"/>
      <c r="AC278" s="220"/>
      <c r="AD278" s="220"/>
      <c r="AE278" s="220"/>
      <c r="AF278" s="220"/>
      <c r="AG278" s="220"/>
      <c r="AH278" s="220"/>
      <c r="AI278" s="220"/>
      <c r="AJ278" s="220"/>
      <c r="AK278" s="220"/>
      <c r="AL278" s="220"/>
      <c r="AM278" s="220"/>
      <c r="AN278" s="220"/>
      <c r="AO278" s="220"/>
      <c r="AP278" s="220"/>
      <c r="AQ278" s="220"/>
      <c r="AR278" s="220"/>
      <c r="AS278" s="220"/>
      <c r="AT278" s="220"/>
      <c r="AU278" s="220"/>
    </row>
    <row r="279" ht="15.75" customHeight="1">
      <c r="A279" s="220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0"/>
      <c r="AA279" s="220"/>
      <c r="AB279" s="220"/>
      <c r="AC279" s="220"/>
      <c r="AD279" s="220"/>
      <c r="AE279" s="220"/>
      <c r="AF279" s="220"/>
      <c r="AG279" s="220"/>
      <c r="AH279" s="220"/>
      <c r="AI279" s="220"/>
      <c r="AJ279" s="220"/>
      <c r="AK279" s="220"/>
      <c r="AL279" s="220"/>
      <c r="AM279" s="220"/>
      <c r="AN279" s="220"/>
      <c r="AO279" s="220"/>
      <c r="AP279" s="220"/>
      <c r="AQ279" s="220"/>
      <c r="AR279" s="220"/>
      <c r="AS279" s="220"/>
      <c r="AT279" s="220"/>
      <c r="AU279" s="220"/>
    </row>
    <row r="280" ht="15.75" customHeight="1">
      <c r="A280" s="220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0"/>
      <c r="AA280" s="220"/>
      <c r="AB280" s="220"/>
      <c r="AC280" s="220"/>
      <c r="AD280" s="220"/>
      <c r="AE280" s="220"/>
      <c r="AF280" s="220"/>
      <c r="AG280" s="220"/>
      <c r="AH280" s="220"/>
      <c r="AI280" s="220"/>
      <c r="AJ280" s="220"/>
      <c r="AK280" s="220"/>
      <c r="AL280" s="220"/>
      <c r="AM280" s="220"/>
      <c r="AN280" s="220"/>
      <c r="AO280" s="220"/>
      <c r="AP280" s="220"/>
      <c r="AQ280" s="220"/>
      <c r="AR280" s="220"/>
      <c r="AS280" s="220"/>
      <c r="AT280" s="220"/>
      <c r="AU280" s="220"/>
    </row>
    <row r="281" ht="15.75" customHeight="1">
      <c r="A281" s="220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0"/>
      <c r="AA281" s="220"/>
      <c r="AB281" s="220"/>
      <c r="AC281" s="220"/>
      <c r="AD281" s="220"/>
      <c r="AE281" s="220"/>
      <c r="AF281" s="220"/>
      <c r="AG281" s="220"/>
      <c r="AH281" s="220"/>
      <c r="AI281" s="220"/>
      <c r="AJ281" s="220"/>
      <c r="AK281" s="220"/>
      <c r="AL281" s="220"/>
      <c r="AM281" s="220"/>
      <c r="AN281" s="220"/>
      <c r="AO281" s="220"/>
      <c r="AP281" s="220"/>
      <c r="AQ281" s="220"/>
      <c r="AR281" s="220"/>
      <c r="AS281" s="220"/>
      <c r="AT281" s="220"/>
      <c r="AU281" s="220"/>
    </row>
    <row r="282" ht="15.75" customHeight="1">
      <c r="A282" s="220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0"/>
      <c r="AA282" s="220"/>
      <c r="AB282" s="220"/>
      <c r="AC282" s="220"/>
      <c r="AD282" s="220"/>
      <c r="AE282" s="220"/>
      <c r="AF282" s="220"/>
      <c r="AG282" s="220"/>
      <c r="AH282" s="220"/>
      <c r="AI282" s="220"/>
      <c r="AJ282" s="220"/>
      <c r="AK282" s="220"/>
      <c r="AL282" s="220"/>
      <c r="AM282" s="220"/>
      <c r="AN282" s="220"/>
      <c r="AO282" s="220"/>
      <c r="AP282" s="220"/>
      <c r="AQ282" s="220"/>
      <c r="AR282" s="220"/>
      <c r="AS282" s="220"/>
      <c r="AT282" s="220"/>
      <c r="AU282" s="220"/>
    </row>
    <row r="283" ht="15.75" customHeight="1">
      <c r="A283" s="220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0"/>
      <c r="AA283" s="220"/>
      <c r="AB283" s="220"/>
      <c r="AC283" s="220"/>
      <c r="AD283" s="220"/>
      <c r="AE283" s="220"/>
      <c r="AF283" s="220"/>
      <c r="AG283" s="220"/>
      <c r="AH283" s="220"/>
      <c r="AI283" s="220"/>
      <c r="AJ283" s="220"/>
      <c r="AK283" s="220"/>
      <c r="AL283" s="220"/>
      <c r="AM283" s="220"/>
      <c r="AN283" s="220"/>
      <c r="AO283" s="220"/>
      <c r="AP283" s="220"/>
      <c r="AQ283" s="220"/>
      <c r="AR283" s="220"/>
      <c r="AS283" s="220"/>
      <c r="AT283" s="220"/>
      <c r="AU283" s="220"/>
    </row>
    <row r="284" ht="15.75" customHeight="1">
      <c r="A284" s="220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0"/>
      <c r="AA284" s="220"/>
      <c r="AB284" s="220"/>
      <c r="AC284" s="220"/>
      <c r="AD284" s="220"/>
      <c r="AE284" s="220"/>
      <c r="AF284" s="220"/>
      <c r="AG284" s="220"/>
      <c r="AH284" s="220"/>
      <c r="AI284" s="220"/>
      <c r="AJ284" s="220"/>
      <c r="AK284" s="220"/>
      <c r="AL284" s="220"/>
      <c r="AM284" s="220"/>
      <c r="AN284" s="220"/>
      <c r="AO284" s="220"/>
      <c r="AP284" s="220"/>
      <c r="AQ284" s="220"/>
      <c r="AR284" s="220"/>
      <c r="AS284" s="220"/>
      <c r="AT284" s="220"/>
      <c r="AU284" s="220"/>
    </row>
    <row r="285" ht="15.75" customHeight="1">
      <c r="A285" s="22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0"/>
      <c r="AA285" s="220"/>
      <c r="AB285" s="220"/>
      <c r="AC285" s="220"/>
      <c r="AD285" s="220"/>
      <c r="AE285" s="220"/>
      <c r="AF285" s="220"/>
      <c r="AG285" s="220"/>
      <c r="AH285" s="220"/>
      <c r="AI285" s="220"/>
      <c r="AJ285" s="220"/>
      <c r="AK285" s="220"/>
      <c r="AL285" s="220"/>
      <c r="AM285" s="220"/>
      <c r="AN285" s="220"/>
      <c r="AO285" s="220"/>
      <c r="AP285" s="220"/>
      <c r="AQ285" s="220"/>
      <c r="AR285" s="220"/>
      <c r="AS285" s="220"/>
      <c r="AT285" s="220"/>
      <c r="AU285" s="220"/>
    </row>
    <row r="286" ht="15.75" customHeight="1">
      <c r="A286" s="220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0"/>
      <c r="AA286" s="220"/>
      <c r="AB286" s="220"/>
      <c r="AC286" s="220"/>
      <c r="AD286" s="220"/>
      <c r="AE286" s="220"/>
      <c r="AF286" s="220"/>
      <c r="AG286" s="220"/>
      <c r="AH286" s="220"/>
      <c r="AI286" s="220"/>
      <c r="AJ286" s="220"/>
      <c r="AK286" s="220"/>
      <c r="AL286" s="220"/>
      <c r="AM286" s="220"/>
      <c r="AN286" s="220"/>
      <c r="AO286" s="220"/>
      <c r="AP286" s="220"/>
      <c r="AQ286" s="220"/>
      <c r="AR286" s="220"/>
      <c r="AS286" s="220"/>
      <c r="AT286" s="220"/>
      <c r="AU286" s="220"/>
    </row>
    <row r="287" ht="15.75" customHeight="1">
      <c r="A287" s="22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0"/>
      <c r="AA287" s="220"/>
      <c r="AB287" s="220"/>
      <c r="AC287" s="220"/>
      <c r="AD287" s="220"/>
      <c r="AE287" s="220"/>
      <c r="AF287" s="220"/>
      <c r="AG287" s="220"/>
      <c r="AH287" s="220"/>
      <c r="AI287" s="220"/>
      <c r="AJ287" s="220"/>
      <c r="AK287" s="220"/>
      <c r="AL287" s="220"/>
      <c r="AM287" s="220"/>
      <c r="AN287" s="220"/>
      <c r="AO287" s="220"/>
      <c r="AP287" s="220"/>
      <c r="AQ287" s="220"/>
      <c r="AR287" s="220"/>
      <c r="AS287" s="220"/>
      <c r="AT287" s="220"/>
      <c r="AU287" s="220"/>
    </row>
    <row r="288" ht="15.75" customHeight="1">
      <c r="A288" s="220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0"/>
      <c r="AA288" s="220"/>
      <c r="AB288" s="220"/>
      <c r="AC288" s="220"/>
      <c r="AD288" s="220"/>
      <c r="AE288" s="220"/>
      <c r="AF288" s="220"/>
      <c r="AG288" s="220"/>
      <c r="AH288" s="220"/>
      <c r="AI288" s="220"/>
      <c r="AJ288" s="220"/>
      <c r="AK288" s="220"/>
      <c r="AL288" s="220"/>
      <c r="AM288" s="220"/>
      <c r="AN288" s="220"/>
      <c r="AO288" s="220"/>
      <c r="AP288" s="220"/>
      <c r="AQ288" s="220"/>
      <c r="AR288" s="220"/>
      <c r="AS288" s="220"/>
      <c r="AT288" s="220"/>
      <c r="AU288" s="220"/>
    </row>
    <row r="289" ht="15.75" customHeight="1">
      <c r="A289" s="220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0"/>
      <c r="AA289" s="220"/>
      <c r="AB289" s="220"/>
      <c r="AC289" s="220"/>
      <c r="AD289" s="220"/>
      <c r="AE289" s="220"/>
      <c r="AF289" s="220"/>
      <c r="AG289" s="220"/>
      <c r="AH289" s="220"/>
      <c r="AI289" s="220"/>
      <c r="AJ289" s="220"/>
      <c r="AK289" s="220"/>
      <c r="AL289" s="220"/>
      <c r="AM289" s="220"/>
      <c r="AN289" s="220"/>
      <c r="AO289" s="220"/>
      <c r="AP289" s="220"/>
      <c r="AQ289" s="220"/>
      <c r="AR289" s="220"/>
      <c r="AS289" s="220"/>
      <c r="AT289" s="220"/>
      <c r="AU289" s="220"/>
    </row>
    <row r="290" ht="15.75" customHeight="1">
      <c r="A290" s="220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0"/>
      <c r="AA290" s="220"/>
      <c r="AB290" s="220"/>
      <c r="AC290" s="220"/>
      <c r="AD290" s="220"/>
      <c r="AE290" s="220"/>
      <c r="AF290" s="220"/>
      <c r="AG290" s="220"/>
      <c r="AH290" s="220"/>
      <c r="AI290" s="220"/>
      <c r="AJ290" s="220"/>
      <c r="AK290" s="220"/>
      <c r="AL290" s="220"/>
      <c r="AM290" s="220"/>
      <c r="AN290" s="220"/>
      <c r="AO290" s="220"/>
      <c r="AP290" s="220"/>
      <c r="AQ290" s="220"/>
      <c r="AR290" s="220"/>
      <c r="AS290" s="220"/>
      <c r="AT290" s="220"/>
      <c r="AU290" s="220"/>
    </row>
    <row r="291" ht="15.75" customHeight="1">
      <c r="A291" s="22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0"/>
      <c r="AA291" s="220"/>
      <c r="AB291" s="220"/>
      <c r="AC291" s="220"/>
      <c r="AD291" s="220"/>
      <c r="AE291" s="220"/>
      <c r="AF291" s="220"/>
      <c r="AG291" s="220"/>
      <c r="AH291" s="220"/>
      <c r="AI291" s="220"/>
      <c r="AJ291" s="220"/>
      <c r="AK291" s="220"/>
      <c r="AL291" s="220"/>
      <c r="AM291" s="220"/>
      <c r="AN291" s="220"/>
      <c r="AO291" s="220"/>
      <c r="AP291" s="220"/>
      <c r="AQ291" s="220"/>
      <c r="AR291" s="220"/>
      <c r="AS291" s="220"/>
      <c r="AT291" s="220"/>
      <c r="AU291" s="220"/>
    </row>
    <row r="292" ht="15.75" customHeight="1">
      <c r="A292" s="220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0"/>
      <c r="AA292" s="220"/>
      <c r="AB292" s="220"/>
      <c r="AC292" s="220"/>
      <c r="AD292" s="220"/>
      <c r="AE292" s="220"/>
      <c r="AF292" s="220"/>
      <c r="AG292" s="220"/>
      <c r="AH292" s="220"/>
      <c r="AI292" s="220"/>
      <c r="AJ292" s="220"/>
      <c r="AK292" s="220"/>
      <c r="AL292" s="220"/>
      <c r="AM292" s="220"/>
      <c r="AN292" s="220"/>
      <c r="AO292" s="220"/>
      <c r="AP292" s="220"/>
      <c r="AQ292" s="220"/>
      <c r="AR292" s="220"/>
      <c r="AS292" s="220"/>
      <c r="AT292" s="220"/>
      <c r="AU292" s="220"/>
    </row>
    <row r="293" ht="15.75" customHeight="1">
      <c r="A293" s="220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0"/>
      <c r="AA293" s="220"/>
      <c r="AB293" s="220"/>
      <c r="AC293" s="220"/>
      <c r="AD293" s="220"/>
      <c r="AE293" s="220"/>
      <c r="AF293" s="220"/>
      <c r="AG293" s="220"/>
      <c r="AH293" s="220"/>
      <c r="AI293" s="220"/>
      <c r="AJ293" s="220"/>
      <c r="AK293" s="220"/>
      <c r="AL293" s="220"/>
      <c r="AM293" s="220"/>
      <c r="AN293" s="220"/>
      <c r="AO293" s="220"/>
      <c r="AP293" s="220"/>
      <c r="AQ293" s="220"/>
      <c r="AR293" s="220"/>
      <c r="AS293" s="220"/>
      <c r="AT293" s="220"/>
      <c r="AU293" s="220"/>
    </row>
    <row r="294" ht="15.75" customHeight="1">
      <c r="A294" s="220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0"/>
      <c r="AA294" s="220"/>
      <c r="AB294" s="220"/>
      <c r="AC294" s="220"/>
      <c r="AD294" s="220"/>
      <c r="AE294" s="220"/>
      <c r="AF294" s="220"/>
      <c r="AG294" s="220"/>
      <c r="AH294" s="220"/>
      <c r="AI294" s="220"/>
      <c r="AJ294" s="220"/>
      <c r="AK294" s="220"/>
      <c r="AL294" s="220"/>
      <c r="AM294" s="220"/>
      <c r="AN294" s="220"/>
      <c r="AO294" s="220"/>
      <c r="AP294" s="220"/>
      <c r="AQ294" s="220"/>
      <c r="AR294" s="220"/>
      <c r="AS294" s="220"/>
      <c r="AT294" s="220"/>
      <c r="AU294" s="220"/>
    </row>
    <row r="295" ht="15.75" customHeight="1">
      <c r="A295" s="220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0"/>
      <c r="AA295" s="220"/>
      <c r="AB295" s="220"/>
      <c r="AC295" s="220"/>
      <c r="AD295" s="220"/>
      <c r="AE295" s="220"/>
      <c r="AF295" s="220"/>
      <c r="AG295" s="220"/>
      <c r="AH295" s="220"/>
      <c r="AI295" s="220"/>
      <c r="AJ295" s="220"/>
      <c r="AK295" s="220"/>
      <c r="AL295" s="220"/>
      <c r="AM295" s="220"/>
      <c r="AN295" s="220"/>
      <c r="AO295" s="220"/>
      <c r="AP295" s="220"/>
      <c r="AQ295" s="220"/>
      <c r="AR295" s="220"/>
      <c r="AS295" s="220"/>
      <c r="AT295" s="220"/>
      <c r="AU295" s="220"/>
    </row>
    <row r="296" ht="15.75" customHeight="1">
      <c r="A296" s="220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0"/>
      <c r="AA296" s="220"/>
      <c r="AB296" s="220"/>
      <c r="AC296" s="220"/>
      <c r="AD296" s="220"/>
      <c r="AE296" s="220"/>
      <c r="AF296" s="220"/>
      <c r="AG296" s="220"/>
      <c r="AH296" s="220"/>
      <c r="AI296" s="220"/>
      <c r="AJ296" s="220"/>
      <c r="AK296" s="220"/>
      <c r="AL296" s="220"/>
      <c r="AM296" s="220"/>
      <c r="AN296" s="220"/>
      <c r="AO296" s="220"/>
      <c r="AP296" s="220"/>
      <c r="AQ296" s="220"/>
      <c r="AR296" s="220"/>
      <c r="AS296" s="220"/>
      <c r="AT296" s="220"/>
      <c r="AU296" s="220"/>
    </row>
    <row r="297" ht="15.75" customHeight="1">
      <c r="A297" s="22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0"/>
      <c r="AA297" s="220"/>
      <c r="AB297" s="220"/>
      <c r="AC297" s="220"/>
      <c r="AD297" s="220"/>
      <c r="AE297" s="220"/>
      <c r="AF297" s="220"/>
      <c r="AG297" s="220"/>
      <c r="AH297" s="220"/>
      <c r="AI297" s="220"/>
      <c r="AJ297" s="220"/>
      <c r="AK297" s="220"/>
      <c r="AL297" s="220"/>
      <c r="AM297" s="220"/>
      <c r="AN297" s="220"/>
      <c r="AO297" s="220"/>
      <c r="AP297" s="220"/>
      <c r="AQ297" s="220"/>
      <c r="AR297" s="220"/>
      <c r="AS297" s="220"/>
      <c r="AT297" s="220"/>
      <c r="AU297" s="220"/>
    </row>
    <row r="298" ht="15.75" customHeight="1">
      <c r="A298" s="220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0"/>
      <c r="AA298" s="220"/>
      <c r="AB298" s="220"/>
      <c r="AC298" s="220"/>
      <c r="AD298" s="220"/>
      <c r="AE298" s="220"/>
      <c r="AF298" s="220"/>
      <c r="AG298" s="220"/>
      <c r="AH298" s="220"/>
      <c r="AI298" s="220"/>
      <c r="AJ298" s="220"/>
      <c r="AK298" s="220"/>
      <c r="AL298" s="220"/>
      <c r="AM298" s="220"/>
      <c r="AN298" s="220"/>
      <c r="AO298" s="220"/>
      <c r="AP298" s="220"/>
      <c r="AQ298" s="220"/>
      <c r="AR298" s="220"/>
      <c r="AS298" s="220"/>
      <c r="AT298" s="220"/>
      <c r="AU298" s="220"/>
    </row>
    <row r="299" ht="15.75" customHeight="1">
      <c r="A299" s="220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0"/>
      <c r="AA299" s="220"/>
      <c r="AB299" s="220"/>
      <c r="AC299" s="220"/>
      <c r="AD299" s="220"/>
      <c r="AE299" s="220"/>
      <c r="AF299" s="220"/>
      <c r="AG299" s="220"/>
      <c r="AH299" s="220"/>
      <c r="AI299" s="220"/>
      <c r="AJ299" s="220"/>
      <c r="AK299" s="220"/>
      <c r="AL299" s="220"/>
      <c r="AM299" s="220"/>
      <c r="AN299" s="220"/>
      <c r="AO299" s="220"/>
      <c r="AP299" s="220"/>
      <c r="AQ299" s="220"/>
      <c r="AR299" s="220"/>
      <c r="AS299" s="220"/>
      <c r="AT299" s="220"/>
      <c r="AU299" s="220"/>
    </row>
    <row r="300" ht="15.75" customHeight="1">
      <c r="A300" s="220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0"/>
      <c r="AA300" s="220"/>
      <c r="AB300" s="220"/>
      <c r="AC300" s="220"/>
      <c r="AD300" s="220"/>
      <c r="AE300" s="220"/>
      <c r="AF300" s="220"/>
      <c r="AG300" s="220"/>
      <c r="AH300" s="220"/>
      <c r="AI300" s="220"/>
      <c r="AJ300" s="220"/>
      <c r="AK300" s="220"/>
      <c r="AL300" s="220"/>
      <c r="AM300" s="220"/>
      <c r="AN300" s="220"/>
      <c r="AO300" s="220"/>
      <c r="AP300" s="220"/>
      <c r="AQ300" s="220"/>
      <c r="AR300" s="220"/>
      <c r="AS300" s="220"/>
      <c r="AT300" s="220"/>
      <c r="AU300" s="220"/>
    </row>
    <row r="301" ht="15.75" customHeight="1">
      <c r="A301" s="220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  <c r="AA301" s="220"/>
      <c r="AB301" s="220"/>
      <c r="AC301" s="220"/>
      <c r="AD301" s="220"/>
      <c r="AE301" s="220"/>
      <c r="AF301" s="220"/>
      <c r="AG301" s="220"/>
      <c r="AH301" s="220"/>
      <c r="AI301" s="220"/>
      <c r="AJ301" s="220"/>
      <c r="AK301" s="220"/>
      <c r="AL301" s="220"/>
      <c r="AM301" s="220"/>
      <c r="AN301" s="220"/>
      <c r="AO301" s="220"/>
      <c r="AP301" s="220"/>
      <c r="AQ301" s="220"/>
      <c r="AR301" s="220"/>
      <c r="AS301" s="220"/>
      <c r="AT301" s="220"/>
      <c r="AU301" s="220"/>
    </row>
    <row r="302" ht="15.75" customHeight="1">
      <c r="A302" s="220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  <c r="AA302" s="220"/>
      <c r="AB302" s="220"/>
      <c r="AC302" s="220"/>
      <c r="AD302" s="220"/>
      <c r="AE302" s="220"/>
      <c r="AF302" s="220"/>
      <c r="AG302" s="220"/>
      <c r="AH302" s="220"/>
      <c r="AI302" s="220"/>
      <c r="AJ302" s="220"/>
      <c r="AK302" s="220"/>
      <c r="AL302" s="220"/>
      <c r="AM302" s="220"/>
      <c r="AN302" s="220"/>
      <c r="AO302" s="220"/>
      <c r="AP302" s="220"/>
      <c r="AQ302" s="220"/>
      <c r="AR302" s="220"/>
      <c r="AS302" s="220"/>
      <c r="AT302" s="220"/>
      <c r="AU302" s="220"/>
    </row>
    <row r="303" ht="15.75" customHeight="1">
      <c r="A303" s="220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  <c r="AA303" s="220"/>
      <c r="AB303" s="220"/>
      <c r="AC303" s="220"/>
      <c r="AD303" s="220"/>
      <c r="AE303" s="220"/>
      <c r="AF303" s="220"/>
      <c r="AG303" s="220"/>
      <c r="AH303" s="220"/>
      <c r="AI303" s="220"/>
      <c r="AJ303" s="220"/>
      <c r="AK303" s="220"/>
      <c r="AL303" s="220"/>
      <c r="AM303" s="220"/>
      <c r="AN303" s="220"/>
      <c r="AO303" s="220"/>
      <c r="AP303" s="220"/>
      <c r="AQ303" s="220"/>
      <c r="AR303" s="220"/>
      <c r="AS303" s="220"/>
      <c r="AT303" s="220"/>
      <c r="AU303" s="220"/>
    </row>
    <row r="304" ht="15.75" customHeight="1">
      <c r="A304" s="220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0"/>
      <c r="AA304" s="220"/>
      <c r="AB304" s="220"/>
      <c r="AC304" s="220"/>
      <c r="AD304" s="220"/>
      <c r="AE304" s="220"/>
      <c r="AF304" s="220"/>
      <c r="AG304" s="220"/>
      <c r="AH304" s="220"/>
      <c r="AI304" s="220"/>
      <c r="AJ304" s="220"/>
      <c r="AK304" s="220"/>
      <c r="AL304" s="220"/>
      <c r="AM304" s="220"/>
      <c r="AN304" s="220"/>
      <c r="AO304" s="220"/>
      <c r="AP304" s="220"/>
      <c r="AQ304" s="220"/>
      <c r="AR304" s="220"/>
      <c r="AS304" s="220"/>
      <c r="AT304" s="220"/>
      <c r="AU304" s="220"/>
    </row>
    <row r="305" ht="15.75" customHeight="1">
      <c r="A305" s="220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0"/>
      <c r="AA305" s="220"/>
      <c r="AB305" s="220"/>
      <c r="AC305" s="220"/>
      <c r="AD305" s="220"/>
      <c r="AE305" s="220"/>
      <c r="AF305" s="220"/>
      <c r="AG305" s="220"/>
      <c r="AH305" s="220"/>
      <c r="AI305" s="220"/>
      <c r="AJ305" s="220"/>
      <c r="AK305" s="220"/>
      <c r="AL305" s="220"/>
      <c r="AM305" s="220"/>
      <c r="AN305" s="220"/>
      <c r="AO305" s="220"/>
      <c r="AP305" s="220"/>
      <c r="AQ305" s="220"/>
      <c r="AR305" s="220"/>
      <c r="AS305" s="220"/>
      <c r="AT305" s="220"/>
      <c r="AU305" s="220"/>
    </row>
    <row r="306" ht="15.75" customHeight="1">
      <c r="A306" s="220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0"/>
      <c r="AA306" s="220"/>
      <c r="AB306" s="220"/>
      <c r="AC306" s="220"/>
      <c r="AD306" s="220"/>
      <c r="AE306" s="220"/>
      <c r="AF306" s="220"/>
      <c r="AG306" s="220"/>
      <c r="AH306" s="220"/>
      <c r="AI306" s="220"/>
      <c r="AJ306" s="220"/>
      <c r="AK306" s="220"/>
      <c r="AL306" s="220"/>
      <c r="AM306" s="220"/>
      <c r="AN306" s="220"/>
      <c r="AO306" s="220"/>
      <c r="AP306" s="220"/>
      <c r="AQ306" s="220"/>
      <c r="AR306" s="220"/>
      <c r="AS306" s="220"/>
      <c r="AT306" s="220"/>
      <c r="AU306" s="220"/>
    </row>
    <row r="307" ht="15.75" customHeight="1">
      <c r="A307" s="220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  <c r="AA307" s="220"/>
      <c r="AB307" s="220"/>
      <c r="AC307" s="220"/>
      <c r="AD307" s="220"/>
      <c r="AE307" s="220"/>
      <c r="AF307" s="220"/>
      <c r="AG307" s="220"/>
      <c r="AH307" s="220"/>
      <c r="AI307" s="220"/>
      <c r="AJ307" s="220"/>
      <c r="AK307" s="220"/>
      <c r="AL307" s="220"/>
      <c r="AM307" s="220"/>
      <c r="AN307" s="220"/>
      <c r="AO307" s="220"/>
      <c r="AP307" s="220"/>
      <c r="AQ307" s="220"/>
      <c r="AR307" s="220"/>
      <c r="AS307" s="220"/>
      <c r="AT307" s="220"/>
      <c r="AU307" s="220"/>
    </row>
    <row r="308" ht="15.75" customHeight="1">
      <c r="A308" s="220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0"/>
      <c r="AA308" s="220"/>
      <c r="AB308" s="220"/>
      <c r="AC308" s="220"/>
      <c r="AD308" s="220"/>
      <c r="AE308" s="220"/>
      <c r="AF308" s="220"/>
      <c r="AG308" s="220"/>
      <c r="AH308" s="220"/>
      <c r="AI308" s="220"/>
      <c r="AJ308" s="220"/>
      <c r="AK308" s="220"/>
      <c r="AL308" s="220"/>
      <c r="AM308" s="220"/>
      <c r="AN308" s="220"/>
      <c r="AO308" s="220"/>
      <c r="AP308" s="220"/>
      <c r="AQ308" s="220"/>
      <c r="AR308" s="220"/>
      <c r="AS308" s="220"/>
      <c r="AT308" s="220"/>
      <c r="AU308" s="220"/>
    </row>
    <row r="309" ht="15.75" customHeight="1">
      <c r="A309" s="220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  <c r="AA309" s="220"/>
      <c r="AB309" s="220"/>
      <c r="AC309" s="220"/>
      <c r="AD309" s="220"/>
      <c r="AE309" s="220"/>
      <c r="AF309" s="220"/>
      <c r="AG309" s="220"/>
      <c r="AH309" s="220"/>
      <c r="AI309" s="220"/>
      <c r="AJ309" s="220"/>
      <c r="AK309" s="220"/>
      <c r="AL309" s="220"/>
      <c r="AM309" s="220"/>
      <c r="AN309" s="220"/>
      <c r="AO309" s="220"/>
      <c r="AP309" s="220"/>
      <c r="AQ309" s="220"/>
      <c r="AR309" s="220"/>
      <c r="AS309" s="220"/>
      <c r="AT309" s="220"/>
      <c r="AU309" s="220"/>
    </row>
    <row r="310" ht="15.75" customHeight="1">
      <c r="A310" s="220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  <c r="AA310" s="220"/>
      <c r="AB310" s="220"/>
      <c r="AC310" s="220"/>
      <c r="AD310" s="220"/>
      <c r="AE310" s="220"/>
      <c r="AF310" s="220"/>
      <c r="AG310" s="220"/>
      <c r="AH310" s="220"/>
      <c r="AI310" s="220"/>
      <c r="AJ310" s="220"/>
      <c r="AK310" s="220"/>
      <c r="AL310" s="220"/>
      <c r="AM310" s="220"/>
      <c r="AN310" s="220"/>
      <c r="AO310" s="220"/>
      <c r="AP310" s="220"/>
      <c r="AQ310" s="220"/>
      <c r="AR310" s="220"/>
      <c r="AS310" s="220"/>
      <c r="AT310" s="220"/>
      <c r="AU310" s="220"/>
    </row>
    <row r="311" ht="15.75" customHeight="1">
      <c r="A311" s="220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  <c r="AA311" s="220"/>
      <c r="AB311" s="220"/>
      <c r="AC311" s="220"/>
      <c r="AD311" s="220"/>
      <c r="AE311" s="220"/>
      <c r="AF311" s="220"/>
      <c r="AG311" s="220"/>
      <c r="AH311" s="220"/>
      <c r="AI311" s="220"/>
      <c r="AJ311" s="220"/>
      <c r="AK311" s="220"/>
      <c r="AL311" s="220"/>
      <c r="AM311" s="220"/>
      <c r="AN311" s="220"/>
      <c r="AO311" s="220"/>
      <c r="AP311" s="220"/>
      <c r="AQ311" s="220"/>
      <c r="AR311" s="220"/>
      <c r="AS311" s="220"/>
      <c r="AT311" s="220"/>
      <c r="AU311" s="220"/>
    </row>
    <row r="312" ht="15.75" customHeight="1">
      <c r="A312" s="220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0"/>
      <c r="AA312" s="220"/>
      <c r="AB312" s="220"/>
      <c r="AC312" s="220"/>
      <c r="AD312" s="220"/>
      <c r="AE312" s="220"/>
      <c r="AF312" s="220"/>
      <c r="AG312" s="220"/>
      <c r="AH312" s="220"/>
      <c r="AI312" s="220"/>
      <c r="AJ312" s="220"/>
      <c r="AK312" s="220"/>
      <c r="AL312" s="220"/>
      <c r="AM312" s="220"/>
      <c r="AN312" s="220"/>
      <c r="AO312" s="220"/>
      <c r="AP312" s="220"/>
      <c r="AQ312" s="220"/>
      <c r="AR312" s="220"/>
      <c r="AS312" s="220"/>
      <c r="AT312" s="220"/>
      <c r="AU312" s="220"/>
    </row>
    <row r="313" ht="15.75" customHeight="1">
      <c r="A313" s="220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  <c r="AA313" s="220"/>
      <c r="AB313" s="220"/>
      <c r="AC313" s="220"/>
      <c r="AD313" s="220"/>
      <c r="AE313" s="220"/>
      <c r="AF313" s="220"/>
      <c r="AG313" s="220"/>
      <c r="AH313" s="220"/>
      <c r="AI313" s="220"/>
      <c r="AJ313" s="220"/>
      <c r="AK313" s="220"/>
      <c r="AL313" s="220"/>
      <c r="AM313" s="220"/>
      <c r="AN313" s="220"/>
      <c r="AO313" s="220"/>
      <c r="AP313" s="220"/>
      <c r="AQ313" s="220"/>
      <c r="AR313" s="220"/>
      <c r="AS313" s="220"/>
      <c r="AT313" s="220"/>
      <c r="AU313" s="220"/>
    </row>
    <row r="314" ht="15.75" customHeight="1">
      <c r="A314" s="220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  <c r="AA314" s="220"/>
      <c r="AB314" s="220"/>
      <c r="AC314" s="220"/>
      <c r="AD314" s="220"/>
      <c r="AE314" s="220"/>
      <c r="AF314" s="220"/>
      <c r="AG314" s="220"/>
      <c r="AH314" s="220"/>
      <c r="AI314" s="220"/>
      <c r="AJ314" s="220"/>
      <c r="AK314" s="220"/>
      <c r="AL314" s="220"/>
      <c r="AM314" s="220"/>
      <c r="AN314" s="220"/>
      <c r="AO314" s="220"/>
      <c r="AP314" s="220"/>
      <c r="AQ314" s="220"/>
      <c r="AR314" s="220"/>
      <c r="AS314" s="220"/>
      <c r="AT314" s="220"/>
      <c r="AU314" s="220"/>
    </row>
    <row r="315" ht="15.75" customHeight="1">
      <c r="A315" s="220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0"/>
      <c r="AA315" s="220"/>
      <c r="AB315" s="220"/>
      <c r="AC315" s="220"/>
      <c r="AD315" s="220"/>
      <c r="AE315" s="220"/>
      <c r="AF315" s="220"/>
      <c r="AG315" s="220"/>
      <c r="AH315" s="220"/>
      <c r="AI315" s="220"/>
      <c r="AJ315" s="220"/>
      <c r="AK315" s="220"/>
      <c r="AL315" s="220"/>
      <c r="AM315" s="220"/>
      <c r="AN315" s="220"/>
      <c r="AO315" s="220"/>
      <c r="AP315" s="220"/>
      <c r="AQ315" s="220"/>
      <c r="AR315" s="220"/>
      <c r="AS315" s="220"/>
      <c r="AT315" s="220"/>
      <c r="AU315" s="220"/>
    </row>
    <row r="316" ht="15.75" customHeight="1">
      <c r="A316" s="220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0"/>
      <c r="AA316" s="220"/>
      <c r="AB316" s="220"/>
      <c r="AC316" s="220"/>
      <c r="AD316" s="220"/>
      <c r="AE316" s="220"/>
      <c r="AF316" s="220"/>
      <c r="AG316" s="220"/>
      <c r="AH316" s="220"/>
      <c r="AI316" s="220"/>
      <c r="AJ316" s="220"/>
      <c r="AK316" s="220"/>
      <c r="AL316" s="220"/>
      <c r="AM316" s="220"/>
      <c r="AN316" s="220"/>
      <c r="AO316" s="220"/>
      <c r="AP316" s="220"/>
      <c r="AQ316" s="220"/>
      <c r="AR316" s="220"/>
      <c r="AS316" s="220"/>
      <c r="AT316" s="220"/>
      <c r="AU316" s="220"/>
    </row>
    <row r="317" ht="15.75" customHeight="1">
      <c r="A317" s="220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0"/>
      <c r="AA317" s="220"/>
      <c r="AB317" s="220"/>
      <c r="AC317" s="220"/>
      <c r="AD317" s="220"/>
      <c r="AE317" s="220"/>
      <c r="AF317" s="220"/>
      <c r="AG317" s="220"/>
      <c r="AH317" s="220"/>
      <c r="AI317" s="220"/>
      <c r="AJ317" s="220"/>
      <c r="AK317" s="220"/>
      <c r="AL317" s="220"/>
      <c r="AM317" s="220"/>
      <c r="AN317" s="220"/>
      <c r="AO317" s="220"/>
      <c r="AP317" s="220"/>
      <c r="AQ317" s="220"/>
      <c r="AR317" s="220"/>
      <c r="AS317" s="220"/>
      <c r="AT317" s="220"/>
      <c r="AU317" s="220"/>
    </row>
    <row r="318" ht="15.75" customHeight="1">
      <c r="A318" s="220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0"/>
      <c r="AA318" s="220"/>
      <c r="AB318" s="220"/>
      <c r="AC318" s="220"/>
      <c r="AD318" s="220"/>
      <c r="AE318" s="220"/>
      <c r="AF318" s="220"/>
      <c r="AG318" s="220"/>
      <c r="AH318" s="220"/>
      <c r="AI318" s="220"/>
      <c r="AJ318" s="220"/>
      <c r="AK318" s="220"/>
      <c r="AL318" s="220"/>
      <c r="AM318" s="220"/>
      <c r="AN318" s="220"/>
      <c r="AO318" s="220"/>
      <c r="AP318" s="220"/>
      <c r="AQ318" s="220"/>
      <c r="AR318" s="220"/>
      <c r="AS318" s="220"/>
      <c r="AT318" s="220"/>
      <c r="AU318" s="220"/>
    </row>
    <row r="319" ht="15.75" customHeight="1">
      <c r="A319" s="220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0"/>
      <c r="AA319" s="220"/>
      <c r="AB319" s="220"/>
      <c r="AC319" s="220"/>
      <c r="AD319" s="220"/>
      <c r="AE319" s="220"/>
      <c r="AF319" s="220"/>
      <c r="AG319" s="220"/>
      <c r="AH319" s="220"/>
      <c r="AI319" s="220"/>
      <c r="AJ319" s="220"/>
      <c r="AK319" s="220"/>
      <c r="AL319" s="220"/>
      <c r="AM319" s="220"/>
      <c r="AN319" s="220"/>
      <c r="AO319" s="220"/>
      <c r="AP319" s="220"/>
      <c r="AQ319" s="220"/>
      <c r="AR319" s="220"/>
      <c r="AS319" s="220"/>
      <c r="AT319" s="220"/>
      <c r="AU319" s="220"/>
    </row>
    <row r="320" ht="15.75" customHeight="1">
      <c r="A320" s="220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0"/>
      <c r="AA320" s="220"/>
      <c r="AB320" s="220"/>
      <c r="AC320" s="220"/>
      <c r="AD320" s="220"/>
      <c r="AE320" s="220"/>
      <c r="AF320" s="220"/>
      <c r="AG320" s="220"/>
      <c r="AH320" s="220"/>
      <c r="AI320" s="220"/>
      <c r="AJ320" s="220"/>
      <c r="AK320" s="220"/>
      <c r="AL320" s="220"/>
      <c r="AM320" s="220"/>
      <c r="AN320" s="220"/>
      <c r="AO320" s="220"/>
      <c r="AP320" s="220"/>
      <c r="AQ320" s="220"/>
      <c r="AR320" s="220"/>
      <c r="AS320" s="220"/>
      <c r="AT320" s="220"/>
      <c r="AU320" s="220"/>
    </row>
    <row r="321" ht="15.75" customHeight="1">
      <c r="A321" s="220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0"/>
      <c r="AA321" s="220"/>
      <c r="AB321" s="220"/>
      <c r="AC321" s="220"/>
      <c r="AD321" s="220"/>
      <c r="AE321" s="220"/>
      <c r="AF321" s="220"/>
      <c r="AG321" s="220"/>
      <c r="AH321" s="220"/>
      <c r="AI321" s="220"/>
      <c r="AJ321" s="220"/>
      <c r="AK321" s="220"/>
      <c r="AL321" s="220"/>
      <c r="AM321" s="220"/>
      <c r="AN321" s="220"/>
      <c r="AO321" s="220"/>
      <c r="AP321" s="220"/>
      <c r="AQ321" s="220"/>
      <c r="AR321" s="220"/>
      <c r="AS321" s="220"/>
      <c r="AT321" s="220"/>
      <c r="AU321" s="220"/>
    </row>
    <row r="322" ht="15.75" customHeight="1">
      <c r="A322" s="220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0"/>
      <c r="AA322" s="220"/>
      <c r="AB322" s="220"/>
      <c r="AC322" s="220"/>
      <c r="AD322" s="220"/>
      <c r="AE322" s="220"/>
      <c r="AF322" s="220"/>
      <c r="AG322" s="220"/>
      <c r="AH322" s="220"/>
      <c r="AI322" s="220"/>
      <c r="AJ322" s="220"/>
      <c r="AK322" s="220"/>
      <c r="AL322" s="220"/>
      <c r="AM322" s="220"/>
      <c r="AN322" s="220"/>
      <c r="AO322" s="220"/>
      <c r="AP322" s="220"/>
      <c r="AQ322" s="220"/>
      <c r="AR322" s="220"/>
      <c r="AS322" s="220"/>
      <c r="AT322" s="220"/>
      <c r="AU322" s="220"/>
    </row>
    <row r="323" ht="15.75" customHeight="1">
      <c r="A323" s="220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0"/>
      <c r="AA323" s="220"/>
      <c r="AB323" s="220"/>
      <c r="AC323" s="220"/>
      <c r="AD323" s="220"/>
      <c r="AE323" s="220"/>
      <c r="AF323" s="220"/>
      <c r="AG323" s="220"/>
      <c r="AH323" s="220"/>
      <c r="AI323" s="220"/>
      <c r="AJ323" s="220"/>
      <c r="AK323" s="220"/>
      <c r="AL323" s="220"/>
      <c r="AM323" s="220"/>
      <c r="AN323" s="220"/>
      <c r="AO323" s="220"/>
      <c r="AP323" s="220"/>
      <c r="AQ323" s="220"/>
      <c r="AR323" s="220"/>
      <c r="AS323" s="220"/>
      <c r="AT323" s="220"/>
      <c r="AU323" s="220"/>
    </row>
    <row r="324" ht="15.75" customHeight="1">
      <c r="A324" s="220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0"/>
      <c r="AA324" s="220"/>
      <c r="AB324" s="220"/>
      <c r="AC324" s="220"/>
      <c r="AD324" s="220"/>
      <c r="AE324" s="220"/>
      <c r="AF324" s="220"/>
      <c r="AG324" s="220"/>
      <c r="AH324" s="220"/>
      <c r="AI324" s="220"/>
      <c r="AJ324" s="220"/>
      <c r="AK324" s="220"/>
      <c r="AL324" s="220"/>
      <c r="AM324" s="220"/>
      <c r="AN324" s="220"/>
      <c r="AO324" s="220"/>
      <c r="AP324" s="220"/>
      <c r="AQ324" s="220"/>
      <c r="AR324" s="220"/>
      <c r="AS324" s="220"/>
      <c r="AT324" s="220"/>
      <c r="AU324" s="220"/>
    </row>
    <row r="325" ht="15.75" customHeight="1">
      <c r="A325" s="220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0"/>
      <c r="AA325" s="220"/>
      <c r="AB325" s="220"/>
      <c r="AC325" s="220"/>
      <c r="AD325" s="220"/>
      <c r="AE325" s="220"/>
      <c r="AF325" s="220"/>
      <c r="AG325" s="220"/>
      <c r="AH325" s="220"/>
      <c r="AI325" s="220"/>
      <c r="AJ325" s="220"/>
      <c r="AK325" s="220"/>
      <c r="AL325" s="220"/>
      <c r="AM325" s="220"/>
      <c r="AN325" s="220"/>
      <c r="AO325" s="220"/>
      <c r="AP325" s="220"/>
      <c r="AQ325" s="220"/>
      <c r="AR325" s="220"/>
      <c r="AS325" s="220"/>
      <c r="AT325" s="220"/>
      <c r="AU325" s="220"/>
    </row>
    <row r="326" ht="15.75" customHeight="1">
      <c r="A326" s="220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0"/>
      <c r="AA326" s="220"/>
      <c r="AB326" s="220"/>
      <c r="AC326" s="220"/>
      <c r="AD326" s="220"/>
      <c r="AE326" s="220"/>
      <c r="AF326" s="220"/>
      <c r="AG326" s="220"/>
      <c r="AH326" s="220"/>
      <c r="AI326" s="220"/>
      <c r="AJ326" s="220"/>
      <c r="AK326" s="220"/>
      <c r="AL326" s="220"/>
      <c r="AM326" s="220"/>
      <c r="AN326" s="220"/>
      <c r="AO326" s="220"/>
      <c r="AP326" s="220"/>
      <c r="AQ326" s="220"/>
      <c r="AR326" s="220"/>
      <c r="AS326" s="220"/>
      <c r="AT326" s="220"/>
      <c r="AU326" s="220"/>
    </row>
    <row r="327" ht="15.75" customHeight="1">
      <c r="A327" s="220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0"/>
      <c r="AA327" s="220"/>
      <c r="AB327" s="220"/>
      <c r="AC327" s="220"/>
      <c r="AD327" s="220"/>
      <c r="AE327" s="220"/>
      <c r="AF327" s="220"/>
      <c r="AG327" s="220"/>
      <c r="AH327" s="220"/>
      <c r="AI327" s="220"/>
      <c r="AJ327" s="220"/>
      <c r="AK327" s="220"/>
      <c r="AL327" s="220"/>
      <c r="AM327" s="220"/>
      <c r="AN327" s="220"/>
      <c r="AO327" s="220"/>
      <c r="AP327" s="220"/>
      <c r="AQ327" s="220"/>
      <c r="AR327" s="220"/>
      <c r="AS327" s="220"/>
      <c r="AT327" s="220"/>
      <c r="AU327" s="220"/>
    </row>
    <row r="328" ht="15.75" customHeight="1">
      <c r="A328" s="220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0"/>
      <c r="AA328" s="220"/>
      <c r="AB328" s="220"/>
      <c r="AC328" s="220"/>
      <c r="AD328" s="220"/>
      <c r="AE328" s="220"/>
      <c r="AF328" s="220"/>
      <c r="AG328" s="220"/>
      <c r="AH328" s="220"/>
      <c r="AI328" s="220"/>
      <c r="AJ328" s="220"/>
      <c r="AK328" s="220"/>
      <c r="AL328" s="220"/>
      <c r="AM328" s="220"/>
      <c r="AN328" s="220"/>
      <c r="AO328" s="220"/>
      <c r="AP328" s="220"/>
      <c r="AQ328" s="220"/>
      <c r="AR328" s="220"/>
      <c r="AS328" s="220"/>
      <c r="AT328" s="220"/>
      <c r="AU328" s="220"/>
    </row>
    <row r="329" ht="15.75" customHeight="1">
      <c r="A329" s="220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0"/>
      <c r="AA329" s="220"/>
      <c r="AB329" s="220"/>
      <c r="AC329" s="220"/>
      <c r="AD329" s="220"/>
      <c r="AE329" s="220"/>
      <c r="AF329" s="220"/>
      <c r="AG329" s="220"/>
      <c r="AH329" s="220"/>
      <c r="AI329" s="220"/>
      <c r="AJ329" s="220"/>
      <c r="AK329" s="220"/>
      <c r="AL329" s="220"/>
      <c r="AM329" s="220"/>
      <c r="AN329" s="220"/>
      <c r="AO329" s="220"/>
      <c r="AP329" s="220"/>
      <c r="AQ329" s="220"/>
      <c r="AR329" s="220"/>
      <c r="AS329" s="220"/>
      <c r="AT329" s="220"/>
      <c r="AU329" s="220"/>
    </row>
    <row r="330" ht="15.75" customHeight="1">
      <c r="A330" s="220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0"/>
      <c r="AA330" s="220"/>
      <c r="AB330" s="220"/>
      <c r="AC330" s="220"/>
      <c r="AD330" s="220"/>
      <c r="AE330" s="220"/>
      <c r="AF330" s="220"/>
      <c r="AG330" s="220"/>
      <c r="AH330" s="220"/>
      <c r="AI330" s="220"/>
      <c r="AJ330" s="220"/>
      <c r="AK330" s="220"/>
      <c r="AL330" s="220"/>
      <c r="AM330" s="220"/>
      <c r="AN330" s="220"/>
      <c r="AO330" s="220"/>
      <c r="AP330" s="220"/>
      <c r="AQ330" s="220"/>
      <c r="AR330" s="220"/>
      <c r="AS330" s="220"/>
      <c r="AT330" s="220"/>
      <c r="AU330" s="220"/>
    </row>
    <row r="331" ht="15.75" customHeight="1">
      <c r="A331" s="220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0"/>
      <c r="AA331" s="220"/>
      <c r="AB331" s="220"/>
      <c r="AC331" s="220"/>
      <c r="AD331" s="220"/>
      <c r="AE331" s="220"/>
      <c r="AF331" s="220"/>
      <c r="AG331" s="220"/>
      <c r="AH331" s="220"/>
      <c r="AI331" s="220"/>
      <c r="AJ331" s="220"/>
      <c r="AK331" s="220"/>
      <c r="AL331" s="220"/>
      <c r="AM331" s="220"/>
      <c r="AN331" s="220"/>
      <c r="AO331" s="220"/>
      <c r="AP331" s="220"/>
      <c r="AQ331" s="220"/>
      <c r="AR331" s="220"/>
      <c r="AS331" s="220"/>
      <c r="AT331" s="220"/>
      <c r="AU331" s="220"/>
    </row>
    <row r="332" ht="15.75" customHeight="1">
      <c r="A332" s="220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0"/>
      <c r="AA332" s="220"/>
      <c r="AB332" s="220"/>
      <c r="AC332" s="220"/>
      <c r="AD332" s="220"/>
      <c r="AE332" s="220"/>
      <c r="AF332" s="220"/>
      <c r="AG332" s="220"/>
      <c r="AH332" s="220"/>
      <c r="AI332" s="220"/>
      <c r="AJ332" s="220"/>
      <c r="AK332" s="220"/>
      <c r="AL332" s="220"/>
      <c r="AM332" s="220"/>
      <c r="AN332" s="220"/>
      <c r="AO332" s="220"/>
      <c r="AP332" s="220"/>
      <c r="AQ332" s="220"/>
      <c r="AR332" s="220"/>
      <c r="AS332" s="220"/>
      <c r="AT332" s="220"/>
      <c r="AU332" s="220"/>
    </row>
    <row r="333" ht="15.75" customHeight="1">
      <c r="A333" s="220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0"/>
      <c r="AA333" s="220"/>
      <c r="AB333" s="220"/>
      <c r="AC333" s="220"/>
      <c r="AD333" s="220"/>
      <c r="AE333" s="220"/>
      <c r="AF333" s="220"/>
      <c r="AG333" s="220"/>
      <c r="AH333" s="220"/>
      <c r="AI333" s="220"/>
      <c r="AJ333" s="220"/>
      <c r="AK333" s="220"/>
      <c r="AL333" s="220"/>
      <c r="AM333" s="220"/>
      <c r="AN333" s="220"/>
      <c r="AO333" s="220"/>
      <c r="AP333" s="220"/>
      <c r="AQ333" s="220"/>
      <c r="AR333" s="220"/>
      <c r="AS333" s="220"/>
      <c r="AT333" s="220"/>
      <c r="AU333" s="220"/>
    </row>
    <row r="334" ht="15.75" customHeight="1">
      <c r="A334" s="220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0"/>
      <c r="AA334" s="220"/>
      <c r="AB334" s="220"/>
      <c r="AC334" s="220"/>
      <c r="AD334" s="220"/>
      <c r="AE334" s="220"/>
      <c r="AF334" s="220"/>
      <c r="AG334" s="220"/>
      <c r="AH334" s="220"/>
      <c r="AI334" s="220"/>
      <c r="AJ334" s="220"/>
      <c r="AK334" s="220"/>
      <c r="AL334" s="220"/>
      <c r="AM334" s="220"/>
      <c r="AN334" s="220"/>
      <c r="AO334" s="220"/>
      <c r="AP334" s="220"/>
      <c r="AQ334" s="220"/>
      <c r="AR334" s="220"/>
      <c r="AS334" s="220"/>
      <c r="AT334" s="220"/>
      <c r="AU334" s="220"/>
    </row>
    <row r="335" ht="15.75" customHeight="1">
      <c r="A335" s="220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0"/>
      <c r="AA335" s="220"/>
      <c r="AB335" s="220"/>
      <c r="AC335" s="220"/>
      <c r="AD335" s="220"/>
      <c r="AE335" s="220"/>
      <c r="AF335" s="220"/>
      <c r="AG335" s="220"/>
      <c r="AH335" s="220"/>
      <c r="AI335" s="220"/>
      <c r="AJ335" s="220"/>
      <c r="AK335" s="220"/>
      <c r="AL335" s="220"/>
      <c r="AM335" s="220"/>
      <c r="AN335" s="220"/>
      <c r="AO335" s="220"/>
      <c r="AP335" s="220"/>
      <c r="AQ335" s="220"/>
      <c r="AR335" s="220"/>
      <c r="AS335" s="220"/>
      <c r="AT335" s="220"/>
      <c r="AU335" s="220"/>
    </row>
    <row r="336" ht="15.75" customHeight="1">
      <c r="A336" s="220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0"/>
      <c r="AA336" s="220"/>
      <c r="AB336" s="220"/>
      <c r="AC336" s="220"/>
      <c r="AD336" s="220"/>
      <c r="AE336" s="220"/>
      <c r="AF336" s="220"/>
      <c r="AG336" s="220"/>
      <c r="AH336" s="220"/>
      <c r="AI336" s="220"/>
      <c r="AJ336" s="220"/>
      <c r="AK336" s="220"/>
      <c r="AL336" s="220"/>
      <c r="AM336" s="220"/>
      <c r="AN336" s="220"/>
      <c r="AO336" s="220"/>
      <c r="AP336" s="220"/>
      <c r="AQ336" s="220"/>
      <c r="AR336" s="220"/>
      <c r="AS336" s="220"/>
      <c r="AT336" s="220"/>
      <c r="AU336" s="220"/>
    </row>
    <row r="337" ht="15.75" customHeight="1">
      <c r="A337" s="220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0"/>
      <c r="AA337" s="220"/>
      <c r="AB337" s="220"/>
      <c r="AC337" s="220"/>
      <c r="AD337" s="220"/>
      <c r="AE337" s="220"/>
      <c r="AF337" s="220"/>
      <c r="AG337" s="220"/>
      <c r="AH337" s="220"/>
      <c r="AI337" s="220"/>
      <c r="AJ337" s="220"/>
      <c r="AK337" s="220"/>
      <c r="AL337" s="220"/>
      <c r="AM337" s="220"/>
      <c r="AN337" s="220"/>
      <c r="AO337" s="220"/>
      <c r="AP337" s="220"/>
      <c r="AQ337" s="220"/>
      <c r="AR337" s="220"/>
      <c r="AS337" s="220"/>
      <c r="AT337" s="220"/>
      <c r="AU337" s="220"/>
    </row>
    <row r="338" ht="15.75" customHeight="1">
      <c r="A338" s="220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0"/>
      <c r="AA338" s="220"/>
      <c r="AB338" s="220"/>
      <c r="AC338" s="220"/>
      <c r="AD338" s="220"/>
      <c r="AE338" s="220"/>
      <c r="AF338" s="220"/>
      <c r="AG338" s="220"/>
      <c r="AH338" s="220"/>
      <c r="AI338" s="220"/>
      <c r="AJ338" s="220"/>
      <c r="AK338" s="220"/>
      <c r="AL338" s="220"/>
      <c r="AM338" s="220"/>
      <c r="AN338" s="220"/>
      <c r="AO338" s="220"/>
      <c r="AP338" s="220"/>
      <c r="AQ338" s="220"/>
      <c r="AR338" s="220"/>
      <c r="AS338" s="220"/>
      <c r="AT338" s="220"/>
      <c r="AU338" s="220"/>
    </row>
    <row r="339" ht="15.75" customHeight="1">
      <c r="A339" s="220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0"/>
      <c r="AA339" s="220"/>
      <c r="AB339" s="220"/>
      <c r="AC339" s="220"/>
      <c r="AD339" s="220"/>
      <c r="AE339" s="220"/>
      <c r="AF339" s="220"/>
      <c r="AG339" s="220"/>
      <c r="AH339" s="220"/>
      <c r="AI339" s="220"/>
      <c r="AJ339" s="220"/>
      <c r="AK339" s="220"/>
      <c r="AL339" s="220"/>
      <c r="AM339" s="220"/>
      <c r="AN339" s="220"/>
      <c r="AO339" s="220"/>
      <c r="AP339" s="220"/>
      <c r="AQ339" s="220"/>
      <c r="AR339" s="220"/>
      <c r="AS339" s="220"/>
      <c r="AT339" s="220"/>
      <c r="AU339" s="220"/>
    </row>
    <row r="340" ht="15.75" customHeight="1">
      <c r="A340" s="220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0"/>
      <c r="AA340" s="220"/>
      <c r="AB340" s="220"/>
      <c r="AC340" s="220"/>
      <c r="AD340" s="220"/>
      <c r="AE340" s="220"/>
      <c r="AF340" s="220"/>
      <c r="AG340" s="220"/>
      <c r="AH340" s="220"/>
      <c r="AI340" s="220"/>
      <c r="AJ340" s="220"/>
      <c r="AK340" s="220"/>
      <c r="AL340" s="220"/>
      <c r="AM340" s="220"/>
      <c r="AN340" s="220"/>
      <c r="AO340" s="220"/>
      <c r="AP340" s="220"/>
      <c r="AQ340" s="220"/>
      <c r="AR340" s="220"/>
      <c r="AS340" s="220"/>
      <c r="AT340" s="220"/>
      <c r="AU340" s="220"/>
    </row>
    <row r="341" ht="15.75" customHeight="1">
      <c r="A341" s="220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0"/>
      <c r="AA341" s="220"/>
      <c r="AB341" s="220"/>
      <c r="AC341" s="220"/>
      <c r="AD341" s="220"/>
      <c r="AE341" s="220"/>
      <c r="AF341" s="220"/>
      <c r="AG341" s="220"/>
      <c r="AH341" s="220"/>
      <c r="AI341" s="220"/>
      <c r="AJ341" s="220"/>
      <c r="AK341" s="220"/>
      <c r="AL341" s="220"/>
      <c r="AM341" s="220"/>
      <c r="AN341" s="220"/>
      <c r="AO341" s="220"/>
      <c r="AP341" s="220"/>
      <c r="AQ341" s="220"/>
      <c r="AR341" s="220"/>
      <c r="AS341" s="220"/>
      <c r="AT341" s="220"/>
      <c r="AU341" s="220"/>
    </row>
    <row r="342" ht="15.75" customHeight="1">
      <c r="A342" s="220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0"/>
      <c r="AA342" s="220"/>
      <c r="AB342" s="220"/>
      <c r="AC342" s="220"/>
      <c r="AD342" s="220"/>
      <c r="AE342" s="220"/>
      <c r="AF342" s="220"/>
      <c r="AG342" s="220"/>
      <c r="AH342" s="220"/>
      <c r="AI342" s="220"/>
      <c r="AJ342" s="220"/>
      <c r="AK342" s="220"/>
      <c r="AL342" s="220"/>
      <c r="AM342" s="220"/>
      <c r="AN342" s="220"/>
      <c r="AO342" s="220"/>
      <c r="AP342" s="220"/>
      <c r="AQ342" s="220"/>
      <c r="AR342" s="220"/>
      <c r="AS342" s="220"/>
      <c r="AT342" s="220"/>
      <c r="AU342" s="220"/>
    </row>
    <row r="343" ht="15.75" customHeight="1">
      <c r="A343" s="220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0"/>
      <c r="AA343" s="220"/>
      <c r="AB343" s="220"/>
      <c r="AC343" s="220"/>
      <c r="AD343" s="220"/>
      <c r="AE343" s="220"/>
      <c r="AF343" s="220"/>
      <c r="AG343" s="220"/>
      <c r="AH343" s="220"/>
      <c r="AI343" s="220"/>
      <c r="AJ343" s="220"/>
      <c r="AK343" s="220"/>
      <c r="AL343" s="220"/>
      <c r="AM343" s="220"/>
      <c r="AN343" s="220"/>
      <c r="AO343" s="220"/>
      <c r="AP343" s="220"/>
      <c r="AQ343" s="220"/>
      <c r="AR343" s="220"/>
      <c r="AS343" s="220"/>
      <c r="AT343" s="220"/>
      <c r="AU343" s="220"/>
    </row>
    <row r="344" ht="15.75" customHeight="1">
      <c r="A344" s="220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0"/>
      <c r="AA344" s="220"/>
      <c r="AB344" s="220"/>
      <c r="AC344" s="220"/>
      <c r="AD344" s="220"/>
      <c r="AE344" s="220"/>
      <c r="AF344" s="220"/>
      <c r="AG344" s="220"/>
      <c r="AH344" s="220"/>
      <c r="AI344" s="220"/>
      <c r="AJ344" s="220"/>
      <c r="AK344" s="220"/>
      <c r="AL344" s="220"/>
      <c r="AM344" s="220"/>
      <c r="AN344" s="220"/>
      <c r="AO344" s="220"/>
      <c r="AP344" s="220"/>
      <c r="AQ344" s="220"/>
      <c r="AR344" s="220"/>
      <c r="AS344" s="220"/>
      <c r="AT344" s="220"/>
      <c r="AU344" s="220"/>
    </row>
    <row r="345" ht="15.75" customHeight="1">
      <c r="A345" s="220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0"/>
      <c r="AA345" s="220"/>
      <c r="AB345" s="220"/>
      <c r="AC345" s="220"/>
      <c r="AD345" s="220"/>
      <c r="AE345" s="220"/>
      <c r="AF345" s="220"/>
      <c r="AG345" s="220"/>
      <c r="AH345" s="220"/>
      <c r="AI345" s="220"/>
      <c r="AJ345" s="220"/>
      <c r="AK345" s="220"/>
      <c r="AL345" s="220"/>
      <c r="AM345" s="220"/>
      <c r="AN345" s="220"/>
      <c r="AO345" s="220"/>
      <c r="AP345" s="220"/>
      <c r="AQ345" s="220"/>
      <c r="AR345" s="220"/>
      <c r="AS345" s="220"/>
      <c r="AT345" s="220"/>
      <c r="AU345" s="220"/>
    </row>
    <row r="346" ht="15.75" customHeight="1">
      <c r="A346" s="220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0"/>
      <c r="AA346" s="220"/>
      <c r="AB346" s="220"/>
      <c r="AC346" s="220"/>
      <c r="AD346" s="220"/>
      <c r="AE346" s="220"/>
      <c r="AF346" s="220"/>
      <c r="AG346" s="220"/>
      <c r="AH346" s="220"/>
      <c r="AI346" s="220"/>
      <c r="AJ346" s="220"/>
      <c r="AK346" s="220"/>
      <c r="AL346" s="220"/>
      <c r="AM346" s="220"/>
      <c r="AN346" s="220"/>
      <c r="AO346" s="220"/>
      <c r="AP346" s="220"/>
      <c r="AQ346" s="220"/>
      <c r="AR346" s="220"/>
      <c r="AS346" s="220"/>
      <c r="AT346" s="220"/>
      <c r="AU346" s="220"/>
    </row>
    <row r="347" ht="15.75" customHeight="1">
      <c r="A347" s="220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0"/>
      <c r="AA347" s="220"/>
      <c r="AB347" s="220"/>
      <c r="AC347" s="220"/>
      <c r="AD347" s="220"/>
      <c r="AE347" s="220"/>
      <c r="AF347" s="220"/>
      <c r="AG347" s="220"/>
      <c r="AH347" s="220"/>
      <c r="AI347" s="220"/>
      <c r="AJ347" s="220"/>
      <c r="AK347" s="220"/>
      <c r="AL347" s="220"/>
      <c r="AM347" s="220"/>
      <c r="AN347" s="220"/>
      <c r="AO347" s="220"/>
      <c r="AP347" s="220"/>
      <c r="AQ347" s="220"/>
      <c r="AR347" s="220"/>
      <c r="AS347" s="220"/>
      <c r="AT347" s="220"/>
      <c r="AU347" s="220"/>
    </row>
    <row r="348" ht="15.75" customHeight="1">
      <c r="A348" s="220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0"/>
      <c r="AA348" s="220"/>
      <c r="AB348" s="220"/>
      <c r="AC348" s="220"/>
      <c r="AD348" s="220"/>
      <c r="AE348" s="220"/>
      <c r="AF348" s="220"/>
      <c r="AG348" s="220"/>
      <c r="AH348" s="220"/>
      <c r="AI348" s="220"/>
      <c r="AJ348" s="220"/>
      <c r="AK348" s="220"/>
      <c r="AL348" s="220"/>
      <c r="AM348" s="220"/>
      <c r="AN348" s="220"/>
      <c r="AO348" s="220"/>
      <c r="AP348" s="220"/>
      <c r="AQ348" s="220"/>
      <c r="AR348" s="220"/>
      <c r="AS348" s="220"/>
      <c r="AT348" s="220"/>
      <c r="AU348" s="220"/>
    </row>
    <row r="349" ht="15.75" customHeight="1">
      <c r="A349" s="220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0"/>
      <c r="AA349" s="220"/>
      <c r="AB349" s="220"/>
      <c r="AC349" s="220"/>
      <c r="AD349" s="220"/>
      <c r="AE349" s="220"/>
      <c r="AF349" s="220"/>
      <c r="AG349" s="220"/>
      <c r="AH349" s="220"/>
      <c r="AI349" s="220"/>
      <c r="AJ349" s="220"/>
      <c r="AK349" s="220"/>
      <c r="AL349" s="220"/>
      <c r="AM349" s="220"/>
      <c r="AN349" s="220"/>
      <c r="AO349" s="220"/>
      <c r="AP349" s="220"/>
      <c r="AQ349" s="220"/>
      <c r="AR349" s="220"/>
      <c r="AS349" s="220"/>
      <c r="AT349" s="220"/>
      <c r="AU349" s="220"/>
    </row>
    <row r="350" ht="15.75" customHeight="1">
      <c r="A350" s="220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0"/>
      <c r="AA350" s="220"/>
      <c r="AB350" s="220"/>
      <c r="AC350" s="220"/>
      <c r="AD350" s="220"/>
      <c r="AE350" s="220"/>
      <c r="AF350" s="220"/>
      <c r="AG350" s="220"/>
      <c r="AH350" s="220"/>
      <c r="AI350" s="220"/>
      <c r="AJ350" s="220"/>
      <c r="AK350" s="220"/>
      <c r="AL350" s="220"/>
      <c r="AM350" s="220"/>
      <c r="AN350" s="220"/>
      <c r="AO350" s="220"/>
      <c r="AP350" s="220"/>
      <c r="AQ350" s="220"/>
      <c r="AR350" s="220"/>
      <c r="AS350" s="220"/>
      <c r="AT350" s="220"/>
      <c r="AU350" s="220"/>
    </row>
    <row r="351" ht="15.75" customHeight="1">
      <c r="A351" s="220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0"/>
      <c r="AA351" s="220"/>
      <c r="AB351" s="220"/>
      <c r="AC351" s="220"/>
      <c r="AD351" s="220"/>
      <c r="AE351" s="220"/>
      <c r="AF351" s="220"/>
      <c r="AG351" s="220"/>
      <c r="AH351" s="220"/>
      <c r="AI351" s="220"/>
      <c r="AJ351" s="220"/>
      <c r="AK351" s="220"/>
      <c r="AL351" s="220"/>
      <c r="AM351" s="220"/>
      <c r="AN351" s="220"/>
      <c r="AO351" s="220"/>
      <c r="AP351" s="220"/>
      <c r="AQ351" s="220"/>
      <c r="AR351" s="220"/>
      <c r="AS351" s="220"/>
      <c r="AT351" s="220"/>
      <c r="AU351" s="220"/>
    </row>
    <row r="352" ht="15.75" customHeight="1">
      <c r="A352" s="220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0"/>
      <c r="AA352" s="220"/>
      <c r="AB352" s="220"/>
      <c r="AC352" s="220"/>
      <c r="AD352" s="220"/>
      <c r="AE352" s="220"/>
      <c r="AF352" s="220"/>
      <c r="AG352" s="220"/>
      <c r="AH352" s="220"/>
      <c r="AI352" s="220"/>
      <c r="AJ352" s="220"/>
      <c r="AK352" s="220"/>
      <c r="AL352" s="220"/>
      <c r="AM352" s="220"/>
      <c r="AN352" s="220"/>
      <c r="AO352" s="220"/>
      <c r="AP352" s="220"/>
      <c r="AQ352" s="220"/>
      <c r="AR352" s="220"/>
      <c r="AS352" s="220"/>
      <c r="AT352" s="220"/>
      <c r="AU352" s="220"/>
    </row>
    <row r="353" ht="15.75" customHeight="1">
      <c r="A353" s="220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0"/>
      <c r="AA353" s="220"/>
      <c r="AB353" s="220"/>
      <c r="AC353" s="220"/>
      <c r="AD353" s="220"/>
      <c r="AE353" s="220"/>
      <c r="AF353" s="220"/>
      <c r="AG353" s="220"/>
      <c r="AH353" s="220"/>
      <c r="AI353" s="220"/>
      <c r="AJ353" s="220"/>
      <c r="AK353" s="220"/>
      <c r="AL353" s="220"/>
      <c r="AM353" s="220"/>
      <c r="AN353" s="220"/>
      <c r="AO353" s="220"/>
      <c r="AP353" s="220"/>
      <c r="AQ353" s="220"/>
      <c r="AR353" s="220"/>
      <c r="AS353" s="220"/>
      <c r="AT353" s="220"/>
      <c r="AU353" s="220"/>
    </row>
    <row r="354" ht="15.75" customHeight="1">
      <c r="A354" s="220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0"/>
      <c r="AA354" s="220"/>
      <c r="AB354" s="220"/>
      <c r="AC354" s="220"/>
      <c r="AD354" s="220"/>
      <c r="AE354" s="220"/>
      <c r="AF354" s="220"/>
      <c r="AG354" s="220"/>
      <c r="AH354" s="220"/>
      <c r="AI354" s="220"/>
      <c r="AJ354" s="220"/>
      <c r="AK354" s="220"/>
      <c r="AL354" s="220"/>
      <c r="AM354" s="220"/>
      <c r="AN354" s="220"/>
      <c r="AO354" s="220"/>
      <c r="AP354" s="220"/>
      <c r="AQ354" s="220"/>
      <c r="AR354" s="220"/>
      <c r="AS354" s="220"/>
      <c r="AT354" s="220"/>
      <c r="AU354" s="220"/>
    </row>
    <row r="355" ht="15.75" customHeight="1">
      <c r="A355" s="220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0"/>
      <c r="AA355" s="220"/>
      <c r="AB355" s="220"/>
      <c r="AC355" s="220"/>
      <c r="AD355" s="220"/>
      <c r="AE355" s="220"/>
      <c r="AF355" s="220"/>
      <c r="AG355" s="220"/>
      <c r="AH355" s="220"/>
      <c r="AI355" s="220"/>
      <c r="AJ355" s="220"/>
      <c r="AK355" s="220"/>
      <c r="AL355" s="220"/>
      <c r="AM355" s="220"/>
      <c r="AN355" s="220"/>
      <c r="AO355" s="220"/>
      <c r="AP355" s="220"/>
      <c r="AQ355" s="220"/>
      <c r="AR355" s="220"/>
      <c r="AS355" s="220"/>
      <c r="AT355" s="220"/>
      <c r="AU355" s="220"/>
    </row>
    <row r="356" ht="15.75" customHeight="1">
      <c r="A356" s="220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0"/>
      <c r="AA356" s="220"/>
      <c r="AB356" s="220"/>
      <c r="AC356" s="220"/>
      <c r="AD356" s="220"/>
      <c r="AE356" s="220"/>
      <c r="AF356" s="220"/>
      <c r="AG356" s="220"/>
      <c r="AH356" s="220"/>
      <c r="AI356" s="220"/>
      <c r="AJ356" s="220"/>
      <c r="AK356" s="220"/>
      <c r="AL356" s="220"/>
      <c r="AM356" s="220"/>
      <c r="AN356" s="220"/>
      <c r="AO356" s="220"/>
      <c r="AP356" s="220"/>
      <c r="AQ356" s="220"/>
      <c r="AR356" s="220"/>
      <c r="AS356" s="220"/>
      <c r="AT356" s="220"/>
      <c r="AU356" s="220"/>
    </row>
    <row r="357" ht="15.75" customHeight="1">
      <c r="A357" s="220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0"/>
      <c r="AA357" s="220"/>
      <c r="AB357" s="220"/>
      <c r="AC357" s="220"/>
      <c r="AD357" s="220"/>
      <c r="AE357" s="220"/>
      <c r="AF357" s="220"/>
      <c r="AG357" s="220"/>
      <c r="AH357" s="220"/>
      <c r="AI357" s="220"/>
      <c r="AJ357" s="220"/>
      <c r="AK357" s="220"/>
      <c r="AL357" s="220"/>
      <c r="AM357" s="220"/>
      <c r="AN357" s="220"/>
      <c r="AO357" s="220"/>
      <c r="AP357" s="220"/>
      <c r="AQ357" s="220"/>
      <c r="AR357" s="220"/>
      <c r="AS357" s="220"/>
      <c r="AT357" s="220"/>
      <c r="AU357" s="220"/>
    </row>
    <row r="358" ht="15.75" customHeight="1">
      <c r="A358" s="220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0"/>
      <c r="AA358" s="220"/>
      <c r="AB358" s="220"/>
      <c r="AC358" s="220"/>
      <c r="AD358" s="220"/>
      <c r="AE358" s="220"/>
      <c r="AF358" s="220"/>
      <c r="AG358" s="220"/>
      <c r="AH358" s="220"/>
      <c r="AI358" s="220"/>
      <c r="AJ358" s="220"/>
      <c r="AK358" s="220"/>
      <c r="AL358" s="220"/>
      <c r="AM358" s="220"/>
      <c r="AN358" s="220"/>
      <c r="AO358" s="220"/>
      <c r="AP358" s="220"/>
      <c r="AQ358" s="220"/>
      <c r="AR358" s="220"/>
      <c r="AS358" s="220"/>
      <c r="AT358" s="220"/>
      <c r="AU358" s="220"/>
    </row>
    <row r="359" ht="15.75" customHeight="1">
      <c r="A359" s="220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0"/>
      <c r="AA359" s="220"/>
      <c r="AB359" s="220"/>
      <c r="AC359" s="220"/>
      <c r="AD359" s="220"/>
      <c r="AE359" s="220"/>
      <c r="AF359" s="220"/>
      <c r="AG359" s="220"/>
      <c r="AH359" s="220"/>
      <c r="AI359" s="220"/>
      <c r="AJ359" s="220"/>
      <c r="AK359" s="220"/>
      <c r="AL359" s="220"/>
      <c r="AM359" s="220"/>
      <c r="AN359" s="220"/>
      <c r="AO359" s="220"/>
      <c r="AP359" s="220"/>
      <c r="AQ359" s="220"/>
      <c r="AR359" s="220"/>
      <c r="AS359" s="220"/>
      <c r="AT359" s="220"/>
      <c r="AU359" s="220"/>
    </row>
    <row r="360" ht="15.75" customHeight="1">
      <c r="A360" s="220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0"/>
      <c r="AA360" s="220"/>
      <c r="AB360" s="220"/>
      <c r="AC360" s="220"/>
      <c r="AD360" s="220"/>
      <c r="AE360" s="220"/>
      <c r="AF360" s="220"/>
      <c r="AG360" s="220"/>
      <c r="AH360" s="220"/>
      <c r="AI360" s="220"/>
      <c r="AJ360" s="220"/>
      <c r="AK360" s="220"/>
      <c r="AL360" s="220"/>
      <c r="AM360" s="220"/>
      <c r="AN360" s="220"/>
      <c r="AO360" s="220"/>
      <c r="AP360" s="220"/>
      <c r="AQ360" s="220"/>
      <c r="AR360" s="220"/>
      <c r="AS360" s="220"/>
      <c r="AT360" s="220"/>
      <c r="AU360" s="220"/>
    </row>
    <row r="361" ht="15.75" customHeight="1">
      <c r="A361" s="220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0"/>
      <c r="AA361" s="220"/>
      <c r="AB361" s="220"/>
      <c r="AC361" s="220"/>
      <c r="AD361" s="220"/>
      <c r="AE361" s="220"/>
      <c r="AF361" s="220"/>
      <c r="AG361" s="220"/>
      <c r="AH361" s="220"/>
      <c r="AI361" s="220"/>
      <c r="AJ361" s="220"/>
      <c r="AK361" s="220"/>
      <c r="AL361" s="220"/>
      <c r="AM361" s="220"/>
      <c r="AN361" s="220"/>
      <c r="AO361" s="220"/>
      <c r="AP361" s="220"/>
      <c r="AQ361" s="220"/>
      <c r="AR361" s="220"/>
      <c r="AS361" s="220"/>
      <c r="AT361" s="220"/>
      <c r="AU361" s="220"/>
    </row>
    <row r="362" ht="15.75" customHeight="1">
      <c r="A362" s="220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0"/>
      <c r="AA362" s="220"/>
      <c r="AB362" s="220"/>
      <c r="AC362" s="220"/>
      <c r="AD362" s="220"/>
      <c r="AE362" s="220"/>
      <c r="AF362" s="220"/>
      <c r="AG362" s="220"/>
      <c r="AH362" s="220"/>
      <c r="AI362" s="220"/>
      <c r="AJ362" s="220"/>
      <c r="AK362" s="220"/>
      <c r="AL362" s="220"/>
      <c r="AM362" s="220"/>
      <c r="AN362" s="220"/>
      <c r="AO362" s="220"/>
      <c r="AP362" s="220"/>
      <c r="AQ362" s="220"/>
      <c r="AR362" s="220"/>
      <c r="AS362" s="220"/>
      <c r="AT362" s="220"/>
      <c r="AU362" s="220"/>
    </row>
    <row r="363" ht="15.75" customHeight="1">
      <c r="A363" s="220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0"/>
      <c r="AA363" s="220"/>
      <c r="AB363" s="220"/>
      <c r="AC363" s="220"/>
      <c r="AD363" s="220"/>
      <c r="AE363" s="220"/>
      <c r="AF363" s="220"/>
      <c r="AG363" s="220"/>
      <c r="AH363" s="220"/>
      <c r="AI363" s="220"/>
      <c r="AJ363" s="220"/>
      <c r="AK363" s="220"/>
      <c r="AL363" s="220"/>
      <c r="AM363" s="220"/>
      <c r="AN363" s="220"/>
      <c r="AO363" s="220"/>
      <c r="AP363" s="220"/>
      <c r="AQ363" s="220"/>
      <c r="AR363" s="220"/>
      <c r="AS363" s="220"/>
      <c r="AT363" s="220"/>
      <c r="AU363" s="220"/>
    </row>
    <row r="364" ht="15.75" customHeight="1">
      <c r="A364" s="220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0"/>
      <c r="AA364" s="220"/>
      <c r="AB364" s="220"/>
      <c r="AC364" s="220"/>
      <c r="AD364" s="220"/>
      <c r="AE364" s="220"/>
      <c r="AF364" s="220"/>
      <c r="AG364" s="220"/>
      <c r="AH364" s="220"/>
      <c r="AI364" s="220"/>
      <c r="AJ364" s="220"/>
      <c r="AK364" s="220"/>
      <c r="AL364" s="220"/>
      <c r="AM364" s="220"/>
      <c r="AN364" s="220"/>
      <c r="AO364" s="220"/>
      <c r="AP364" s="220"/>
      <c r="AQ364" s="220"/>
      <c r="AR364" s="220"/>
      <c r="AS364" s="220"/>
      <c r="AT364" s="220"/>
      <c r="AU364" s="220"/>
    </row>
    <row r="365" ht="15.75" customHeight="1">
      <c r="A365" s="220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0"/>
      <c r="AA365" s="220"/>
      <c r="AB365" s="220"/>
      <c r="AC365" s="220"/>
      <c r="AD365" s="220"/>
      <c r="AE365" s="220"/>
      <c r="AF365" s="220"/>
      <c r="AG365" s="220"/>
      <c r="AH365" s="220"/>
      <c r="AI365" s="220"/>
      <c r="AJ365" s="220"/>
      <c r="AK365" s="220"/>
      <c r="AL365" s="220"/>
      <c r="AM365" s="220"/>
      <c r="AN365" s="220"/>
      <c r="AO365" s="220"/>
      <c r="AP365" s="220"/>
      <c r="AQ365" s="220"/>
      <c r="AR365" s="220"/>
      <c r="AS365" s="220"/>
      <c r="AT365" s="220"/>
      <c r="AU365" s="220"/>
    </row>
    <row r="366" ht="15.75" customHeight="1">
      <c r="A366" s="220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0"/>
      <c r="AA366" s="220"/>
      <c r="AB366" s="220"/>
      <c r="AC366" s="220"/>
      <c r="AD366" s="220"/>
      <c r="AE366" s="220"/>
      <c r="AF366" s="220"/>
      <c r="AG366" s="220"/>
      <c r="AH366" s="220"/>
      <c r="AI366" s="220"/>
      <c r="AJ366" s="220"/>
      <c r="AK366" s="220"/>
      <c r="AL366" s="220"/>
      <c r="AM366" s="220"/>
      <c r="AN366" s="220"/>
      <c r="AO366" s="220"/>
      <c r="AP366" s="220"/>
      <c r="AQ366" s="220"/>
      <c r="AR366" s="220"/>
      <c r="AS366" s="220"/>
      <c r="AT366" s="220"/>
      <c r="AU366" s="220"/>
    </row>
    <row r="367" ht="15.75" customHeight="1">
      <c r="A367" s="220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0"/>
      <c r="AA367" s="220"/>
      <c r="AB367" s="220"/>
      <c r="AC367" s="220"/>
      <c r="AD367" s="220"/>
      <c r="AE367" s="220"/>
      <c r="AF367" s="220"/>
      <c r="AG367" s="220"/>
      <c r="AH367" s="220"/>
      <c r="AI367" s="220"/>
      <c r="AJ367" s="220"/>
      <c r="AK367" s="220"/>
      <c r="AL367" s="220"/>
      <c r="AM367" s="220"/>
      <c r="AN367" s="220"/>
      <c r="AO367" s="220"/>
      <c r="AP367" s="220"/>
      <c r="AQ367" s="220"/>
      <c r="AR367" s="220"/>
      <c r="AS367" s="220"/>
      <c r="AT367" s="220"/>
      <c r="AU367" s="220"/>
    </row>
    <row r="368" ht="15.75" customHeight="1">
      <c r="A368" s="220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0"/>
      <c r="AA368" s="220"/>
      <c r="AB368" s="220"/>
      <c r="AC368" s="220"/>
      <c r="AD368" s="220"/>
      <c r="AE368" s="220"/>
      <c r="AF368" s="220"/>
      <c r="AG368" s="220"/>
      <c r="AH368" s="220"/>
      <c r="AI368" s="220"/>
      <c r="AJ368" s="220"/>
      <c r="AK368" s="220"/>
      <c r="AL368" s="220"/>
      <c r="AM368" s="220"/>
      <c r="AN368" s="220"/>
      <c r="AO368" s="220"/>
      <c r="AP368" s="220"/>
      <c r="AQ368" s="220"/>
      <c r="AR368" s="220"/>
      <c r="AS368" s="220"/>
      <c r="AT368" s="220"/>
      <c r="AU368" s="220"/>
    </row>
    <row r="369" ht="15.75" customHeight="1">
      <c r="A369" s="220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0"/>
      <c r="AA369" s="220"/>
      <c r="AB369" s="220"/>
      <c r="AC369" s="220"/>
      <c r="AD369" s="220"/>
      <c r="AE369" s="220"/>
      <c r="AF369" s="220"/>
      <c r="AG369" s="220"/>
      <c r="AH369" s="220"/>
      <c r="AI369" s="220"/>
      <c r="AJ369" s="220"/>
      <c r="AK369" s="220"/>
      <c r="AL369" s="220"/>
      <c r="AM369" s="220"/>
      <c r="AN369" s="220"/>
      <c r="AO369" s="220"/>
      <c r="AP369" s="220"/>
      <c r="AQ369" s="220"/>
      <c r="AR369" s="220"/>
      <c r="AS369" s="220"/>
      <c r="AT369" s="220"/>
      <c r="AU369" s="220"/>
    </row>
    <row r="370" ht="15.75" customHeight="1">
      <c r="A370" s="220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0"/>
      <c r="AA370" s="220"/>
      <c r="AB370" s="220"/>
      <c r="AC370" s="220"/>
      <c r="AD370" s="220"/>
      <c r="AE370" s="220"/>
      <c r="AF370" s="220"/>
      <c r="AG370" s="220"/>
      <c r="AH370" s="220"/>
      <c r="AI370" s="220"/>
      <c r="AJ370" s="220"/>
      <c r="AK370" s="220"/>
      <c r="AL370" s="220"/>
      <c r="AM370" s="220"/>
      <c r="AN370" s="220"/>
      <c r="AO370" s="220"/>
      <c r="AP370" s="220"/>
      <c r="AQ370" s="220"/>
      <c r="AR370" s="220"/>
      <c r="AS370" s="220"/>
      <c r="AT370" s="220"/>
      <c r="AU370" s="220"/>
    </row>
    <row r="371" ht="15.75" customHeight="1">
      <c r="A371" s="220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0"/>
      <c r="AA371" s="220"/>
      <c r="AB371" s="220"/>
      <c r="AC371" s="220"/>
      <c r="AD371" s="220"/>
      <c r="AE371" s="220"/>
      <c r="AF371" s="220"/>
      <c r="AG371" s="220"/>
      <c r="AH371" s="220"/>
      <c r="AI371" s="220"/>
      <c r="AJ371" s="220"/>
      <c r="AK371" s="220"/>
      <c r="AL371" s="220"/>
      <c r="AM371" s="220"/>
      <c r="AN371" s="220"/>
      <c r="AO371" s="220"/>
      <c r="AP371" s="220"/>
      <c r="AQ371" s="220"/>
      <c r="AR371" s="220"/>
      <c r="AS371" s="220"/>
      <c r="AT371" s="220"/>
      <c r="AU371" s="220"/>
    </row>
    <row r="372" ht="15.75" customHeight="1">
      <c r="A372" s="220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0"/>
      <c r="AA372" s="220"/>
      <c r="AB372" s="220"/>
      <c r="AC372" s="220"/>
      <c r="AD372" s="220"/>
      <c r="AE372" s="220"/>
      <c r="AF372" s="220"/>
      <c r="AG372" s="220"/>
      <c r="AH372" s="220"/>
      <c r="AI372" s="220"/>
      <c r="AJ372" s="220"/>
      <c r="AK372" s="220"/>
      <c r="AL372" s="220"/>
      <c r="AM372" s="220"/>
      <c r="AN372" s="220"/>
      <c r="AO372" s="220"/>
      <c r="AP372" s="220"/>
      <c r="AQ372" s="220"/>
      <c r="AR372" s="220"/>
      <c r="AS372" s="220"/>
      <c r="AT372" s="220"/>
      <c r="AU372" s="220"/>
    </row>
    <row r="373" ht="15.75" customHeight="1">
      <c r="A373" s="220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0"/>
      <c r="AA373" s="220"/>
      <c r="AB373" s="220"/>
      <c r="AC373" s="220"/>
      <c r="AD373" s="220"/>
      <c r="AE373" s="220"/>
      <c r="AF373" s="220"/>
      <c r="AG373" s="220"/>
      <c r="AH373" s="220"/>
      <c r="AI373" s="220"/>
      <c r="AJ373" s="220"/>
      <c r="AK373" s="220"/>
      <c r="AL373" s="220"/>
      <c r="AM373" s="220"/>
      <c r="AN373" s="220"/>
      <c r="AO373" s="220"/>
      <c r="AP373" s="220"/>
      <c r="AQ373" s="220"/>
      <c r="AR373" s="220"/>
      <c r="AS373" s="220"/>
      <c r="AT373" s="220"/>
      <c r="AU373" s="220"/>
    </row>
    <row r="374" ht="15.75" customHeight="1">
      <c r="A374" s="220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0"/>
      <c r="AA374" s="220"/>
      <c r="AB374" s="220"/>
      <c r="AC374" s="220"/>
      <c r="AD374" s="220"/>
      <c r="AE374" s="220"/>
      <c r="AF374" s="220"/>
      <c r="AG374" s="220"/>
      <c r="AH374" s="220"/>
      <c r="AI374" s="220"/>
      <c r="AJ374" s="220"/>
      <c r="AK374" s="220"/>
      <c r="AL374" s="220"/>
      <c r="AM374" s="220"/>
      <c r="AN374" s="220"/>
      <c r="AO374" s="220"/>
      <c r="AP374" s="220"/>
      <c r="AQ374" s="220"/>
      <c r="AR374" s="220"/>
      <c r="AS374" s="220"/>
      <c r="AT374" s="220"/>
      <c r="AU374" s="220"/>
    </row>
    <row r="375" ht="15.75" customHeight="1">
      <c r="A375" s="220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0"/>
      <c r="AA375" s="220"/>
      <c r="AB375" s="220"/>
      <c r="AC375" s="220"/>
      <c r="AD375" s="220"/>
      <c r="AE375" s="220"/>
      <c r="AF375" s="220"/>
      <c r="AG375" s="220"/>
      <c r="AH375" s="220"/>
      <c r="AI375" s="220"/>
      <c r="AJ375" s="220"/>
      <c r="AK375" s="220"/>
      <c r="AL375" s="220"/>
      <c r="AM375" s="220"/>
      <c r="AN375" s="220"/>
      <c r="AO375" s="220"/>
      <c r="AP375" s="220"/>
      <c r="AQ375" s="220"/>
      <c r="AR375" s="220"/>
      <c r="AS375" s="220"/>
      <c r="AT375" s="220"/>
      <c r="AU375" s="220"/>
    </row>
    <row r="376" ht="15.75" customHeight="1">
      <c r="A376" s="220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0"/>
      <c r="AA376" s="220"/>
      <c r="AB376" s="220"/>
      <c r="AC376" s="220"/>
      <c r="AD376" s="220"/>
      <c r="AE376" s="220"/>
      <c r="AF376" s="220"/>
      <c r="AG376" s="220"/>
      <c r="AH376" s="220"/>
      <c r="AI376" s="220"/>
      <c r="AJ376" s="220"/>
      <c r="AK376" s="220"/>
      <c r="AL376" s="220"/>
      <c r="AM376" s="220"/>
      <c r="AN376" s="220"/>
      <c r="AO376" s="220"/>
      <c r="AP376" s="220"/>
      <c r="AQ376" s="220"/>
      <c r="AR376" s="220"/>
      <c r="AS376" s="220"/>
      <c r="AT376" s="220"/>
      <c r="AU376" s="220"/>
    </row>
    <row r="377" ht="15.75" customHeight="1">
      <c r="A377" s="220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0"/>
      <c r="AA377" s="220"/>
      <c r="AB377" s="220"/>
      <c r="AC377" s="220"/>
      <c r="AD377" s="220"/>
      <c r="AE377" s="220"/>
      <c r="AF377" s="220"/>
      <c r="AG377" s="220"/>
      <c r="AH377" s="220"/>
      <c r="AI377" s="220"/>
      <c r="AJ377" s="220"/>
      <c r="AK377" s="220"/>
      <c r="AL377" s="220"/>
      <c r="AM377" s="220"/>
      <c r="AN377" s="220"/>
      <c r="AO377" s="220"/>
      <c r="AP377" s="220"/>
      <c r="AQ377" s="220"/>
      <c r="AR377" s="220"/>
      <c r="AS377" s="220"/>
      <c r="AT377" s="220"/>
      <c r="AU377" s="220"/>
    </row>
    <row r="378" ht="15.75" customHeight="1">
      <c r="A378" s="220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0"/>
      <c r="AA378" s="220"/>
      <c r="AB378" s="220"/>
      <c r="AC378" s="220"/>
      <c r="AD378" s="220"/>
      <c r="AE378" s="220"/>
      <c r="AF378" s="220"/>
      <c r="AG378" s="220"/>
      <c r="AH378" s="220"/>
      <c r="AI378" s="220"/>
      <c r="AJ378" s="220"/>
      <c r="AK378" s="220"/>
      <c r="AL378" s="220"/>
      <c r="AM378" s="220"/>
      <c r="AN378" s="220"/>
      <c r="AO378" s="220"/>
      <c r="AP378" s="220"/>
      <c r="AQ378" s="220"/>
      <c r="AR378" s="220"/>
      <c r="AS378" s="220"/>
      <c r="AT378" s="220"/>
      <c r="AU378" s="220"/>
    </row>
    <row r="379" ht="15.75" customHeight="1">
      <c r="A379" s="220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0"/>
      <c r="AA379" s="220"/>
      <c r="AB379" s="220"/>
      <c r="AC379" s="220"/>
      <c r="AD379" s="220"/>
      <c r="AE379" s="220"/>
      <c r="AF379" s="220"/>
      <c r="AG379" s="220"/>
      <c r="AH379" s="220"/>
      <c r="AI379" s="220"/>
      <c r="AJ379" s="220"/>
      <c r="AK379" s="220"/>
      <c r="AL379" s="220"/>
      <c r="AM379" s="220"/>
      <c r="AN379" s="220"/>
      <c r="AO379" s="220"/>
      <c r="AP379" s="220"/>
      <c r="AQ379" s="220"/>
      <c r="AR379" s="220"/>
      <c r="AS379" s="220"/>
      <c r="AT379" s="220"/>
      <c r="AU379" s="220"/>
    </row>
    <row r="380" ht="15.75" customHeight="1">
      <c r="A380" s="220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0"/>
      <c r="AA380" s="220"/>
      <c r="AB380" s="220"/>
      <c r="AC380" s="220"/>
      <c r="AD380" s="220"/>
      <c r="AE380" s="220"/>
      <c r="AF380" s="220"/>
      <c r="AG380" s="220"/>
      <c r="AH380" s="220"/>
      <c r="AI380" s="220"/>
      <c r="AJ380" s="220"/>
      <c r="AK380" s="220"/>
      <c r="AL380" s="220"/>
      <c r="AM380" s="220"/>
      <c r="AN380" s="220"/>
      <c r="AO380" s="220"/>
      <c r="AP380" s="220"/>
      <c r="AQ380" s="220"/>
      <c r="AR380" s="220"/>
      <c r="AS380" s="220"/>
      <c r="AT380" s="220"/>
      <c r="AU380" s="220"/>
    </row>
    <row r="381" ht="15.75" customHeight="1">
      <c r="A381" s="220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0"/>
      <c r="AA381" s="220"/>
      <c r="AB381" s="220"/>
      <c r="AC381" s="220"/>
      <c r="AD381" s="220"/>
      <c r="AE381" s="220"/>
      <c r="AF381" s="220"/>
      <c r="AG381" s="220"/>
      <c r="AH381" s="220"/>
      <c r="AI381" s="220"/>
      <c r="AJ381" s="220"/>
      <c r="AK381" s="220"/>
      <c r="AL381" s="220"/>
      <c r="AM381" s="220"/>
      <c r="AN381" s="220"/>
      <c r="AO381" s="220"/>
      <c r="AP381" s="220"/>
      <c r="AQ381" s="220"/>
      <c r="AR381" s="220"/>
      <c r="AS381" s="220"/>
      <c r="AT381" s="220"/>
      <c r="AU381" s="220"/>
    </row>
    <row r="382" ht="15.75" customHeight="1">
      <c r="A382" s="220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0"/>
      <c r="AA382" s="220"/>
      <c r="AB382" s="220"/>
      <c r="AC382" s="220"/>
      <c r="AD382" s="220"/>
      <c r="AE382" s="220"/>
      <c r="AF382" s="220"/>
      <c r="AG382" s="220"/>
      <c r="AH382" s="220"/>
      <c r="AI382" s="220"/>
      <c r="AJ382" s="220"/>
      <c r="AK382" s="220"/>
      <c r="AL382" s="220"/>
      <c r="AM382" s="220"/>
      <c r="AN382" s="220"/>
      <c r="AO382" s="220"/>
      <c r="AP382" s="220"/>
      <c r="AQ382" s="220"/>
      <c r="AR382" s="220"/>
      <c r="AS382" s="220"/>
      <c r="AT382" s="220"/>
      <c r="AU382" s="220"/>
    </row>
    <row r="383" ht="15.75" customHeight="1">
      <c r="A383" s="220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0"/>
      <c r="AA383" s="220"/>
      <c r="AB383" s="220"/>
      <c r="AC383" s="220"/>
      <c r="AD383" s="220"/>
      <c r="AE383" s="220"/>
      <c r="AF383" s="220"/>
      <c r="AG383" s="220"/>
      <c r="AH383" s="220"/>
      <c r="AI383" s="220"/>
      <c r="AJ383" s="220"/>
      <c r="AK383" s="220"/>
      <c r="AL383" s="220"/>
      <c r="AM383" s="220"/>
      <c r="AN383" s="220"/>
      <c r="AO383" s="220"/>
      <c r="AP383" s="220"/>
      <c r="AQ383" s="220"/>
      <c r="AR383" s="220"/>
      <c r="AS383" s="220"/>
      <c r="AT383" s="220"/>
      <c r="AU383" s="220"/>
    </row>
    <row r="384" ht="15.75" customHeight="1">
      <c r="A384" s="220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0"/>
      <c r="AA384" s="220"/>
      <c r="AB384" s="220"/>
      <c r="AC384" s="220"/>
      <c r="AD384" s="220"/>
      <c r="AE384" s="220"/>
      <c r="AF384" s="220"/>
      <c r="AG384" s="220"/>
      <c r="AH384" s="220"/>
      <c r="AI384" s="220"/>
      <c r="AJ384" s="220"/>
      <c r="AK384" s="220"/>
      <c r="AL384" s="220"/>
      <c r="AM384" s="220"/>
      <c r="AN384" s="220"/>
      <c r="AO384" s="220"/>
      <c r="AP384" s="220"/>
      <c r="AQ384" s="220"/>
      <c r="AR384" s="220"/>
      <c r="AS384" s="220"/>
      <c r="AT384" s="220"/>
      <c r="AU384" s="220"/>
    </row>
    <row r="385" ht="15.75" customHeight="1">
      <c r="A385" s="220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0"/>
      <c r="AA385" s="220"/>
      <c r="AB385" s="220"/>
      <c r="AC385" s="220"/>
      <c r="AD385" s="220"/>
      <c r="AE385" s="220"/>
      <c r="AF385" s="220"/>
      <c r="AG385" s="220"/>
      <c r="AH385" s="220"/>
      <c r="AI385" s="220"/>
      <c r="AJ385" s="220"/>
      <c r="AK385" s="220"/>
      <c r="AL385" s="220"/>
      <c r="AM385" s="220"/>
      <c r="AN385" s="220"/>
      <c r="AO385" s="220"/>
      <c r="AP385" s="220"/>
      <c r="AQ385" s="220"/>
      <c r="AR385" s="220"/>
      <c r="AS385" s="220"/>
      <c r="AT385" s="220"/>
      <c r="AU385" s="220"/>
    </row>
    <row r="386" ht="15.75" customHeight="1">
      <c r="A386" s="220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0"/>
      <c r="AA386" s="220"/>
      <c r="AB386" s="220"/>
      <c r="AC386" s="220"/>
      <c r="AD386" s="220"/>
      <c r="AE386" s="220"/>
      <c r="AF386" s="220"/>
      <c r="AG386" s="220"/>
      <c r="AH386" s="220"/>
      <c r="AI386" s="220"/>
      <c r="AJ386" s="220"/>
      <c r="AK386" s="220"/>
      <c r="AL386" s="220"/>
      <c r="AM386" s="220"/>
      <c r="AN386" s="220"/>
      <c r="AO386" s="220"/>
      <c r="AP386" s="220"/>
      <c r="AQ386" s="220"/>
      <c r="AR386" s="220"/>
      <c r="AS386" s="220"/>
      <c r="AT386" s="220"/>
      <c r="AU386" s="220"/>
    </row>
    <row r="387" ht="15.75" customHeight="1">
      <c r="A387" s="220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0"/>
      <c r="AA387" s="220"/>
      <c r="AB387" s="220"/>
      <c r="AC387" s="220"/>
      <c r="AD387" s="220"/>
      <c r="AE387" s="220"/>
      <c r="AF387" s="220"/>
      <c r="AG387" s="220"/>
      <c r="AH387" s="220"/>
      <c r="AI387" s="220"/>
      <c r="AJ387" s="220"/>
      <c r="AK387" s="220"/>
      <c r="AL387" s="220"/>
      <c r="AM387" s="220"/>
      <c r="AN387" s="220"/>
      <c r="AO387" s="220"/>
      <c r="AP387" s="220"/>
      <c r="AQ387" s="220"/>
      <c r="AR387" s="220"/>
      <c r="AS387" s="220"/>
      <c r="AT387" s="220"/>
      <c r="AU387" s="220"/>
    </row>
    <row r="388" ht="15.75" customHeight="1">
      <c r="A388" s="220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0"/>
      <c r="AA388" s="220"/>
      <c r="AB388" s="220"/>
      <c r="AC388" s="220"/>
      <c r="AD388" s="220"/>
      <c r="AE388" s="220"/>
      <c r="AF388" s="220"/>
      <c r="AG388" s="220"/>
      <c r="AH388" s="220"/>
      <c r="AI388" s="220"/>
      <c r="AJ388" s="220"/>
      <c r="AK388" s="220"/>
      <c r="AL388" s="220"/>
      <c r="AM388" s="220"/>
      <c r="AN388" s="220"/>
      <c r="AO388" s="220"/>
      <c r="AP388" s="220"/>
      <c r="AQ388" s="220"/>
      <c r="AR388" s="220"/>
      <c r="AS388" s="220"/>
      <c r="AT388" s="220"/>
      <c r="AU388" s="220"/>
    </row>
    <row r="389" ht="15.75" customHeight="1">
      <c r="A389" s="220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0"/>
      <c r="AA389" s="220"/>
      <c r="AB389" s="220"/>
      <c r="AC389" s="220"/>
      <c r="AD389" s="220"/>
      <c r="AE389" s="220"/>
      <c r="AF389" s="220"/>
      <c r="AG389" s="220"/>
      <c r="AH389" s="220"/>
      <c r="AI389" s="220"/>
      <c r="AJ389" s="220"/>
      <c r="AK389" s="220"/>
      <c r="AL389" s="220"/>
      <c r="AM389" s="220"/>
      <c r="AN389" s="220"/>
      <c r="AO389" s="220"/>
      <c r="AP389" s="220"/>
      <c r="AQ389" s="220"/>
      <c r="AR389" s="220"/>
      <c r="AS389" s="220"/>
      <c r="AT389" s="220"/>
      <c r="AU389" s="220"/>
    </row>
    <row r="390" ht="15.75" customHeight="1">
      <c r="A390" s="220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0"/>
      <c r="AA390" s="220"/>
      <c r="AB390" s="220"/>
      <c r="AC390" s="220"/>
      <c r="AD390" s="220"/>
      <c r="AE390" s="220"/>
      <c r="AF390" s="220"/>
      <c r="AG390" s="220"/>
      <c r="AH390" s="220"/>
      <c r="AI390" s="220"/>
      <c r="AJ390" s="220"/>
      <c r="AK390" s="220"/>
      <c r="AL390" s="220"/>
      <c r="AM390" s="220"/>
      <c r="AN390" s="220"/>
      <c r="AO390" s="220"/>
      <c r="AP390" s="220"/>
      <c r="AQ390" s="220"/>
      <c r="AR390" s="220"/>
      <c r="AS390" s="220"/>
      <c r="AT390" s="220"/>
      <c r="AU390" s="220"/>
    </row>
    <row r="391" ht="15.75" customHeight="1">
      <c r="A391" s="220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0"/>
      <c r="AA391" s="220"/>
      <c r="AB391" s="220"/>
      <c r="AC391" s="220"/>
      <c r="AD391" s="220"/>
      <c r="AE391" s="220"/>
      <c r="AF391" s="220"/>
      <c r="AG391" s="220"/>
      <c r="AH391" s="220"/>
      <c r="AI391" s="220"/>
      <c r="AJ391" s="220"/>
      <c r="AK391" s="220"/>
      <c r="AL391" s="220"/>
      <c r="AM391" s="220"/>
      <c r="AN391" s="220"/>
      <c r="AO391" s="220"/>
      <c r="AP391" s="220"/>
      <c r="AQ391" s="220"/>
      <c r="AR391" s="220"/>
      <c r="AS391" s="220"/>
      <c r="AT391" s="220"/>
      <c r="AU391" s="220"/>
    </row>
    <row r="392" ht="15.75" customHeight="1">
      <c r="A392" s="220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0"/>
      <c r="AA392" s="220"/>
      <c r="AB392" s="220"/>
      <c r="AC392" s="220"/>
      <c r="AD392" s="220"/>
      <c r="AE392" s="220"/>
      <c r="AF392" s="220"/>
      <c r="AG392" s="220"/>
      <c r="AH392" s="220"/>
      <c r="AI392" s="220"/>
      <c r="AJ392" s="220"/>
      <c r="AK392" s="220"/>
      <c r="AL392" s="220"/>
      <c r="AM392" s="220"/>
      <c r="AN392" s="220"/>
      <c r="AO392" s="220"/>
      <c r="AP392" s="220"/>
      <c r="AQ392" s="220"/>
      <c r="AR392" s="220"/>
      <c r="AS392" s="220"/>
      <c r="AT392" s="220"/>
      <c r="AU392" s="220"/>
    </row>
    <row r="393" ht="15.75" customHeight="1">
      <c r="A393" s="220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0"/>
      <c r="AA393" s="220"/>
      <c r="AB393" s="220"/>
      <c r="AC393" s="220"/>
      <c r="AD393" s="220"/>
      <c r="AE393" s="220"/>
      <c r="AF393" s="220"/>
      <c r="AG393" s="220"/>
      <c r="AH393" s="220"/>
      <c r="AI393" s="220"/>
      <c r="AJ393" s="220"/>
      <c r="AK393" s="220"/>
      <c r="AL393" s="220"/>
      <c r="AM393" s="220"/>
      <c r="AN393" s="220"/>
      <c r="AO393" s="220"/>
      <c r="AP393" s="220"/>
      <c r="AQ393" s="220"/>
      <c r="AR393" s="220"/>
      <c r="AS393" s="220"/>
      <c r="AT393" s="220"/>
      <c r="AU393" s="220"/>
    </row>
    <row r="394" ht="15.75" customHeight="1">
      <c r="A394" s="220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0"/>
      <c r="AA394" s="220"/>
      <c r="AB394" s="220"/>
      <c r="AC394" s="220"/>
      <c r="AD394" s="220"/>
      <c r="AE394" s="220"/>
      <c r="AF394" s="220"/>
      <c r="AG394" s="220"/>
      <c r="AH394" s="220"/>
      <c r="AI394" s="220"/>
      <c r="AJ394" s="220"/>
      <c r="AK394" s="220"/>
      <c r="AL394" s="220"/>
      <c r="AM394" s="220"/>
      <c r="AN394" s="220"/>
      <c r="AO394" s="220"/>
      <c r="AP394" s="220"/>
      <c r="AQ394" s="220"/>
      <c r="AR394" s="220"/>
      <c r="AS394" s="220"/>
      <c r="AT394" s="220"/>
      <c r="AU394" s="220"/>
    </row>
    <row r="395" ht="15.75" customHeight="1">
      <c r="A395" s="220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0"/>
      <c r="AA395" s="220"/>
      <c r="AB395" s="220"/>
      <c r="AC395" s="220"/>
      <c r="AD395" s="220"/>
      <c r="AE395" s="220"/>
      <c r="AF395" s="220"/>
      <c r="AG395" s="220"/>
      <c r="AH395" s="220"/>
      <c r="AI395" s="220"/>
      <c r="AJ395" s="220"/>
      <c r="AK395" s="220"/>
      <c r="AL395" s="220"/>
      <c r="AM395" s="220"/>
      <c r="AN395" s="220"/>
      <c r="AO395" s="220"/>
      <c r="AP395" s="220"/>
      <c r="AQ395" s="220"/>
      <c r="AR395" s="220"/>
      <c r="AS395" s="220"/>
      <c r="AT395" s="220"/>
      <c r="AU395" s="220"/>
    </row>
    <row r="396" ht="15.75" customHeight="1">
      <c r="A396" s="220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0"/>
      <c r="AA396" s="220"/>
      <c r="AB396" s="220"/>
      <c r="AC396" s="220"/>
      <c r="AD396" s="220"/>
      <c r="AE396" s="220"/>
      <c r="AF396" s="220"/>
      <c r="AG396" s="220"/>
      <c r="AH396" s="220"/>
      <c r="AI396" s="220"/>
      <c r="AJ396" s="220"/>
      <c r="AK396" s="220"/>
      <c r="AL396" s="220"/>
      <c r="AM396" s="220"/>
      <c r="AN396" s="220"/>
      <c r="AO396" s="220"/>
      <c r="AP396" s="220"/>
      <c r="AQ396" s="220"/>
      <c r="AR396" s="220"/>
      <c r="AS396" s="220"/>
      <c r="AT396" s="220"/>
      <c r="AU396" s="220"/>
    </row>
    <row r="397" ht="15.75" customHeight="1">
      <c r="A397" s="220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0"/>
      <c r="AA397" s="220"/>
      <c r="AB397" s="220"/>
      <c r="AC397" s="220"/>
      <c r="AD397" s="220"/>
      <c r="AE397" s="220"/>
      <c r="AF397" s="220"/>
      <c r="AG397" s="220"/>
      <c r="AH397" s="220"/>
      <c r="AI397" s="220"/>
      <c r="AJ397" s="220"/>
      <c r="AK397" s="220"/>
      <c r="AL397" s="220"/>
      <c r="AM397" s="220"/>
      <c r="AN397" s="220"/>
      <c r="AO397" s="220"/>
      <c r="AP397" s="220"/>
      <c r="AQ397" s="220"/>
      <c r="AR397" s="220"/>
      <c r="AS397" s="220"/>
      <c r="AT397" s="220"/>
      <c r="AU397" s="220"/>
    </row>
    <row r="398" ht="15.75" customHeight="1">
      <c r="A398" s="220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0"/>
      <c r="AA398" s="220"/>
      <c r="AB398" s="220"/>
      <c r="AC398" s="220"/>
      <c r="AD398" s="220"/>
      <c r="AE398" s="220"/>
      <c r="AF398" s="220"/>
      <c r="AG398" s="220"/>
      <c r="AH398" s="220"/>
      <c r="AI398" s="220"/>
      <c r="AJ398" s="220"/>
      <c r="AK398" s="220"/>
      <c r="AL398" s="220"/>
      <c r="AM398" s="220"/>
      <c r="AN398" s="220"/>
      <c r="AO398" s="220"/>
      <c r="AP398" s="220"/>
      <c r="AQ398" s="220"/>
      <c r="AR398" s="220"/>
      <c r="AS398" s="220"/>
      <c r="AT398" s="220"/>
      <c r="AU398" s="220"/>
    </row>
    <row r="399" ht="15.75" customHeight="1">
      <c r="A399" s="220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0"/>
      <c r="AA399" s="220"/>
      <c r="AB399" s="220"/>
      <c r="AC399" s="220"/>
      <c r="AD399" s="220"/>
      <c r="AE399" s="220"/>
      <c r="AF399" s="220"/>
      <c r="AG399" s="220"/>
      <c r="AH399" s="220"/>
      <c r="AI399" s="220"/>
      <c r="AJ399" s="220"/>
      <c r="AK399" s="220"/>
      <c r="AL399" s="220"/>
      <c r="AM399" s="220"/>
      <c r="AN399" s="220"/>
      <c r="AO399" s="220"/>
      <c r="AP399" s="220"/>
      <c r="AQ399" s="220"/>
      <c r="AR399" s="220"/>
      <c r="AS399" s="220"/>
      <c r="AT399" s="220"/>
      <c r="AU399" s="220"/>
    </row>
    <row r="400" ht="15.75" customHeight="1">
      <c r="A400" s="220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0"/>
      <c r="AA400" s="220"/>
      <c r="AB400" s="220"/>
      <c r="AC400" s="220"/>
      <c r="AD400" s="220"/>
      <c r="AE400" s="220"/>
      <c r="AF400" s="220"/>
      <c r="AG400" s="220"/>
      <c r="AH400" s="220"/>
      <c r="AI400" s="220"/>
      <c r="AJ400" s="220"/>
      <c r="AK400" s="220"/>
      <c r="AL400" s="220"/>
      <c r="AM400" s="220"/>
      <c r="AN400" s="220"/>
      <c r="AO400" s="220"/>
      <c r="AP400" s="220"/>
      <c r="AQ400" s="220"/>
      <c r="AR400" s="220"/>
      <c r="AS400" s="220"/>
      <c r="AT400" s="220"/>
      <c r="AU400" s="220"/>
    </row>
    <row r="401" ht="15.75" customHeight="1">
      <c r="A401" s="220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0"/>
      <c r="AA401" s="220"/>
      <c r="AB401" s="220"/>
      <c r="AC401" s="220"/>
      <c r="AD401" s="220"/>
      <c r="AE401" s="220"/>
      <c r="AF401" s="220"/>
      <c r="AG401" s="220"/>
      <c r="AH401" s="220"/>
      <c r="AI401" s="220"/>
      <c r="AJ401" s="220"/>
      <c r="AK401" s="220"/>
      <c r="AL401" s="220"/>
      <c r="AM401" s="220"/>
      <c r="AN401" s="220"/>
      <c r="AO401" s="220"/>
      <c r="AP401" s="220"/>
      <c r="AQ401" s="220"/>
      <c r="AR401" s="220"/>
      <c r="AS401" s="220"/>
      <c r="AT401" s="220"/>
      <c r="AU401" s="220"/>
    </row>
    <row r="402" ht="15.75" customHeight="1">
      <c r="A402" s="220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0"/>
      <c r="AA402" s="220"/>
      <c r="AB402" s="220"/>
      <c r="AC402" s="220"/>
      <c r="AD402" s="220"/>
      <c r="AE402" s="220"/>
      <c r="AF402" s="220"/>
      <c r="AG402" s="220"/>
      <c r="AH402" s="220"/>
      <c r="AI402" s="220"/>
      <c r="AJ402" s="220"/>
      <c r="AK402" s="220"/>
      <c r="AL402" s="220"/>
      <c r="AM402" s="220"/>
      <c r="AN402" s="220"/>
      <c r="AO402" s="220"/>
      <c r="AP402" s="220"/>
      <c r="AQ402" s="220"/>
      <c r="AR402" s="220"/>
      <c r="AS402" s="220"/>
      <c r="AT402" s="220"/>
      <c r="AU402" s="220"/>
    </row>
    <row r="403" ht="15.75" customHeight="1">
      <c r="A403" s="220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0"/>
      <c r="AA403" s="220"/>
      <c r="AB403" s="220"/>
      <c r="AC403" s="220"/>
      <c r="AD403" s="220"/>
      <c r="AE403" s="220"/>
      <c r="AF403" s="220"/>
      <c r="AG403" s="220"/>
      <c r="AH403" s="220"/>
      <c r="AI403" s="220"/>
      <c r="AJ403" s="220"/>
      <c r="AK403" s="220"/>
      <c r="AL403" s="220"/>
      <c r="AM403" s="220"/>
      <c r="AN403" s="220"/>
      <c r="AO403" s="220"/>
      <c r="AP403" s="220"/>
      <c r="AQ403" s="220"/>
      <c r="AR403" s="220"/>
      <c r="AS403" s="220"/>
      <c r="AT403" s="220"/>
      <c r="AU403" s="220"/>
    </row>
    <row r="404" ht="15.75" customHeight="1">
      <c r="A404" s="220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0"/>
      <c r="AA404" s="220"/>
      <c r="AB404" s="220"/>
      <c r="AC404" s="220"/>
      <c r="AD404" s="220"/>
      <c r="AE404" s="220"/>
      <c r="AF404" s="220"/>
      <c r="AG404" s="220"/>
      <c r="AH404" s="220"/>
      <c r="AI404" s="220"/>
      <c r="AJ404" s="220"/>
      <c r="AK404" s="220"/>
      <c r="AL404" s="220"/>
      <c r="AM404" s="220"/>
      <c r="AN404" s="220"/>
      <c r="AO404" s="220"/>
      <c r="AP404" s="220"/>
      <c r="AQ404" s="220"/>
      <c r="AR404" s="220"/>
      <c r="AS404" s="220"/>
      <c r="AT404" s="220"/>
      <c r="AU404" s="220"/>
    </row>
    <row r="405" ht="15.75" customHeight="1">
      <c r="A405" s="220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0"/>
      <c r="AA405" s="220"/>
      <c r="AB405" s="220"/>
      <c r="AC405" s="220"/>
      <c r="AD405" s="220"/>
      <c r="AE405" s="220"/>
      <c r="AF405" s="220"/>
      <c r="AG405" s="220"/>
      <c r="AH405" s="220"/>
      <c r="AI405" s="220"/>
      <c r="AJ405" s="220"/>
      <c r="AK405" s="220"/>
      <c r="AL405" s="220"/>
      <c r="AM405" s="220"/>
      <c r="AN405" s="220"/>
      <c r="AO405" s="220"/>
      <c r="AP405" s="220"/>
      <c r="AQ405" s="220"/>
      <c r="AR405" s="220"/>
      <c r="AS405" s="220"/>
      <c r="AT405" s="220"/>
      <c r="AU405" s="220"/>
    </row>
    <row r="406" ht="15.75" customHeight="1">
      <c r="A406" s="220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0"/>
      <c r="AA406" s="220"/>
      <c r="AB406" s="220"/>
      <c r="AC406" s="220"/>
      <c r="AD406" s="220"/>
      <c r="AE406" s="220"/>
      <c r="AF406" s="220"/>
      <c r="AG406" s="220"/>
      <c r="AH406" s="220"/>
      <c r="AI406" s="220"/>
      <c r="AJ406" s="220"/>
      <c r="AK406" s="220"/>
      <c r="AL406" s="220"/>
      <c r="AM406" s="220"/>
      <c r="AN406" s="220"/>
      <c r="AO406" s="220"/>
      <c r="AP406" s="220"/>
      <c r="AQ406" s="220"/>
      <c r="AR406" s="220"/>
      <c r="AS406" s="220"/>
      <c r="AT406" s="220"/>
      <c r="AU406" s="220"/>
    </row>
    <row r="407" ht="15.75" customHeight="1">
      <c r="A407" s="220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0"/>
      <c r="AA407" s="220"/>
      <c r="AB407" s="220"/>
      <c r="AC407" s="220"/>
      <c r="AD407" s="220"/>
      <c r="AE407" s="220"/>
      <c r="AF407" s="220"/>
      <c r="AG407" s="220"/>
      <c r="AH407" s="220"/>
      <c r="AI407" s="220"/>
      <c r="AJ407" s="220"/>
      <c r="AK407" s="220"/>
      <c r="AL407" s="220"/>
      <c r="AM407" s="220"/>
      <c r="AN407" s="220"/>
      <c r="AO407" s="220"/>
      <c r="AP407" s="220"/>
      <c r="AQ407" s="220"/>
      <c r="AR407" s="220"/>
      <c r="AS407" s="220"/>
      <c r="AT407" s="220"/>
      <c r="AU407" s="220"/>
    </row>
    <row r="408" ht="15.75" customHeight="1">
      <c r="A408" s="220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0"/>
      <c r="AA408" s="220"/>
      <c r="AB408" s="220"/>
      <c r="AC408" s="220"/>
      <c r="AD408" s="220"/>
      <c r="AE408" s="220"/>
      <c r="AF408" s="220"/>
      <c r="AG408" s="220"/>
      <c r="AH408" s="220"/>
      <c r="AI408" s="220"/>
      <c r="AJ408" s="220"/>
      <c r="AK408" s="220"/>
      <c r="AL408" s="220"/>
      <c r="AM408" s="220"/>
      <c r="AN408" s="220"/>
      <c r="AO408" s="220"/>
      <c r="AP408" s="220"/>
      <c r="AQ408" s="220"/>
      <c r="AR408" s="220"/>
      <c r="AS408" s="220"/>
      <c r="AT408" s="220"/>
      <c r="AU408" s="220"/>
    </row>
    <row r="409" ht="15.75" customHeight="1">
      <c r="A409" s="220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0"/>
      <c r="AA409" s="220"/>
      <c r="AB409" s="220"/>
      <c r="AC409" s="220"/>
      <c r="AD409" s="220"/>
      <c r="AE409" s="220"/>
      <c r="AF409" s="220"/>
      <c r="AG409" s="220"/>
      <c r="AH409" s="220"/>
      <c r="AI409" s="220"/>
      <c r="AJ409" s="220"/>
      <c r="AK409" s="220"/>
      <c r="AL409" s="220"/>
      <c r="AM409" s="220"/>
      <c r="AN409" s="220"/>
      <c r="AO409" s="220"/>
      <c r="AP409" s="220"/>
      <c r="AQ409" s="220"/>
      <c r="AR409" s="220"/>
      <c r="AS409" s="220"/>
      <c r="AT409" s="220"/>
      <c r="AU409" s="220"/>
    </row>
    <row r="410" ht="15.75" customHeight="1">
      <c r="A410" s="220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0"/>
      <c r="AA410" s="220"/>
      <c r="AB410" s="220"/>
      <c r="AC410" s="220"/>
      <c r="AD410" s="220"/>
      <c r="AE410" s="220"/>
      <c r="AF410" s="220"/>
      <c r="AG410" s="220"/>
      <c r="AH410" s="220"/>
      <c r="AI410" s="220"/>
      <c r="AJ410" s="220"/>
      <c r="AK410" s="220"/>
      <c r="AL410" s="220"/>
      <c r="AM410" s="220"/>
      <c r="AN410" s="220"/>
      <c r="AO410" s="220"/>
      <c r="AP410" s="220"/>
      <c r="AQ410" s="220"/>
      <c r="AR410" s="220"/>
      <c r="AS410" s="220"/>
      <c r="AT410" s="220"/>
      <c r="AU410" s="220"/>
    </row>
    <row r="411" ht="15.75" customHeight="1">
      <c r="A411" s="220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0"/>
      <c r="AA411" s="220"/>
      <c r="AB411" s="220"/>
      <c r="AC411" s="220"/>
      <c r="AD411" s="220"/>
      <c r="AE411" s="220"/>
      <c r="AF411" s="220"/>
      <c r="AG411" s="220"/>
      <c r="AH411" s="220"/>
      <c r="AI411" s="220"/>
      <c r="AJ411" s="220"/>
      <c r="AK411" s="220"/>
      <c r="AL411" s="220"/>
      <c r="AM411" s="220"/>
      <c r="AN411" s="220"/>
      <c r="AO411" s="220"/>
      <c r="AP411" s="220"/>
      <c r="AQ411" s="220"/>
      <c r="AR411" s="220"/>
      <c r="AS411" s="220"/>
      <c r="AT411" s="220"/>
      <c r="AU411" s="220"/>
    </row>
    <row r="412" ht="15.75" customHeight="1">
      <c r="A412" s="220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0"/>
      <c r="AA412" s="220"/>
      <c r="AB412" s="220"/>
      <c r="AC412" s="220"/>
      <c r="AD412" s="220"/>
      <c r="AE412" s="220"/>
      <c r="AF412" s="220"/>
      <c r="AG412" s="220"/>
      <c r="AH412" s="220"/>
      <c r="AI412" s="220"/>
      <c r="AJ412" s="220"/>
      <c r="AK412" s="220"/>
      <c r="AL412" s="220"/>
      <c r="AM412" s="220"/>
      <c r="AN412" s="220"/>
      <c r="AO412" s="220"/>
      <c r="AP412" s="220"/>
      <c r="AQ412" s="220"/>
      <c r="AR412" s="220"/>
      <c r="AS412" s="220"/>
      <c r="AT412" s="220"/>
      <c r="AU412" s="220"/>
    </row>
    <row r="413" ht="15.75" customHeight="1">
      <c r="A413" s="220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0"/>
      <c r="AA413" s="220"/>
      <c r="AB413" s="220"/>
      <c r="AC413" s="220"/>
      <c r="AD413" s="220"/>
      <c r="AE413" s="220"/>
      <c r="AF413" s="220"/>
      <c r="AG413" s="220"/>
      <c r="AH413" s="220"/>
      <c r="AI413" s="220"/>
      <c r="AJ413" s="220"/>
      <c r="AK413" s="220"/>
      <c r="AL413" s="220"/>
      <c r="AM413" s="220"/>
      <c r="AN413" s="220"/>
      <c r="AO413" s="220"/>
      <c r="AP413" s="220"/>
      <c r="AQ413" s="220"/>
      <c r="AR413" s="220"/>
      <c r="AS413" s="220"/>
      <c r="AT413" s="220"/>
      <c r="AU413" s="220"/>
    </row>
    <row r="414" ht="15.75" customHeight="1">
      <c r="A414" s="220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0"/>
      <c r="AA414" s="220"/>
      <c r="AB414" s="220"/>
      <c r="AC414" s="220"/>
      <c r="AD414" s="220"/>
      <c r="AE414" s="220"/>
      <c r="AF414" s="220"/>
      <c r="AG414" s="220"/>
      <c r="AH414" s="220"/>
      <c r="AI414" s="220"/>
      <c r="AJ414" s="220"/>
      <c r="AK414" s="220"/>
      <c r="AL414" s="220"/>
      <c r="AM414" s="220"/>
      <c r="AN414" s="220"/>
      <c r="AO414" s="220"/>
      <c r="AP414" s="220"/>
      <c r="AQ414" s="220"/>
      <c r="AR414" s="220"/>
      <c r="AS414" s="220"/>
      <c r="AT414" s="220"/>
      <c r="AU414" s="220"/>
    </row>
    <row r="415" ht="15.75" customHeight="1">
      <c r="A415" s="220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0"/>
      <c r="AA415" s="220"/>
      <c r="AB415" s="220"/>
      <c r="AC415" s="220"/>
      <c r="AD415" s="220"/>
      <c r="AE415" s="220"/>
      <c r="AF415" s="220"/>
      <c r="AG415" s="220"/>
      <c r="AH415" s="220"/>
      <c r="AI415" s="220"/>
      <c r="AJ415" s="220"/>
      <c r="AK415" s="220"/>
      <c r="AL415" s="220"/>
      <c r="AM415" s="220"/>
      <c r="AN415" s="220"/>
      <c r="AO415" s="220"/>
      <c r="AP415" s="220"/>
      <c r="AQ415" s="220"/>
      <c r="AR415" s="220"/>
      <c r="AS415" s="220"/>
      <c r="AT415" s="220"/>
      <c r="AU415" s="220"/>
    </row>
    <row r="416" ht="15.75" customHeight="1">
      <c r="A416" s="220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0"/>
      <c r="AA416" s="220"/>
      <c r="AB416" s="220"/>
      <c r="AC416" s="220"/>
      <c r="AD416" s="220"/>
      <c r="AE416" s="220"/>
      <c r="AF416" s="220"/>
      <c r="AG416" s="220"/>
      <c r="AH416" s="220"/>
      <c r="AI416" s="220"/>
      <c r="AJ416" s="220"/>
      <c r="AK416" s="220"/>
      <c r="AL416" s="220"/>
      <c r="AM416" s="220"/>
      <c r="AN416" s="220"/>
      <c r="AO416" s="220"/>
      <c r="AP416" s="220"/>
      <c r="AQ416" s="220"/>
      <c r="AR416" s="220"/>
      <c r="AS416" s="220"/>
      <c r="AT416" s="220"/>
      <c r="AU416" s="220"/>
    </row>
    <row r="417" ht="15.75" customHeight="1">
      <c r="A417" s="220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0"/>
      <c r="AA417" s="220"/>
      <c r="AB417" s="220"/>
      <c r="AC417" s="220"/>
      <c r="AD417" s="220"/>
      <c r="AE417" s="220"/>
      <c r="AF417" s="220"/>
      <c r="AG417" s="220"/>
      <c r="AH417" s="220"/>
      <c r="AI417" s="220"/>
      <c r="AJ417" s="220"/>
      <c r="AK417" s="220"/>
      <c r="AL417" s="220"/>
      <c r="AM417" s="220"/>
      <c r="AN417" s="220"/>
      <c r="AO417" s="220"/>
      <c r="AP417" s="220"/>
      <c r="AQ417" s="220"/>
      <c r="AR417" s="220"/>
      <c r="AS417" s="220"/>
      <c r="AT417" s="220"/>
      <c r="AU417" s="220"/>
    </row>
    <row r="418" ht="15.75" customHeight="1">
      <c r="A418" s="220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0"/>
      <c r="AA418" s="220"/>
      <c r="AB418" s="220"/>
      <c r="AC418" s="220"/>
      <c r="AD418" s="220"/>
      <c r="AE418" s="220"/>
      <c r="AF418" s="220"/>
      <c r="AG418" s="220"/>
      <c r="AH418" s="220"/>
      <c r="AI418" s="220"/>
      <c r="AJ418" s="220"/>
      <c r="AK418" s="220"/>
      <c r="AL418" s="220"/>
      <c r="AM418" s="220"/>
      <c r="AN418" s="220"/>
      <c r="AO418" s="220"/>
      <c r="AP418" s="220"/>
      <c r="AQ418" s="220"/>
      <c r="AR418" s="220"/>
      <c r="AS418" s="220"/>
      <c r="AT418" s="220"/>
      <c r="AU418" s="220"/>
    </row>
    <row r="419" ht="15.75" customHeight="1">
      <c r="A419" s="220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0"/>
      <c r="AA419" s="220"/>
      <c r="AB419" s="220"/>
      <c r="AC419" s="220"/>
      <c r="AD419" s="220"/>
      <c r="AE419" s="220"/>
      <c r="AF419" s="220"/>
      <c r="AG419" s="220"/>
      <c r="AH419" s="220"/>
      <c r="AI419" s="220"/>
      <c r="AJ419" s="220"/>
      <c r="AK419" s="220"/>
      <c r="AL419" s="220"/>
      <c r="AM419" s="220"/>
      <c r="AN419" s="220"/>
      <c r="AO419" s="220"/>
      <c r="AP419" s="220"/>
      <c r="AQ419" s="220"/>
      <c r="AR419" s="220"/>
      <c r="AS419" s="220"/>
      <c r="AT419" s="220"/>
      <c r="AU419" s="220"/>
    </row>
    <row r="420" ht="15.75" customHeight="1">
      <c r="A420" s="220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0"/>
      <c r="AA420" s="220"/>
      <c r="AB420" s="220"/>
      <c r="AC420" s="220"/>
      <c r="AD420" s="220"/>
      <c r="AE420" s="220"/>
      <c r="AF420" s="220"/>
      <c r="AG420" s="220"/>
      <c r="AH420" s="220"/>
      <c r="AI420" s="220"/>
      <c r="AJ420" s="220"/>
      <c r="AK420" s="220"/>
      <c r="AL420" s="220"/>
      <c r="AM420" s="220"/>
      <c r="AN420" s="220"/>
      <c r="AO420" s="220"/>
      <c r="AP420" s="220"/>
      <c r="AQ420" s="220"/>
      <c r="AR420" s="220"/>
      <c r="AS420" s="220"/>
      <c r="AT420" s="220"/>
      <c r="AU420" s="220"/>
    </row>
    <row r="421" ht="15.75" customHeight="1">
      <c r="A421" s="220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0"/>
      <c r="AA421" s="220"/>
      <c r="AB421" s="220"/>
      <c r="AC421" s="220"/>
      <c r="AD421" s="220"/>
      <c r="AE421" s="220"/>
      <c r="AF421" s="220"/>
      <c r="AG421" s="220"/>
      <c r="AH421" s="220"/>
      <c r="AI421" s="220"/>
      <c r="AJ421" s="220"/>
      <c r="AK421" s="220"/>
      <c r="AL421" s="220"/>
      <c r="AM421" s="220"/>
      <c r="AN421" s="220"/>
      <c r="AO421" s="220"/>
      <c r="AP421" s="220"/>
      <c r="AQ421" s="220"/>
      <c r="AR421" s="220"/>
      <c r="AS421" s="220"/>
      <c r="AT421" s="220"/>
      <c r="AU421" s="220"/>
    </row>
    <row r="422" ht="15.75" customHeight="1">
      <c r="A422" s="220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0"/>
      <c r="AA422" s="220"/>
      <c r="AB422" s="220"/>
      <c r="AC422" s="220"/>
      <c r="AD422" s="220"/>
      <c r="AE422" s="220"/>
      <c r="AF422" s="220"/>
      <c r="AG422" s="220"/>
      <c r="AH422" s="220"/>
      <c r="AI422" s="220"/>
      <c r="AJ422" s="220"/>
      <c r="AK422" s="220"/>
      <c r="AL422" s="220"/>
      <c r="AM422" s="220"/>
      <c r="AN422" s="220"/>
      <c r="AO422" s="220"/>
      <c r="AP422" s="220"/>
      <c r="AQ422" s="220"/>
      <c r="AR422" s="220"/>
      <c r="AS422" s="220"/>
      <c r="AT422" s="220"/>
      <c r="AU422" s="220"/>
    </row>
    <row r="423" ht="15.75" customHeight="1">
      <c r="A423" s="220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0"/>
      <c r="AA423" s="220"/>
      <c r="AB423" s="220"/>
      <c r="AC423" s="220"/>
      <c r="AD423" s="220"/>
      <c r="AE423" s="220"/>
      <c r="AF423" s="220"/>
      <c r="AG423" s="220"/>
      <c r="AH423" s="220"/>
      <c r="AI423" s="220"/>
      <c r="AJ423" s="220"/>
      <c r="AK423" s="220"/>
      <c r="AL423" s="220"/>
      <c r="AM423" s="220"/>
      <c r="AN423" s="220"/>
      <c r="AO423" s="220"/>
      <c r="AP423" s="220"/>
      <c r="AQ423" s="220"/>
      <c r="AR423" s="220"/>
      <c r="AS423" s="220"/>
      <c r="AT423" s="220"/>
      <c r="AU423" s="220"/>
    </row>
    <row r="424" ht="15.75" customHeight="1">
      <c r="A424" s="220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0"/>
      <c r="AA424" s="220"/>
      <c r="AB424" s="220"/>
      <c r="AC424" s="220"/>
      <c r="AD424" s="220"/>
      <c r="AE424" s="220"/>
      <c r="AF424" s="220"/>
      <c r="AG424" s="220"/>
      <c r="AH424" s="220"/>
      <c r="AI424" s="220"/>
      <c r="AJ424" s="220"/>
      <c r="AK424" s="220"/>
      <c r="AL424" s="220"/>
      <c r="AM424" s="220"/>
      <c r="AN424" s="220"/>
      <c r="AO424" s="220"/>
      <c r="AP424" s="220"/>
      <c r="AQ424" s="220"/>
      <c r="AR424" s="220"/>
      <c r="AS424" s="220"/>
      <c r="AT424" s="220"/>
      <c r="AU424" s="220"/>
    </row>
    <row r="425" ht="15.75" customHeight="1">
      <c r="A425" s="220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0"/>
      <c r="AA425" s="220"/>
      <c r="AB425" s="220"/>
      <c r="AC425" s="220"/>
      <c r="AD425" s="220"/>
      <c r="AE425" s="220"/>
      <c r="AF425" s="220"/>
      <c r="AG425" s="220"/>
      <c r="AH425" s="220"/>
      <c r="AI425" s="220"/>
      <c r="AJ425" s="220"/>
      <c r="AK425" s="220"/>
      <c r="AL425" s="220"/>
      <c r="AM425" s="220"/>
      <c r="AN425" s="220"/>
      <c r="AO425" s="220"/>
      <c r="AP425" s="220"/>
      <c r="AQ425" s="220"/>
      <c r="AR425" s="220"/>
      <c r="AS425" s="220"/>
      <c r="AT425" s="220"/>
      <c r="AU425" s="220"/>
    </row>
    <row r="426" ht="15.75" customHeight="1">
      <c r="A426" s="220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0"/>
      <c r="AA426" s="220"/>
      <c r="AB426" s="220"/>
      <c r="AC426" s="220"/>
      <c r="AD426" s="220"/>
      <c r="AE426" s="220"/>
      <c r="AF426" s="220"/>
      <c r="AG426" s="220"/>
      <c r="AH426" s="220"/>
      <c r="AI426" s="220"/>
      <c r="AJ426" s="220"/>
      <c r="AK426" s="220"/>
      <c r="AL426" s="220"/>
      <c r="AM426" s="220"/>
      <c r="AN426" s="220"/>
      <c r="AO426" s="220"/>
      <c r="AP426" s="220"/>
      <c r="AQ426" s="220"/>
      <c r="AR426" s="220"/>
      <c r="AS426" s="220"/>
      <c r="AT426" s="220"/>
      <c r="AU426" s="220"/>
    </row>
    <row r="427" ht="15.75" customHeight="1">
      <c r="A427" s="220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0"/>
      <c r="AA427" s="220"/>
      <c r="AB427" s="220"/>
      <c r="AC427" s="220"/>
      <c r="AD427" s="220"/>
      <c r="AE427" s="220"/>
      <c r="AF427" s="220"/>
      <c r="AG427" s="220"/>
      <c r="AH427" s="220"/>
      <c r="AI427" s="220"/>
      <c r="AJ427" s="220"/>
      <c r="AK427" s="220"/>
      <c r="AL427" s="220"/>
      <c r="AM427" s="220"/>
      <c r="AN427" s="220"/>
      <c r="AO427" s="220"/>
      <c r="AP427" s="220"/>
      <c r="AQ427" s="220"/>
      <c r="AR427" s="220"/>
      <c r="AS427" s="220"/>
      <c r="AT427" s="220"/>
      <c r="AU427" s="220"/>
    </row>
    <row r="428" ht="15.75" customHeight="1">
      <c r="A428" s="220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0"/>
      <c r="AA428" s="220"/>
      <c r="AB428" s="220"/>
      <c r="AC428" s="220"/>
      <c r="AD428" s="220"/>
      <c r="AE428" s="220"/>
      <c r="AF428" s="220"/>
      <c r="AG428" s="220"/>
      <c r="AH428" s="220"/>
      <c r="AI428" s="220"/>
      <c r="AJ428" s="220"/>
      <c r="AK428" s="220"/>
      <c r="AL428" s="220"/>
      <c r="AM428" s="220"/>
      <c r="AN428" s="220"/>
      <c r="AO428" s="220"/>
      <c r="AP428" s="220"/>
      <c r="AQ428" s="220"/>
      <c r="AR428" s="220"/>
      <c r="AS428" s="220"/>
      <c r="AT428" s="220"/>
      <c r="AU428" s="220"/>
    </row>
    <row r="429" ht="15.75" customHeight="1">
      <c r="A429" s="220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0"/>
      <c r="AA429" s="220"/>
      <c r="AB429" s="220"/>
      <c r="AC429" s="220"/>
      <c r="AD429" s="220"/>
      <c r="AE429" s="220"/>
      <c r="AF429" s="220"/>
      <c r="AG429" s="220"/>
      <c r="AH429" s="220"/>
      <c r="AI429" s="220"/>
      <c r="AJ429" s="220"/>
      <c r="AK429" s="220"/>
      <c r="AL429" s="220"/>
      <c r="AM429" s="220"/>
      <c r="AN429" s="220"/>
      <c r="AO429" s="220"/>
      <c r="AP429" s="220"/>
      <c r="AQ429" s="220"/>
      <c r="AR429" s="220"/>
      <c r="AS429" s="220"/>
      <c r="AT429" s="220"/>
      <c r="AU429" s="220"/>
    </row>
    <row r="430" ht="15.75" customHeight="1">
      <c r="A430" s="220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0"/>
      <c r="AA430" s="220"/>
      <c r="AB430" s="220"/>
      <c r="AC430" s="220"/>
      <c r="AD430" s="220"/>
      <c r="AE430" s="220"/>
      <c r="AF430" s="220"/>
      <c r="AG430" s="220"/>
      <c r="AH430" s="220"/>
      <c r="AI430" s="220"/>
      <c r="AJ430" s="220"/>
      <c r="AK430" s="220"/>
      <c r="AL430" s="220"/>
      <c r="AM430" s="220"/>
      <c r="AN430" s="220"/>
      <c r="AO430" s="220"/>
      <c r="AP430" s="220"/>
      <c r="AQ430" s="220"/>
      <c r="AR430" s="220"/>
      <c r="AS430" s="220"/>
      <c r="AT430" s="220"/>
      <c r="AU430" s="220"/>
    </row>
    <row r="431" ht="15.75" customHeight="1">
      <c r="A431" s="220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0"/>
      <c r="AA431" s="220"/>
      <c r="AB431" s="220"/>
      <c r="AC431" s="220"/>
      <c r="AD431" s="220"/>
      <c r="AE431" s="220"/>
      <c r="AF431" s="220"/>
      <c r="AG431" s="220"/>
      <c r="AH431" s="220"/>
      <c r="AI431" s="220"/>
      <c r="AJ431" s="220"/>
      <c r="AK431" s="220"/>
      <c r="AL431" s="220"/>
      <c r="AM431" s="220"/>
      <c r="AN431" s="220"/>
      <c r="AO431" s="220"/>
      <c r="AP431" s="220"/>
      <c r="AQ431" s="220"/>
      <c r="AR431" s="220"/>
      <c r="AS431" s="220"/>
      <c r="AT431" s="220"/>
      <c r="AU431" s="220"/>
    </row>
    <row r="432" ht="15.75" customHeight="1">
      <c r="A432" s="220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0"/>
      <c r="AA432" s="220"/>
      <c r="AB432" s="220"/>
      <c r="AC432" s="220"/>
      <c r="AD432" s="220"/>
      <c r="AE432" s="220"/>
      <c r="AF432" s="220"/>
      <c r="AG432" s="220"/>
      <c r="AH432" s="220"/>
      <c r="AI432" s="220"/>
      <c r="AJ432" s="220"/>
      <c r="AK432" s="220"/>
      <c r="AL432" s="220"/>
      <c r="AM432" s="220"/>
      <c r="AN432" s="220"/>
      <c r="AO432" s="220"/>
      <c r="AP432" s="220"/>
      <c r="AQ432" s="220"/>
      <c r="AR432" s="220"/>
      <c r="AS432" s="220"/>
      <c r="AT432" s="220"/>
      <c r="AU432" s="220"/>
    </row>
    <row r="433" ht="15.75" customHeight="1">
      <c r="A433" s="220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0"/>
      <c r="AA433" s="220"/>
      <c r="AB433" s="220"/>
      <c r="AC433" s="220"/>
      <c r="AD433" s="220"/>
      <c r="AE433" s="220"/>
      <c r="AF433" s="220"/>
      <c r="AG433" s="220"/>
      <c r="AH433" s="220"/>
      <c r="AI433" s="220"/>
      <c r="AJ433" s="220"/>
      <c r="AK433" s="220"/>
      <c r="AL433" s="220"/>
      <c r="AM433" s="220"/>
      <c r="AN433" s="220"/>
      <c r="AO433" s="220"/>
      <c r="AP433" s="220"/>
      <c r="AQ433" s="220"/>
      <c r="AR433" s="220"/>
      <c r="AS433" s="220"/>
      <c r="AT433" s="220"/>
      <c r="AU433" s="220"/>
    </row>
    <row r="434" ht="15.75" customHeight="1">
      <c r="A434" s="220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0"/>
      <c r="AA434" s="220"/>
      <c r="AB434" s="220"/>
      <c r="AC434" s="220"/>
      <c r="AD434" s="220"/>
      <c r="AE434" s="220"/>
      <c r="AF434" s="220"/>
      <c r="AG434" s="220"/>
      <c r="AH434" s="220"/>
      <c r="AI434" s="220"/>
      <c r="AJ434" s="220"/>
      <c r="AK434" s="220"/>
      <c r="AL434" s="220"/>
      <c r="AM434" s="220"/>
      <c r="AN434" s="220"/>
      <c r="AO434" s="220"/>
      <c r="AP434" s="220"/>
      <c r="AQ434" s="220"/>
      <c r="AR434" s="220"/>
      <c r="AS434" s="220"/>
      <c r="AT434" s="220"/>
      <c r="AU434" s="220"/>
    </row>
    <row r="435" ht="15.75" customHeight="1">
      <c r="A435" s="220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0"/>
      <c r="AA435" s="220"/>
      <c r="AB435" s="220"/>
      <c r="AC435" s="220"/>
      <c r="AD435" s="220"/>
      <c r="AE435" s="220"/>
      <c r="AF435" s="220"/>
      <c r="AG435" s="220"/>
      <c r="AH435" s="220"/>
      <c r="AI435" s="220"/>
      <c r="AJ435" s="220"/>
      <c r="AK435" s="220"/>
      <c r="AL435" s="220"/>
      <c r="AM435" s="220"/>
      <c r="AN435" s="220"/>
      <c r="AO435" s="220"/>
      <c r="AP435" s="220"/>
      <c r="AQ435" s="220"/>
      <c r="AR435" s="220"/>
      <c r="AS435" s="220"/>
      <c r="AT435" s="220"/>
      <c r="AU435" s="220"/>
    </row>
    <row r="436" ht="15.75" customHeight="1">
      <c r="A436" s="220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0"/>
      <c r="AA436" s="220"/>
      <c r="AB436" s="220"/>
      <c r="AC436" s="220"/>
      <c r="AD436" s="220"/>
      <c r="AE436" s="220"/>
      <c r="AF436" s="220"/>
      <c r="AG436" s="220"/>
      <c r="AH436" s="220"/>
      <c r="AI436" s="220"/>
      <c r="AJ436" s="220"/>
      <c r="AK436" s="220"/>
      <c r="AL436" s="220"/>
      <c r="AM436" s="220"/>
      <c r="AN436" s="220"/>
      <c r="AO436" s="220"/>
      <c r="AP436" s="220"/>
      <c r="AQ436" s="220"/>
      <c r="AR436" s="220"/>
      <c r="AS436" s="220"/>
      <c r="AT436" s="220"/>
      <c r="AU436" s="220"/>
    </row>
    <row r="437" ht="15.75" customHeight="1">
      <c r="A437" s="220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0"/>
      <c r="AA437" s="220"/>
      <c r="AB437" s="220"/>
      <c r="AC437" s="220"/>
      <c r="AD437" s="220"/>
      <c r="AE437" s="220"/>
      <c r="AF437" s="220"/>
      <c r="AG437" s="220"/>
      <c r="AH437" s="220"/>
      <c r="AI437" s="220"/>
      <c r="AJ437" s="220"/>
      <c r="AK437" s="220"/>
      <c r="AL437" s="220"/>
      <c r="AM437" s="220"/>
      <c r="AN437" s="220"/>
      <c r="AO437" s="220"/>
      <c r="AP437" s="220"/>
      <c r="AQ437" s="220"/>
      <c r="AR437" s="220"/>
      <c r="AS437" s="220"/>
      <c r="AT437" s="220"/>
      <c r="AU437" s="220"/>
    </row>
    <row r="438" ht="15.75" customHeight="1">
      <c r="A438" s="220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0"/>
      <c r="AA438" s="220"/>
      <c r="AB438" s="220"/>
      <c r="AC438" s="220"/>
      <c r="AD438" s="220"/>
      <c r="AE438" s="220"/>
      <c r="AF438" s="220"/>
      <c r="AG438" s="220"/>
      <c r="AH438" s="220"/>
      <c r="AI438" s="220"/>
      <c r="AJ438" s="220"/>
      <c r="AK438" s="220"/>
      <c r="AL438" s="220"/>
      <c r="AM438" s="220"/>
      <c r="AN438" s="220"/>
      <c r="AO438" s="220"/>
      <c r="AP438" s="220"/>
      <c r="AQ438" s="220"/>
      <c r="AR438" s="220"/>
      <c r="AS438" s="220"/>
      <c r="AT438" s="220"/>
      <c r="AU438" s="220"/>
    </row>
    <row r="439" ht="15.75" customHeight="1">
      <c r="A439" s="220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0"/>
      <c r="AA439" s="220"/>
      <c r="AB439" s="220"/>
      <c r="AC439" s="220"/>
      <c r="AD439" s="220"/>
      <c r="AE439" s="220"/>
      <c r="AF439" s="220"/>
      <c r="AG439" s="220"/>
      <c r="AH439" s="220"/>
      <c r="AI439" s="220"/>
      <c r="AJ439" s="220"/>
      <c r="AK439" s="220"/>
      <c r="AL439" s="220"/>
      <c r="AM439" s="220"/>
      <c r="AN439" s="220"/>
      <c r="AO439" s="220"/>
      <c r="AP439" s="220"/>
      <c r="AQ439" s="220"/>
      <c r="AR439" s="220"/>
      <c r="AS439" s="220"/>
      <c r="AT439" s="220"/>
      <c r="AU439" s="220"/>
    </row>
    <row r="440" ht="15.75" customHeight="1">
      <c r="A440" s="220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0"/>
      <c r="AA440" s="220"/>
      <c r="AB440" s="220"/>
      <c r="AC440" s="220"/>
      <c r="AD440" s="220"/>
      <c r="AE440" s="220"/>
      <c r="AF440" s="220"/>
      <c r="AG440" s="220"/>
      <c r="AH440" s="220"/>
      <c r="AI440" s="220"/>
      <c r="AJ440" s="220"/>
      <c r="AK440" s="220"/>
      <c r="AL440" s="220"/>
      <c r="AM440" s="220"/>
      <c r="AN440" s="220"/>
      <c r="AO440" s="220"/>
      <c r="AP440" s="220"/>
      <c r="AQ440" s="220"/>
      <c r="AR440" s="220"/>
      <c r="AS440" s="220"/>
      <c r="AT440" s="220"/>
      <c r="AU440" s="220"/>
    </row>
    <row r="441" ht="15.75" customHeight="1">
      <c r="A441" s="220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0"/>
      <c r="AA441" s="220"/>
      <c r="AB441" s="220"/>
      <c r="AC441" s="220"/>
      <c r="AD441" s="220"/>
      <c r="AE441" s="220"/>
      <c r="AF441" s="220"/>
      <c r="AG441" s="220"/>
      <c r="AH441" s="220"/>
      <c r="AI441" s="220"/>
      <c r="AJ441" s="220"/>
      <c r="AK441" s="220"/>
      <c r="AL441" s="220"/>
      <c r="AM441" s="220"/>
      <c r="AN441" s="220"/>
      <c r="AO441" s="220"/>
      <c r="AP441" s="220"/>
      <c r="AQ441" s="220"/>
      <c r="AR441" s="220"/>
      <c r="AS441" s="220"/>
      <c r="AT441" s="220"/>
      <c r="AU441" s="220"/>
    </row>
    <row r="442" ht="15.75" customHeight="1">
      <c r="A442" s="220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0"/>
      <c r="AA442" s="220"/>
      <c r="AB442" s="220"/>
      <c r="AC442" s="220"/>
      <c r="AD442" s="220"/>
      <c r="AE442" s="220"/>
      <c r="AF442" s="220"/>
      <c r="AG442" s="220"/>
      <c r="AH442" s="220"/>
      <c r="AI442" s="220"/>
      <c r="AJ442" s="220"/>
      <c r="AK442" s="220"/>
      <c r="AL442" s="220"/>
      <c r="AM442" s="220"/>
      <c r="AN442" s="220"/>
      <c r="AO442" s="220"/>
      <c r="AP442" s="220"/>
      <c r="AQ442" s="220"/>
      <c r="AR442" s="220"/>
      <c r="AS442" s="220"/>
      <c r="AT442" s="220"/>
      <c r="AU442" s="220"/>
    </row>
    <row r="443" ht="15.75" customHeight="1">
      <c r="A443" s="220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0"/>
      <c r="AA443" s="220"/>
      <c r="AB443" s="220"/>
      <c r="AC443" s="220"/>
      <c r="AD443" s="220"/>
      <c r="AE443" s="220"/>
      <c r="AF443" s="220"/>
      <c r="AG443" s="220"/>
      <c r="AH443" s="220"/>
      <c r="AI443" s="220"/>
      <c r="AJ443" s="220"/>
      <c r="AK443" s="220"/>
      <c r="AL443" s="220"/>
      <c r="AM443" s="220"/>
      <c r="AN443" s="220"/>
      <c r="AO443" s="220"/>
      <c r="AP443" s="220"/>
      <c r="AQ443" s="220"/>
      <c r="AR443" s="220"/>
      <c r="AS443" s="220"/>
      <c r="AT443" s="220"/>
      <c r="AU443" s="220"/>
    </row>
    <row r="444" ht="15.75" customHeight="1">
      <c r="A444" s="220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0"/>
      <c r="AA444" s="220"/>
      <c r="AB444" s="220"/>
      <c r="AC444" s="220"/>
      <c r="AD444" s="220"/>
      <c r="AE444" s="220"/>
      <c r="AF444" s="220"/>
      <c r="AG444" s="220"/>
      <c r="AH444" s="220"/>
      <c r="AI444" s="220"/>
      <c r="AJ444" s="220"/>
      <c r="AK444" s="220"/>
      <c r="AL444" s="220"/>
      <c r="AM444" s="220"/>
      <c r="AN444" s="220"/>
      <c r="AO444" s="220"/>
      <c r="AP444" s="220"/>
      <c r="AQ444" s="220"/>
      <c r="AR444" s="220"/>
      <c r="AS444" s="220"/>
      <c r="AT444" s="220"/>
      <c r="AU444" s="220"/>
    </row>
    <row r="445" ht="15.75" customHeight="1">
      <c r="A445" s="220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0"/>
      <c r="AA445" s="220"/>
      <c r="AB445" s="220"/>
      <c r="AC445" s="220"/>
      <c r="AD445" s="220"/>
      <c r="AE445" s="220"/>
      <c r="AF445" s="220"/>
      <c r="AG445" s="220"/>
      <c r="AH445" s="220"/>
      <c r="AI445" s="220"/>
      <c r="AJ445" s="220"/>
      <c r="AK445" s="220"/>
      <c r="AL445" s="220"/>
      <c r="AM445" s="220"/>
      <c r="AN445" s="220"/>
      <c r="AO445" s="220"/>
      <c r="AP445" s="220"/>
      <c r="AQ445" s="220"/>
      <c r="AR445" s="220"/>
      <c r="AS445" s="220"/>
      <c r="AT445" s="220"/>
      <c r="AU445" s="220"/>
    </row>
    <row r="446" ht="15.75" customHeight="1">
      <c r="A446" s="220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0"/>
      <c r="AA446" s="220"/>
      <c r="AB446" s="220"/>
      <c r="AC446" s="220"/>
      <c r="AD446" s="220"/>
      <c r="AE446" s="220"/>
      <c r="AF446" s="220"/>
      <c r="AG446" s="220"/>
      <c r="AH446" s="220"/>
      <c r="AI446" s="220"/>
      <c r="AJ446" s="220"/>
      <c r="AK446" s="220"/>
      <c r="AL446" s="220"/>
      <c r="AM446" s="220"/>
      <c r="AN446" s="220"/>
      <c r="AO446" s="220"/>
      <c r="AP446" s="220"/>
      <c r="AQ446" s="220"/>
      <c r="AR446" s="220"/>
      <c r="AS446" s="220"/>
      <c r="AT446" s="220"/>
      <c r="AU446" s="220"/>
    </row>
    <row r="447" ht="15.75" customHeight="1">
      <c r="A447" s="220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0"/>
      <c r="AA447" s="220"/>
      <c r="AB447" s="220"/>
      <c r="AC447" s="220"/>
      <c r="AD447" s="220"/>
      <c r="AE447" s="220"/>
      <c r="AF447" s="220"/>
      <c r="AG447" s="220"/>
      <c r="AH447" s="220"/>
      <c r="AI447" s="220"/>
      <c r="AJ447" s="220"/>
      <c r="AK447" s="220"/>
      <c r="AL447" s="220"/>
      <c r="AM447" s="220"/>
      <c r="AN447" s="220"/>
      <c r="AO447" s="220"/>
      <c r="AP447" s="220"/>
      <c r="AQ447" s="220"/>
      <c r="AR447" s="220"/>
      <c r="AS447" s="220"/>
      <c r="AT447" s="220"/>
      <c r="AU447" s="220"/>
    </row>
    <row r="448" ht="15.75" customHeight="1">
      <c r="A448" s="220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0"/>
      <c r="AA448" s="220"/>
      <c r="AB448" s="220"/>
      <c r="AC448" s="220"/>
      <c r="AD448" s="220"/>
      <c r="AE448" s="220"/>
      <c r="AF448" s="220"/>
      <c r="AG448" s="220"/>
      <c r="AH448" s="220"/>
      <c r="AI448" s="220"/>
      <c r="AJ448" s="220"/>
      <c r="AK448" s="220"/>
      <c r="AL448" s="220"/>
      <c r="AM448" s="220"/>
      <c r="AN448" s="220"/>
      <c r="AO448" s="220"/>
      <c r="AP448" s="220"/>
      <c r="AQ448" s="220"/>
      <c r="AR448" s="220"/>
      <c r="AS448" s="220"/>
      <c r="AT448" s="220"/>
      <c r="AU448" s="220"/>
    </row>
    <row r="449" ht="15.75" customHeight="1">
      <c r="A449" s="220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0"/>
      <c r="AA449" s="220"/>
      <c r="AB449" s="220"/>
      <c r="AC449" s="220"/>
      <c r="AD449" s="220"/>
      <c r="AE449" s="220"/>
      <c r="AF449" s="220"/>
      <c r="AG449" s="220"/>
      <c r="AH449" s="220"/>
      <c r="AI449" s="220"/>
      <c r="AJ449" s="220"/>
      <c r="AK449" s="220"/>
      <c r="AL449" s="220"/>
      <c r="AM449" s="220"/>
      <c r="AN449" s="220"/>
      <c r="AO449" s="220"/>
      <c r="AP449" s="220"/>
      <c r="AQ449" s="220"/>
      <c r="AR449" s="220"/>
      <c r="AS449" s="220"/>
      <c r="AT449" s="220"/>
      <c r="AU449" s="220"/>
    </row>
    <row r="450" ht="15.75" customHeight="1">
      <c r="A450" s="220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0"/>
      <c r="AA450" s="220"/>
      <c r="AB450" s="220"/>
      <c r="AC450" s="220"/>
      <c r="AD450" s="220"/>
      <c r="AE450" s="220"/>
      <c r="AF450" s="220"/>
      <c r="AG450" s="220"/>
      <c r="AH450" s="220"/>
      <c r="AI450" s="220"/>
      <c r="AJ450" s="220"/>
      <c r="AK450" s="220"/>
      <c r="AL450" s="220"/>
      <c r="AM450" s="220"/>
      <c r="AN450" s="220"/>
      <c r="AO450" s="220"/>
      <c r="AP450" s="220"/>
      <c r="AQ450" s="220"/>
      <c r="AR450" s="220"/>
      <c r="AS450" s="220"/>
      <c r="AT450" s="220"/>
      <c r="AU450" s="220"/>
    </row>
    <row r="451" ht="15.75" customHeight="1">
      <c r="A451" s="220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0"/>
      <c r="AA451" s="220"/>
      <c r="AB451" s="220"/>
      <c r="AC451" s="220"/>
      <c r="AD451" s="220"/>
      <c r="AE451" s="220"/>
      <c r="AF451" s="220"/>
      <c r="AG451" s="220"/>
      <c r="AH451" s="220"/>
      <c r="AI451" s="220"/>
      <c r="AJ451" s="220"/>
      <c r="AK451" s="220"/>
      <c r="AL451" s="220"/>
      <c r="AM451" s="220"/>
      <c r="AN451" s="220"/>
      <c r="AO451" s="220"/>
      <c r="AP451" s="220"/>
      <c r="AQ451" s="220"/>
      <c r="AR451" s="220"/>
      <c r="AS451" s="220"/>
      <c r="AT451" s="220"/>
      <c r="AU451" s="220"/>
    </row>
    <row r="452" ht="15.75" customHeight="1">
      <c r="A452" s="220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0"/>
      <c r="AA452" s="220"/>
      <c r="AB452" s="220"/>
      <c r="AC452" s="220"/>
      <c r="AD452" s="220"/>
      <c r="AE452" s="220"/>
      <c r="AF452" s="220"/>
      <c r="AG452" s="220"/>
      <c r="AH452" s="220"/>
      <c r="AI452" s="220"/>
      <c r="AJ452" s="220"/>
      <c r="AK452" s="220"/>
      <c r="AL452" s="220"/>
      <c r="AM452" s="220"/>
      <c r="AN452" s="220"/>
      <c r="AO452" s="220"/>
      <c r="AP452" s="220"/>
      <c r="AQ452" s="220"/>
      <c r="AR452" s="220"/>
      <c r="AS452" s="220"/>
      <c r="AT452" s="220"/>
      <c r="AU452" s="220"/>
    </row>
    <row r="453" ht="15.75" customHeight="1">
      <c r="A453" s="220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0"/>
      <c r="AA453" s="220"/>
      <c r="AB453" s="220"/>
      <c r="AC453" s="220"/>
      <c r="AD453" s="220"/>
      <c r="AE453" s="220"/>
      <c r="AF453" s="220"/>
      <c r="AG453" s="220"/>
      <c r="AH453" s="220"/>
      <c r="AI453" s="220"/>
      <c r="AJ453" s="220"/>
      <c r="AK453" s="220"/>
      <c r="AL453" s="220"/>
      <c r="AM453" s="220"/>
      <c r="AN453" s="220"/>
      <c r="AO453" s="220"/>
      <c r="AP453" s="220"/>
      <c r="AQ453" s="220"/>
      <c r="AR453" s="220"/>
      <c r="AS453" s="220"/>
      <c r="AT453" s="220"/>
      <c r="AU453" s="220"/>
    </row>
    <row r="454" ht="15.75" customHeight="1">
      <c r="A454" s="220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0"/>
      <c r="AA454" s="220"/>
      <c r="AB454" s="220"/>
      <c r="AC454" s="220"/>
      <c r="AD454" s="220"/>
      <c r="AE454" s="220"/>
      <c r="AF454" s="220"/>
      <c r="AG454" s="220"/>
      <c r="AH454" s="220"/>
      <c r="AI454" s="220"/>
      <c r="AJ454" s="220"/>
      <c r="AK454" s="220"/>
      <c r="AL454" s="220"/>
      <c r="AM454" s="220"/>
      <c r="AN454" s="220"/>
      <c r="AO454" s="220"/>
      <c r="AP454" s="220"/>
      <c r="AQ454" s="220"/>
      <c r="AR454" s="220"/>
      <c r="AS454" s="220"/>
      <c r="AT454" s="220"/>
      <c r="AU454" s="220"/>
    </row>
    <row r="455" ht="15.75" customHeight="1">
      <c r="A455" s="220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0"/>
      <c r="AA455" s="220"/>
      <c r="AB455" s="220"/>
      <c r="AC455" s="220"/>
      <c r="AD455" s="220"/>
      <c r="AE455" s="220"/>
      <c r="AF455" s="220"/>
      <c r="AG455" s="220"/>
      <c r="AH455" s="220"/>
      <c r="AI455" s="220"/>
      <c r="AJ455" s="220"/>
      <c r="AK455" s="220"/>
      <c r="AL455" s="220"/>
      <c r="AM455" s="220"/>
      <c r="AN455" s="220"/>
      <c r="AO455" s="220"/>
      <c r="AP455" s="220"/>
      <c r="AQ455" s="220"/>
      <c r="AR455" s="220"/>
      <c r="AS455" s="220"/>
      <c r="AT455" s="220"/>
      <c r="AU455" s="220"/>
    </row>
    <row r="456" ht="15.75" customHeight="1">
      <c r="A456" s="220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0"/>
      <c r="AA456" s="220"/>
      <c r="AB456" s="220"/>
      <c r="AC456" s="220"/>
      <c r="AD456" s="220"/>
      <c r="AE456" s="220"/>
      <c r="AF456" s="220"/>
      <c r="AG456" s="220"/>
      <c r="AH456" s="220"/>
      <c r="AI456" s="220"/>
      <c r="AJ456" s="220"/>
      <c r="AK456" s="220"/>
      <c r="AL456" s="220"/>
      <c r="AM456" s="220"/>
      <c r="AN456" s="220"/>
      <c r="AO456" s="220"/>
      <c r="AP456" s="220"/>
      <c r="AQ456" s="220"/>
      <c r="AR456" s="220"/>
      <c r="AS456" s="220"/>
      <c r="AT456" s="220"/>
      <c r="AU456" s="220"/>
    </row>
    <row r="457" ht="15.75" customHeight="1">
      <c r="A457" s="220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0"/>
      <c r="AA457" s="220"/>
      <c r="AB457" s="220"/>
      <c r="AC457" s="220"/>
      <c r="AD457" s="220"/>
      <c r="AE457" s="220"/>
      <c r="AF457" s="220"/>
      <c r="AG457" s="220"/>
      <c r="AH457" s="220"/>
      <c r="AI457" s="220"/>
      <c r="AJ457" s="220"/>
      <c r="AK457" s="220"/>
      <c r="AL457" s="220"/>
      <c r="AM457" s="220"/>
      <c r="AN457" s="220"/>
      <c r="AO457" s="220"/>
      <c r="AP457" s="220"/>
      <c r="AQ457" s="220"/>
      <c r="AR457" s="220"/>
      <c r="AS457" s="220"/>
      <c r="AT457" s="220"/>
      <c r="AU457" s="220"/>
    </row>
    <row r="458" ht="15.75" customHeight="1">
      <c r="A458" s="220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0"/>
      <c r="AA458" s="220"/>
      <c r="AB458" s="220"/>
      <c r="AC458" s="220"/>
      <c r="AD458" s="220"/>
      <c r="AE458" s="220"/>
      <c r="AF458" s="220"/>
      <c r="AG458" s="220"/>
      <c r="AH458" s="220"/>
      <c r="AI458" s="220"/>
      <c r="AJ458" s="220"/>
      <c r="AK458" s="220"/>
      <c r="AL458" s="220"/>
      <c r="AM458" s="220"/>
      <c r="AN458" s="220"/>
      <c r="AO458" s="220"/>
      <c r="AP458" s="220"/>
      <c r="AQ458" s="220"/>
      <c r="AR458" s="220"/>
      <c r="AS458" s="220"/>
      <c r="AT458" s="220"/>
      <c r="AU458" s="220"/>
    </row>
    <row r="459" ht="15.75" customHeight="1">
      <c r="A459" s="220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0"/>
      <c r="AA459" s="220"/>
      <c r="AB459" s="220"/>
      <c r="AC459" s="220"/>
      <c r="AD459" s="220"/>
      <c r="AE459" s="220"/>
      <c r="AF459" s="220"/>
      <c r="AG459" s="220"/>
      <c r="AH459" s="220"/>
      <c r="AI459" s="220"/>
      <c r="AJ459" s="220"/>
      <c r="AK459" s="220"/>
      <c r="AL459" s="220"/>
      <c r="AM459" s="220"/>
      <c r="AN459" s="220"/>
      <c r="AO459" s="220"/>
      <c r="AP459" s="220"/>
      <c r="AQ459" s="220"/>
      <c r="AR459" s="220"/>
      <c r="AS459" s="220"/>
      <c r="AT459" s="220"/>
      <c r="AU459" s="220"/>
    </row>
    <row r="460" ht="15.75" customHeight="1">
      <c r="A460" s="220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0"/>
      <c r="AA460" s="220"/>
      <c r="AB460" s="220"/>
      <c r="AC460" s="220"/>
      <c r="AD460" s="220"/>
      <c r="AE460" s="220"/>
      <c r="AF460" s="220"/>
      <c r="AG460" s="220"/>
      <c r="AH460" s="220"/>
      <c r="AI460" s="220"/>
      <c r="AJ460" s="220"/>
      <c r="AK460" s="220"/>
      <c r="AL460" s="220"/>
      <c r="AM460" s="220"/>
      <c r="AN460" s="220"/>
      <c r="AO460" s="220"/>
      <c r="AP460" s="220"/>
      <c r="AQ460" s="220"/>
      <c r="AR460" s="220"/>
      <c r="AS460" s="220"/>
      <c r="AT460" s="220"/>
      <c r="AU460" s="220"/>
    </row>
    <row r="461" ht="15.75" customHeight="1">
      <c r="A461" s="220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0"/>
      <c r="AA461" s="220"/>
      <c r="AB461" s="220"/>
      <c r="AC461" s="220"/>
      <c r="AD461" s="220"/>
      <c r="AE461" s="220"/>
      <c r="AF461" s="220"/>
      <c r="AG461" s="220"/>
      <c r="AH461" s="220"/>
      <c r="AI461" s="220"/>
      <c r="AJ461" s="220"/>
      <c r="AK461" s="220"/>
      <c r="AL461" s="220"/>
      <c r="AM461" s="220"/>
      <c r="AN461" s="220"/>
      <c r="AO461" s="220"/>
      <c r="AP461" s="220"/>
      <c r="AQ461" s="220"/>
      <c r="AR461" s="220"/>
      <c r="AS461" s="220"/>
      <c r="AT461" s="220"/>
      <c r="AU461" s="220"/>
    </row>
    <row r="462" ht="15.75" customHeight="1">
      <c r="A462" s="220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0"/>
      <c r="AA462" s="220"/>
      <c r="AB462" s="220"/>
      <c r="AC462" s="220"/>
      <c r="AD462" s="220"/>
      <c r="AE462" s="220"/>
      <c r="AF462" s="220"/>
      <c r="AG462" s="220"/>
      <c r="AH462" s="220"/>
      <c r="AI462" s="220"/>
      <c r="AJ462" s="220"/>
      <c r="AK462" s="220"/>
      <c r="AL462" s="220"/>
      <c r="AM462" s="220"/>
      <c r="AN462" s="220"/>
      <c r="AO462" s="220"/>
      <c r="AP462" s="220"/>
      <c r="AQ462" s="220"/>
      <c r="AR462" s="220"/>
      <c r="AS462" s="220"/>
      <c r="AT462" s="220"/>
      <c r="AU462" s="220"/>
    </row>
    <row r="463" ht="15.75" customHeight="1">
      <c r="A463" s="220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0"/>
      <c r="AA463" s="220"/>
      <c r="AB463" s="220"/>
      <c r="AC463" s="220"/>
      <c r="AD463" s="220"/>
      <c r="AE463" s="220"/>
      <c r="AF463" s="220"/>
      <c r="AG463" s="220"/>
      <c r="AH463" s="220"/>
      <c r="AI463" s="220"/>
      <c r="AJ463" s="220"/>
      <c r="AK463" s="220"/>
      <c r="AL463" s="220"/>
      <c r="AM463" s="220"/>
      <c r="AN463" s="220"/>
      <c r="AO463" s="220"/>
      <c r="AP463" s="220"/>
      <c r="AQ463" s="220"/>
      <c r="AR463" s="220"/>
      <c r="AS463" s="220"/>
      <c r="AT463" s="220"/>
      <c r="AU463" s="220"/>
    </row>
    <row r="464" ht="15.75" customHeight="1">
      <c r="A464" s="220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0"/>
      <c r="AA464" s="220"/>
      <c r="AB464" s="220"/>
      <c r="AC464" s="220"/>
      <c r="AD464" s="220"/>
      <c r="AE464" s="220"/>
      <c r="AF464" s="220"/>
      <c r="AG464" s="220"/>
      <c r="AH464" s="220"/>
      <c r="AI464" s="220"/>
      <c r="AJ464" s="220"/>
      <c r="AK464" s="220"/>
      <c r="AL464" s="220"/>
      <c r="AM464" s="220"/>
      <c r="AN464" s="220"/>
      <c r="AO464" s="220"/>
      <c r="AP464" s="220"/>
      <c r="AQ464" s="220"/>
      <c r="AR464" s="220"/>
      <c r="AS464" s="220"/>
      <c r="AT464" s="220"/>
      <c r="AU464" s="220"/>
    </row>
    <row r="465" ht="15.75" customHeight="1">
      <c r="A465" s="220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0"/>
      <c r="AA465" s="220"/>
      <c r="AB465" s="220"/>
      <c r="AC465" s="220"/>
      <c r="AD465" s="220"/>
      <c r="AE465" s="220"/>
      <c r="AF465" s="220"/>
      <c r="AG465" s="220"/>
      <c r="AH465" s="220"/>
      <c r="AI465" s="220"/>
      <c r="AJ465" s="220"/>
      <c r="AK465" s="220"/>
      <c r="AL465" s="220"/>
      <c r="AM465" s="220"/>
      <c r="AN465" s="220"/>
      <c r="AO465" s="220"/>
      <c r="AP465" s="220"/>
      <c r="AQ465" s="220"/>
      <c r="AR465" s="220"/>
      <c r="AS465" s="220"/>
      <c r="AT465" s="220"/>
      <c r="AU465" s="220"/>
    </row>
    <row r="466" ht="15.75" customHeight="1">
      <c r="A466" s="220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0"/>
      <c r="AA466" s="220"/>
      <c r="AB466" s="220"/>
      <c r="AC466" s="220"/>
      <c r="AD466" s="220"/>
      <c r="AE466" s="220"/>
      <c r="AF466" s="220"/>
      <c r="AG466" s="220"/>
      <c r="AH466" s="220"/>
      <c r="AI466" s="220"/>
      <c r="AJ466" s="220"/>
      <c r="AK466" s="220"/>
      <c r="AL466" s="220"/>
      <c r="AM466" s="220"/>
      <c r="AN466" s="220"/>
      <c r="AO466" s="220"/>
      <c r="AP466" s="220"/>
      <c r="AQ466" s="220"/>
      <c r="AR466" s="220"/>
      <c r="AS466" s="220"/>
      <c r="AT466" s="220"/>
      <c r="AU466" s="220"/>
    </row>
    <row r="467" ht="15.75" customHeight="1">
      <c r="A467" s="220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0"/>
      <c r="AA467" s="220"/>
      <c r="AB467" s="220"/>
      <c r="AC467" s="220"/>
      <c r="AD467" s="220"/>
      <c r="AE467" s="220"/>
      <c r="AF467" s="220"/>
      <c r="AG467" s="220"/>
      <c r="AH467" s="220"/>
      <c r="AI467" s="220"/>
      <c r="AJ467" s="220"/>
      <c r="AK467" s="220"/>
      <c r="AL467" s="220"/>
      <c r="AM467" s="220"/>
      <c r="AN467" s="220"/>
      <c r="AO467" s="220"/>
      <c r="AP467" s="220"/>
      <c r="AQ467" s="220"/>
      <c r="AR467" s="220"/>
      <c r="AS467" s="220"/>
      <c r="AT467" s="220"/>
      <c r="AU467" s="220"/>
    </row>
    <row r="468" ht="15.75" customHeight="1">
      <c r="A468" s="220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0"/>
      <c r="AA468" s="220"/>
      <c r="AB468" s="220"/>
      <c r="AC468" s="220"/>
      <c r="AD468" s="220"/>
      <c r="AE468" s="220"/>
      <c r="AF468" s="220"/>
      <c r="AG468" s="220"/>
      <c r="AH468" s="220"/>
      <c r="AI468" s="220"/>
      <c r="AJ468" s="220"/>
      <c r="AK468" s="220"/>
      <c r="AL468" s="220"/>
      <c r="AM468" s="220"/>
      <c r="AN468" s="220"/>
      <c r="AO468" s="220"/>
      <c r="AP468" s="220"/>
      <c r="AQ468" s="220"/>
      <c r="AR468" s="220"/>
      <c r="AS468" s="220"/>
      <c r="AT468" s="220"/>
      <c r="AU468" s="220"/>
    </row>
    <row r="469" ht="15.75" customHeight="1">
      <c r="A469" s="220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0"/>
      <c r="AA469" s="220"/>
      <c r="AB469" s="220"/>
      <c r="AC469" s="220"/>
      <c r="AD469" s="220"/>
      <c r="AE469" s="220"/>
      <c r="AF469" s="220"/>
      <c r="AG469" s="220"/>
      <c r="AH469" s="220"/>
      <c r="AI469" s="220"/>
      <c r="AJ469" s="220"/>
      <c r="AK469" s="220"/>
      <c r="AL469" s="220"/>
      <c r="AM469" s="220"/>
      <c r="AN469" s="220"/>
      <c r="AO469" s="220"/>
      <c r="AP469" s="220"/>
      <c r="AQ469" s="220"/>
      <c r="AR469" s="220"/>
      <c r="AS469" s="220"/>
      <c r="AT469" s="220"/>
      <c r="AU469" s="220"/>
    </row>
    <row r="470" ht="15.75" customHeight="1">
      <c r="A470" s="220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0"/>
      <c r="AA470" s="220"/>
      <c r="AB470" s="220"/>
      <c r="AC470" s="220"/>
      <c r="AD470" s="220"/>
      <c r="AE470" s="220"/>
      <c r="AF470" s="220"/>
      <c r="AG470" s="220"/>
      <c r="AH470" s="220"/>
      <c r="AI470" s="220"/>
      <c r="AJ470" s="220"/>
      <c r="AK470" s="220"/>
      <c r="AL470" s="220"/>
      <c r="AM470" s="220"/>
      <c r="AN470" s="220"/>
      <c r="AO470" s="220"/>
      <c r="AP470" s="220"/>
      <c r="AQ470" s="220"/>
      <c r="AR470" s="220"/>
      <c r="AS470" s="220"/>
      <c r="AT470" s="220"/>
      <c r="AU470" s="220"/>
    </row>
    <row r="471" ht="15.75" customHeight="1">
      <c r="A471" s="220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0"/>
      <c r="AA471" s="220"/>
      <c r="AB471" s="220"/>
      <c r="AC471" s="220"/>
      <c r="AD471" s="220"/>
      <c r="AE471" s="220"/>
      <c r="AF471" s="220"/>
      <c r="AG471" s="220"/>
      <c r="AH471" s="220"/>
      <c r="AI471" s="220"/>
      <c r="AJ471" s="220"/>
      <c r="AK471" s="220"/>
      <c r="AL471" s="220"/>
      <c r="AM471" s="220"/>
      <c r="AN471" s="220"/>
      <c r="AO471" s="220"/>
      <c r="AP471" s="220"/>
      <c r="AQ471" s="220"/>
      <c r="AR471" s="220"/>
      <c r="AS471" s="220"/>
      <c r="AT471" s="220"/>
      <c r="AU471" s="220"/>
    </row>
    <row r="472" ht="15.75" customHeight="1">
      <c r="A472" s="220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0"/>
      <c r="AA472" s="220"/>
      <c r="AB472" s="220"/>
      <c r="AC472" s="220"/>
      <c r="AD472" s="220"/>
      <c r="AE472" s="220"/>
      <c r="AF472" s="220"/>
      <c r="AG472" s="220"/>
      <c r="AH472" s="220"/>
      <c r="AI472" s="220"/>
      <c r="AJ472" s="220"/>
      <c r="AK472" s="220"/>
      <c r="AL472" s="220"/>
      <c r="AM472" s="220"/>
      <c r="AN472" s="220"/>
      <c r="AO472" s="220"/>
      <c r="AP472" s="220"/>
      <c r="AQ472" s="220"/>
      <c r="AR472" s="220"/>
      <c r="AS472" s="220"/>
      <c r="AT472" s="220"/>
      <c r="AU472" s="220"/>
    </row>
    <row r="473" ht="15.75" customHeight="1">
      <c r="A473" s="220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0"/>
      <c r="AA473" s="220"/>
      <c r="AB473" s="220"/>
      <c r="AC473" s="220"/>
      <c r="AD473" s="220"/>
      <c r="AE473" s="220"/>
      <c r="AF473" s="220"/>
      <c r="AG473" s="220"/>
      <c r="AH473" s="220"/>
      <c r="AI473" s="220"/>
      <c r="AJ473" s="220"/>
      <c r="AK473" s="220"/>
      <c r="AL473" s="220"/>
      <c r="AM473" s="220"/>
      <c r="AN473" s="220"/>
      <c r="AO473" s="220"/>
      <c r="AP473" s="220"/>
      <c r="AQ473" s="220"/>
      <c r="AR473" s="220"/>
      <c r="AS473" s="220"/>
      <c r="AT473" s="220"/>
      <c r="AU473" s="220"/>
    </row>
    <row r="474" ht="15.75" customHeight="1">
      <c r="A474" s="220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0"/>
      <c r="AA474" s="220"/>
      <c r="AB474" s="220"/>
      <c r="AC474" s="220"/>
      <c r="AD474" s="220"/>
      <c r="AE474" s="220"/>
      <c r="AF474" s="220"/>
      <c r="AG474" s="220"/>
      <c r="AH474" s="220"/>
      <c r="AI474" s="220"/>
      <c r="AJ474" s="220"/>
      <c r="AK474" s="220"/>
      <c r="AL474" s="220"/>
      <c r="AM474" s="220"/>
      <c r="AN474" s="220"/>
      <c r="AO474" s="220"/>
      <c r="AP474" s="220"/>
      <c r="AQ474" s="220"/>
      <c r="AR474" s="220"/>
      <c r="AS474" s="220"/>
      <c r="AT474" s="220"/>
      <c r="AU474" s="220"/>
    </row>
    <row r="475" ht="15.75" customHeight="1">
      <c r="A475" s="220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0"/>
      <c r="AA475" s="220"/>
      <c r="AB475" s="220"/>
      <c r="AC475" s="220"/>
      <c r="AD475" s="220"/>
      <c r="AE475" s="220"/>
      <c r="AF475" s="220"/>
      <c r="AG475" s="220"/>
      <c r="AH475" s="220"/>
      <c r="AI475" s="220"/>
      <c r="AJ475" s="220"/>
      <c r="AK475" s="220"/>
      <c r="AL475" s="220"/>
      <c r="AM475" s="220"/>
      <c r="AN475" s="220"/>
      <c r="AO475" s="220"/>
      <c r="AP475" s="220"/>
      <c r="AQ475" s="220"/>
      <c r="AR475" s="220"/>
      <c r="AS475" s="220"/>
      <c r="AT475" s="220"/>
      <c r="AU475" s="220"/>
    </row>
    <row r="476" ht="15.75" customHeight="1">
      <c r="A476" s="220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0"/>
      <c r="AA476" s="220"/>
      <c r="AB476" s="220"/>
      <c r="AC476" s="220"/>
      <c r="AD476" s="220"/>
      <c r="AE476" s="220"/>
      <c r="AF476" s="220"/>
      <c r="AG476" s="220"/>
      <c r="AH476" s="220"/>
      <c r="AI476" s="220"/>
      <c r="AJ476" s="220"/>
      <c r="AK476" s="220"/>
      <c r="AL476" s="220"/>
      <c r="AM476" s="220"/>
      <c r="AN476" s="220"/>
      <c r="AO476" s="220"/>
      <c r="AP476" s="220"/>
      <c r="AQ476" s="220"/>
      <c r="AR476" s="220"/>
      <c r="AS476" s="220"/>
      <c r="AT476" s="220"/>
      <c r="AU476" s="220"/>
    </row>
    <row r="477" ht="15.75" customHeight="1">
      <c r="A477" s="220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0"/>
      <c r="AA477" s="220"/>
      <c r="AB477" s="220"/>
      <c r="AC477" s="220"/>
      <c r="AD477" s="220"/>
      <c r="AE477" s="220"/>
      <c r="AF477" s="220"/>
      <c r="AG477" s="220"/>
      <c r="AH477" s="220"/>
      <c r="AI477" s="220"/>
      <c r="AJ477" s="220"/>
      <c r="AK477" s="220"/>
      <c r="AL477" s="220"/>
      <c r="AM477" s="220"/>
      <c r="AN477" s="220"/>
      <c r="AO477" s="220"/>
      <c r="AP477" s="220"/>
      <c r="AQ477" s="220"/>
      <c r="AR477" s="220"/>
      <c r="AS477" s="220"/>
      <c r="AT477" s="220"/>
      <c r="AU477" s="220"/>
    </row>
    <row r="478" ht="15.75" customHeight="1">
      <c r="A478" s="220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0"/>
      <c r="AA478" s="220"/>
      <c r="AB478" s="220"/>
      <c r="AC478" s="220"/>
      <c r="AD478" s="220"/>
      <c r="AE478" s="220"/>
      <c r="AF478" s="220"/>
      <c r="AG478" s="220"/>
      <c r="AH478" s="220"/>
      <c r="AI478" s="220"/>
      <c r="AJ478" s="220"/>
      <c r="AK478" s="220"/>
      <c r="AL478" s="220"/>
      <c r="AM478" s="220"/>
      <c r="AN478" s="220"/>
      <c r="AO478" s="220"/>
      <c r="AP478" s="220"/>
      <c r="AQ478" s="220"/>
      <c r="AR478" s="220"/>
      <c r="AS478" s="220"/>
      <c r="AT478" s="220"/>
      <c r="AU478" s="220"/>
    </row>
    <row r="479" ht="15.75" customHeight="1">
      <c r="A479" s="220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0"/>
      <c r="AA479" s="220"/>
      <c r="AB479" s="220"/>
      <c r="AC479" s="220"/>
      <c r="AD479" s="220"/>
      <c r="AE479" s="220"/>
      <c r="AF479" s="220"/>
      <c r="AG479" s="220"/>
      <c r="AH479" s="220"/>
      <c r="AI479" s="220"/>
      <c r="AJ479" s="220"/>
      <c r="AK479" s="220"/>
      <c r="AL479" s="220"/>
      <c r="AM479" s="220"/>
      <c r="AN479" s="220"/>
      <c r="AO479" s="220"/>
      <c r="AP479" s="220"/>
      <c r="AQ479" s="220"/>
      <c r="AR479" s="220"/>
      <c r="AS479" s="220"/>
      <c r="AT479" s="220"/>
      <c r="AU479" s="220"/>
    </row>
    <row r="480" ht="15.75" customHeight="1">
      <c r="A480" s="220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0"/>
      <c r="AA480" s="220"/>
      <c r="AB480" s="220"/>
      <c r="AC480" s="220"/>
      <c r="AD480" s="220"/>
      <c r="AE480" s="220"/>
      <c r="AF480" s="220"/>
      <c r="AG480" s="220"/>
      <c r="AH480" s="220"/>
      <c r="AI480" s="220"/>
      <c r="AJ480" s="220"/>
      <c r="AK480" s="220"/>
      <c r="AL480" s="220"/>
      <c r="AM480" s="220"/>
      <c r="AN480" s="220"/>
      <c r="AO480" s="220"/>
      <c r="AP480" s="220"/>
      <c r="AQ480" s="220"/>
      <c r="AR480" s="220"/>
      <c r="AS480" s="220"/>
      <c r="AT480" s="220"/>
      <c r="AU480" s="220"/>
    </row>
    <row r="481" ht="15.75" customHeight="1">
      <c r="A481" s="220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0"/>
      <c r="AA481" s="220"/>
      <c r="AB481" s="220"/>
      <c r="AC481" s="220"/>
      <c r="AD481" s="220"/>
      <c r="AE481" s="220"/>
      <c r="AF481" s="220"/>
      <c r="AG481" s="220"/>
      <c r="AH481" s="220"/>
      <c r="AI481" s="220"/>
      <c r="AJ481" s="220"/>
      <c r="AK481" s="220"/>
      <c r="AL481" s="220"/>
      <c r="AM481" s="220"/>
      <c r="AN481" s="220"/>
      <c r="AO481" s="220"/>
      <c r="AP481" s="220"/>
      <c r="AQ481" s="220"/>
      <c r="AR481" s="220"/>
      <c r="AS481" s="220"/>
      <c r="AT481" s="220"/>
      <c r="AU481" s="220"/>
    </row>
    <row r="482" ht="15.75" customHeight="1">
      <c r="A482" s="220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0"/>
      <c r="AA482" s="220"/>
      <c r="AB482" s="220"/>
      <c r="AC482" s="220"/>
      <c r="AD482" s="220"/>
      <c r="AE482" s="220"/>
      <c r="AF482" s="220"/>
      <c r="AG482" s="220"/>
      <c r="AH482" s="220"/>
      <c r="AI482" s="220"/>
      <c r="AJ482" s="220"/>
      <c r="AK482" s="220"/>
      <c r="AL482" s="220"/>
      <c r="AM482" s="220"/>
      <c r="AN482" s="220"/>
      <c r="AO482" s="220"/>
      <c r="AP482" s="220"/>
      <c r="AQ482" s="220"/>
      <c r="AR482" s="220"/>
      <c r="AS482" s="220"/>
      <c r="AT482" s="220"/>
      <c r="AU482" s="220"/>
    </row>
    <row r="483" ht="15.75" customHeight="1">
      <c r="A483" s="220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0"/>
      <c r="AA483" s="220"/>
      <c r="AB483" s="220"/>
      <c r="AC483" s="220"/>
      <c r="AD483" s="220"/>
      <c r="AE483" s="220"/>
      <c r="AF483" s="220"/>
      <c r="AG483" s="220"/>
      <c r="AH483" s="220"/>
      <c r="AI483" s="220"/>
      <c r="AJ483" s="220"/>
      <c r="AK483" s="220"/>
      <c r="AL483" s="220"/>
      <c r="AM483" s="220"/>
      <c r="AN483" s="220"/>
      <c r="AO483" s="220"/>
      <c r="AP483" s="220"/>
      <c r="AQ483" s="220"/>
      <c r="AR483" s="220"/>
      <c r="AS483" s="220"/>
      <c r="AT483" s="220"/>
      <c r="AU483" s="220"/>
    </row>
    <row r="484" ht="15.75" customHeight="1">
      <c r="A484" s="220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0"/>
      <c r="AA484" s="220"/>
      <c r="AB484" s="220"/>
      <c r="AC484" s="220"/>
      <c r="AD484" s="220"/>
      <c r="AE484" s="220"/>
      <c r="AF484" s="220"/>
      <c r="AG484" s="220"/>
      <c r="AH484" s="220"/>
      <c r="AI484" s="220"/>
      <c r="AJ484" s="220"/>
      <c r="AK484" s="220"/>
      <c r="AL484" s="220"/>
      <c r="AM484" s="220"/>
      <c r="AN484" s="220"/>
      <c r="AO484" s="220"/>
      <c r="AP484" s="220"/>
      <c r="AQ484" s="220"/>
      <c r="AR484" s="220"/>
      <c r="AS484" s="220"/>
      <c r="AT484" s="220"/>
      <c r="AU484" s="220"/>
    </row>
    <row r="485" ht="15.75" customHeight="1">
      <c r="A485" s="220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0"/>
      <c r="AA485" s="220"/>
      <c r="AB485" s="220"/>
      <c r="AC485" s="220"/>
      <c r="AD485" s="220"/>
      <c r="AE485" s="220"/>
      <c r="AF485" s="220"/>
      <c r="AG485" s="220"/>
      <c r="AH485" s="220"/>
      <c r="AI485" s="220"/>
      <c r="AJ485" s="220"/>
      <c r="AK485" s="220"/>
      <c r="AL485" s="220"/>
      <c r="AM485" s="220"/>
      <c r="AN485" s="220"/>
      <c r="AO485" s="220"/>
      <c r="AP485" s="220"/>
      <c r="AQ485" s="220"/>
      <c r="AR485" s="220"/>
      <c r="AS485" s="220"/>
      <c r="AT485" s="220"/>
      <c r="AU485" s="220"/>
    </row>
    <row r="486" ht="15.75" customHeight="1">
      <c r="A486" s="220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0"/>
      <c r="AA486" s="220"/>
      <c r="AB486" s="220"/>
      <c r="AC486" s="220"/>
      <c r="AD486" s="220"/>
      <c r="AE486" s="220"/>
      <c r="AF486" s="220"/>
      <c r="AG486" s="220"/>
      <c r="AH486" s="220"/>
      <c r="AI486" s="220"/>
      <c r="AJ486" s="220"/>
      <c r="AK486" s="220"/>
      <c r="AL486" s="220"/>
      <c r="AM486" s="220"/>
      <c r="AN486" s="220"/>
      <c r="AO486" s="220"/>
      <c r="AP486" s="220"/>
      <c r="AQ486" s="220"/>
      <c r="AR486" s="220"/>
      <c r="AS486" s="220"/>
      <c r="AT486" s="220"/>
      <c r="AU486" s="220"/>
    </row>
    <row r="487" ht="15.75" customHeight="1">
      <c r="A487" s="220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0"/>
      <c r="AA487" s="220"/>
      <c r="AB487" s="220"/>
      <c r="AC487" s="220"/>
      <c r="AD487" s="220"/>
      <c r="AE487" s="220"/>
      <c r="AF487" s="220"/>
      <c r="AG487" s="220"/>
      <c r="AH487" s="220"/>
      <c r="AI487" s="220"/>
      <c r="AJ487" s="220"/>
      <c r="AK487" s="220"/>
      <c r="AL487" s="220"/>
      <c r="AM487" s="220"/>
      <c r="AN487" s="220"/>
      <c r="AO487" s="220"/>
      <c r="AP487" s="220"/>
      <c r="AQ487" s="220"/>
      <c r="AR487" s="220"/>
      <c r="AS487" s="220"/>
      <c r="AT487" s="220"/>
      <c r="AU487" s="220"/>
    </row>
    <row r="488" ht="15.75" customHeight="1">
      <c r="A488" s="220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0"/>
      <c r="AA488" s="220"/>
      <c r="AB488" s="220"/>
      <c r="AC488" s="220"/>
      <c r="AD488" s="220"/>
      <c r="AE488" s="220"/>
      <c r="AF488" s="220"/>
      <c r="AG488" s="220"/>
      <c r="AH488" s="220"/>
      <c r="AI488" s="220"/>
      <c r="AJ488" s="220"/>
      <c r="AK488" s="220"/>
      <c r="AL488" s="220"/>
      <c r="AM488" s="220"/>
      <c r="AN488" s="220"/>
      <c r="AO488" s="220"/>
      <c r="AP488" s="220"/>
      <c r="AQ488" s="220"/>
      <c r="AR488" s="220"/>
      <c r="AS488" s="220"/>
      <c r="AT488" s="220"/>
      <c r="AU488" s="220"/>
    </row>
    <row r="489" ht="15.75" customHeight="1">
      <c r="A489" s="220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0"/>
      <c r="AA489" s="220"/>
      <c r="AB489" s="220"/>
      <c r="AC489" s="220"/>
      <c r="AD489" s="220"/>
      <c r="AE489" s="220"/>
      <c r="AF489" s="220"/>
      <c r="AG489" s="220"/>
      <c r="AH489" s="220"/>
      <c r="AI489" s="220"/>
      <c r="AJ489" s="220"/>
      <c r="AK489" s="220"/>
      <c r="AL489" s="220"/>
      <c r="AM489" s="220"/>
      <c r="AN489" s="220"/>
      <c r="AO489" s="220"/>
      <c r="AP489" s="220"/>
      <c r="AQ489" s="220"/>
      <c r="AR489" s="220"/>
      <c r="AS489" s="220"/>
      <c r="AT489" s="220"/>
      <c r="AU489" s="220"/>
    </row>
    <row r="490" ht="15.75" customHeight="1">
      <c r="A490" s="220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0"/>
      <c r="AA490" s="220"/>
      <c r="AB490" s="220"/>
      <c r="AC490" s="220"/>
      <c r="AD490" s="220"/>
      <c r="AE490" s="220"/>
      <c r="AF490" s="220"/>
      <c r="AG490" s="220"/>
      <c r="AH490" s="220"/>
      <c r="AI490" s="220"/>
      <c r="AJ490" s="220"/>
      <c r="AK490" s="220"/>
      <c r="AL490" s="220"/>
      <c r="AM490" s="220"/>
      <c r="AN490" s="220"/>
      <c r="AO490" s="220"/>
      <c r="AP490" s="220"/>
      <c r="AQ490" s="220"/>
      <c r="AR490" s="220"/>
      <c r="AS490" s="220"/>
      <c r="AT490" s="220"/>
      <c r="AU490" s="220"/>
    </row>
    <row r="491" ht="15.75" customHeight="1">
      <c r="A491" s="220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0"/>
      <c r="AA491" s="220"/>
      <c r="AB491" s="220"/>
      <c r="AC491" s="220"/>
      <c r="AD491" s="220"/>
      <c r="AE491" s="220"/>
      <c r="AF491" s="220"/>
      <c r="AG491" s="220"/>
      <c r="AH491" s="220"/>
      <c r="AI491" s="220"/>
      <c r="AJ491" s="220"/>
      <c r="AK491" s="220"/>
      <c r="AL491" s="220"/>
      <c r="AM491" s="220"/>
      <c r="AN491" s="220"/>
      <c r="AO491" s="220"/>
      <c r="AP491" s="220"/>
      <c r="AQ491" s="220"/>
      <c r="AR491" s="220"/>
      <c r="AS491" s="220"/>
      <c r="AT491" s="220"/>
      <c r="AU491" s="220"/>
    </row>
    <row r="492" ht="15.75" customHeight="1">
      <c r="A492" s="220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0"/>
      <c r="AA492" s="220"/>
      <c r="AB492" s="220"/>
      <c r="AC492" s="220"/>
      <c r="AD492" s="220"/>
      <c r="AE492" s="220"/>
      <c r="AF492" s="220"/>
      <c r="AG492" s="220"/>
      <c r="AH492" s="220"/>
      <c r="AI492" s="220"/>
      <c r="AJ492" s="220"/>
      <c r="AK492" s="220"/>
      <c r="AL492" s="220"/>
      <c r="AM492" s="220"/>
      <c r="AN492" s="220"/>
      <c r="AO492" s="220"/>
      <c r="AP492" s="220"/>
      <c r="AQ492" s="220"/>
      <c r="AR492" s="220"/>
      <c r="AS492" s="220"/>
      <c r="AT492" s="220"/>
      <c r="AU492" s="220"/>
    </row>
    <row r="493" ht="15.75" customHeight="1">
      <c r="A493" s="220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0"/>
      <c r="AA493" s="220"/>
      <c r="AB493" s="220"/>
      <c r="AC493" s="220"/>
      <c r="AD493" s="220"/>
      <c r="AE493" s="220"/>
      <c r="AF493" s="220"/>
      <c r="AG493" s="220"/>
      <c r="AH493" s="220"/>
      <c r="AI493" s="220"/>
      <c r="AJ493" s="220"/>
      <c r="AK493" s="220"/>
      <c r="AL493" s="220"/>
      <c r="AM493" s="220"/>
      <c r="AN493" s="220"/>
      <c r="AO493" s="220"/>
      <c r="AP493" s="220"/>
      <c r="AQ493" s="220"/>
      <c r="AR493" s="220"/>
      <c r="AS493" s="220"/>
      <c r="AT493" s="220"/>
      <c r="AU493" s="220"/>
    </row>
    <row r="494" ht="15.75" customHeight="1">
      <c r="A494" s="220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0"/>
      <c r="AA494" s="220"/>
      <c r="AB494" s="220"/>
      <c r="AC494" s="220"/>
      <c r="AD494" s="220"/>
      <c r="AE494" s="220"/>
      <c r="AF494" s="220"/>
      <c r="AG494" s="220"/>
      <c r="AH494" s="220"/>
      <c r="AI494" s="220"/>
      <c r="AJ494" s="220"/>
      <c r="AK494" s="220"/>
      <c r="AL494" s="220"/>
      <c r="AM494" s="220"/>
      <c r="AN494" s="220"/>
      <c r="AO494" s="220"/>
      <c r="AP494" s="220"/>
      <c r="AQ494" s="220"/>
      <c r="AR494" s="220"/>
      <c r="AS494" s="220"/>
      <c r="AT494" s="220"/>
      <c r="AU494" s="220"/>
    </row>
    <row r="495" ht="15.75" customHeight="1">
      <c r="A495" s="220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0"/>
      <c r="AA495" s="220"/>
      <c r="AB495" s="220"/>
      <c r="AC495" s="220"/>
      <c r="AD495" s="220"/>
      <c r="AE495" s="220"/>
      <c r="AF495" s="220"/>
      <c r="AG495" s="220"/>
      <c r="AH495" s="220"/>
      <c r="AI495" s="220"/>
      <c r="AJ495" s="220"/>
      <c r="AK495" s="220"/>
      <c r="AL495" s="220"/>
      <c r="AM495" s="220"/>
      <c r="AN495" s="220"/>
      <c r="AO495" s="220"/>
      <c r="AP495" s="220"/>
      <c r="AQ495" s="220"/>
      <c r="AR495" s="220"/>
      <c r="AS495" s="220"/>
      <c r="AT495" s="220"/>
      <c r="AU495" s="220"/>
    </row>
    <row r="496" ht="15.75" customHeight="1">
      <c r="A496" s="220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0"/>
      <c r="AA496" s="220"/>
      <c r="AB496" s="220"/>
      <c r="AC496" s="220"/>
      <c r="AD496" s="220"/>
      <c r="AE496" s="220"/>
      <c r="AF496" s="220"/>
      <c r="AG496" s="220"/>
      <c r="AH496" s="220"/>
      <c r="AI496" s="220"/>
      <c r="AJ496" s="220"/>
      <c r="AK496" s="220"/>
      <c r="AL496" s="220"/>
      <c r="AM496" s="220"/>
      <c r="AN496" s="220"/>
      <c r="AO496" s="220"/>
      <c r="AP496" s="220"/>
      <c r="AQ496" s="220"/>
      <c r="AR496" s="220"/>
      <c r="AS496" s="220"/>
      <c r="AT496" s="220"/>
      <c r="AU496" s="220"/>
    </row>
    <row r="497" ht="15.75" customHeight="1">
      <c r="A497" s="220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0"/>
      <c r="AA497" s="220"/>
      <c r="AB497" s="220"/>
      <c r="AC497" s="220"/>
      <c r="AD497" s="220"/>
      <c r="AE497" s="220"/>
      <c r="AF497" s="220"/>
      <c r="AG497" s="220"/>
      <c r="AH497" s="220"/>
      <c r="AI497" s="220"/>
      <c r="AJ497" s="220"/>
      <c r="AK497" s="220"/>
      <c r="AL497" s="220"/>
      <c r="AM497" s="220"/>
      <c r="AN497" s="220"/>
      <c r="AO497" s="220"/>
      <c r="AP497" s="220"/>
      <c r="AQ497" s="220"/>
      <c r="AR497" s="220"/>
      <c r="AS497" s="220"/>
      <c r="AT497" s="220"/>
      <c r="AU497" s="220"/>
    </row>
    <row r="498" ht="15.75" customHeight="1">
      <c r="A498" s="220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0"/>
      <c r="AA498" s="220"/>
      <c r="AB498" s="220"/>
      <c r="AC498" s="220"/>
      <c r="AD498" s="220"/>
      <c r="AE498" s="220"/>
      <c r="AF498" s="220"/>
      <c r="AG498" s="220"/>
      <c r="AH498" s="220"/>
      <c r="AI498" s="220"/>
      <c r="AJ498" s="220"/>
      <c r="AK498" s="220"/>
      <c r="AL498" s="220"/>
      <c r="AM498" s="220"/>
      <c r="AN498" s="220"/>
      <c r="AO498" s="220"/>
      <c r="AP498" s="220"/>
      <c r="AQ498" s="220"/>
      <c r="AR498" s="220"/>
      <c r="AS498" s="220"/>
      <c r="AT498" s="220"/>
      <c r="AU498" s="220"/>
    </row>
    <row r="499" ht="15.75" customHeight="1">
      <c r="A499" s="220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0"/>
      <c r="AA499" s="220"/>
      <c r="AB499" s="220"/>
      <c r="AC499" s="220"/>
      <c r="AD499" s="220"/>
      <c r="AE499" s="220"/>
      <c r="AF499" s="220"/>
      <c r="AG499" s="220"/>
      <c r="AH499" s="220"/>
      <c r="AI499" s="220"/>
      <c r="AJ499" s="220"/>
      <c r="AK499" s="220"/>
      <c r="AL499" s="220"/>
      <c r="AM499" s="220"/>
      <c r="AN499" s="220"/>
      <c r="AO499" s="220"/>
      <c r="AP499" s="220"/>
      <c r="AQ499" s="220"/>
      <c r="AR499" s="220"/>
      <c r="AS499" s="220"/>
      <c r="AT499" s="220"/>
      <c r="AU499" s="220"/>
    </row>
    <row r="500" ht="15.75" customHeight="1">
      <c r="A500" s="220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0"/>
      <c r="AA500" s="220"/>
      <c r="AB500" s="220"/>
      <c r="AC500" s="220"/>
      <c r="AD500" s="220"/>
      <c r="AE500" s="220"/>
      <c r="AF500" s="220"/>
      <c r="AG500" s="220"/>
      <c r="AH500" s="220"/>
      <c r="AI500" s="220"/>
      <c r="AJ500" s="220"/>
      <c r="AK500" s="220"/>
      <c r="AL500" s="220"/>
      <c r="AM500" s="220"/>
      <c r="AN500" s="220"/>
      <c r="AO500" s="220"/>
      <c r="AP500" s="220"/>
      <c r="AQ500" s="220"/>
      <c r="AR500" s="220"/>
      <c r="AS500" s="220"/>
      <c r="AT500" s="220"/>
      <c r="AU500" s="220"/>
    </row>
    <row r="501" ht="15.75" customHeight="1">
      <c r="A501" s="220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0"/>
      <c r="AA501" s="220"/>
      <c r="AB501" s="220"/>
      <c r="AC501" s="220"/>
      <c r="AD501" s="220"/>
      <c r="AE501" s="220"/>
      <c r="AF501" s="220"/>
      <c r="AG501" s="220"/>
      <c r="AH501" s="220"/>
      <c r="AI501" s="220"/>
      <c r="AJ501" s="220"/>
      <c r="AK501" s="220"/>
      <c r="AL501" s="220"/>
      <c r="AM501" s="220"/>
      <c r="AN501" s="220"/>
      <c r="AO501" s="220"/>
      <c r="AP501" s="220"/>
      <c r="AQ501" s="220"/>
      <c r="AR501" s="220"/>
      <c r="AS501" s="220"/>
      <c r="AT501" s="220"/>
      <c r="AU501" s="220"/>
    </row>
    <row r="502" ht="15.75" customHeight="1">
      <c r="A502" s="220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0"/>
      <c r="AA502" s="220"/>
      <c r="AB502" s="220"/>
      <c r="AC502" s="220"/>
      <c r="AD502" s="220"/>
      <c r="AE502" s="220"/>
      <c r="AF502" s="220"/>
      <c r="AG502" s="220"/>
      <c r="AH502" s="220"/>
      <c r="AI502" s="220"/>
      <c r="AJ502" s="220"/>
      <c r="AK502" s="220"/>
      <c r="AL502" s="220"/>
      <c r="AM502" s="220"/>
      <c r="AN502" s="220"/>
      <c r="AO502" s="220"/>
      <c r="AP502" s="220"/>
      <c r="AQ502" s="220"/>
      <c r="AR502" s="220"/>
      <c r="AS502" s="220"/>
      <c r="AT502" s="220"/>
      <c r="AU502" s="220"/>
    </row>
    <row r="503" ht="15.75" customHeight="1">
      <c r="A503" s="220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0"/>
      <c r="AA503" s="220"/>
      <c r="AB503" s="220"/>
      <c r="AC503" s="220"/>
      <c r="AD503" s="220"/>
      <c r="AE503" s="220"/>
      <c r="AF503" s="220"/>
      <c r="AG503" s="220"/>
      <c r="AH503" s="220"/>
      <c r="AI503" s="220"/>
      <c r="AJ503" s="220"/>
      <c r="AK503" s="220"/>
      <c r="AL503" s="220"/>
      <c r="AM503" s="220"/>
      <c r="AN503" s="220"/>
      <c r="AO503" s="220"/>
      <c r="AP503" s="220"/>
      <c r="AQ503" s="220"/>
      <c r="AR503" s="220"/>
      <c r="AS503" s="220"/>
      <c r="AT503" s="220"/>
      <c r="AU503" s="220"/>
    </row>
    <row r="504" ht="15.75" customHeight="1">
      <c r="A504" s="220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0"/>
      <c r="AA504" s="220"/>
      <c r="AB504" s="220"/>
      <c r="AC504" s="220"/>
      <c r="AD504" s="220"/>
      <c r="AE504" s="220"/>
      <c r="AF504" s="220"/>
      <c r="AG504" s="220"/>
      <c r="AH504" s="220"/>
      <c r="AI504" s="220"/>
      <c r="AJ504" s="220"/>
      <c r="AK504" s="220"/>
      <c r="AL504" s="220"/>
      <c r="AM504" s="220"/>
      <c r="AN504" s="220"/>
      <c r="AO504" s="220"/>
      <c r="AP504" s="220"/>
      <c r="AQ504" s="220"/>
      <c r="AR504" s="220"/>
      <c r="AS504" s="220"/>
      <c r="AT504" s="220"/>
      <c r="AU504" s="220"/>
    </row>
    <row r="505" ht="15.75" customHeight="1">
      <c r="A505" s="220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0"/>
      <c r="AA505" s="220"/>
      <c r="AB505" s="220"/>
      <c r="AC505" s="220"/>
      <c r="AD505" s="220"/>
      <c r="AE505" s="220"/>
      <c r="AF505" s="220"/>
      <c r="AG505" s="220"/>
      <c r="AH505" s="220"/>
      <c r="AI505" s="220"/>
      <c r="AJ505" s="220"/>
      <c r="AK505" s="220"/>
      <c r="AL505" s="220"/>
      <c r="AM505" s="220"/>
      <c r="AN505" s="220"/>
      <c r="AO505" s="220"/>
      <c r="AP505" s="220"/>
      <c r="AQ505" s="220"/>
      <c r="AR505" s="220"/>
      <c r="AS505" s="220"/>
      <c r="AT505" s="220"/>
      <c r="AU505" s="220"/>
    </row>
    <row r="506" ht="15.75" customHeight="1">
      <c r="A506" s="220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0"/>
      <c r="AA506" s="220"/>
      <c r="AB506" s="220"/>
      <c r="AC506" s="220"/>
      <c r="AD506" s="220"/>
      <c r="AE506" s="220"/>
      <c r="AF506" s="220"/>
      <c r="AG506" s="220"/>
      <c r="AH506" s="220"/>
      <c r="AI506" s="220"/>
      <c r="AJ506" s="220"/>
      <c r="AK506" s="220"/>
      <c r="AL506" s="220"/>
      <c r="AM506" s="220"/>
      <c r="AN506" s="220"/>
      <c r="AO506" s="220"/>
      <c r="AP506" s="220"/>
      <c r="AQ506" s="220"/>
      <c r="AR506" s="220"/>
      <c r="AS506" s="220"/>
      <c r="AT506" s="220"/>
      <c r="AU506" s="220"/>
    </row>
    <row r="507" ht="15.75" customHeight="1">
      <c r="A507" s="220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0"/>
      <c r="AA507" s="220"/>
      <c r="AB507" s="220"/>
      <c r="AC507" s="220"/>
      <c r="AD507" s="220"/>
      <c r="AE507" s="220"/>
      <c r="AF507" s="220"/>
      <c r="AG507" s="220"/>
      <c r="AH507" s="220"/>
      <c r="AI507" s="220"/>
      <c r="AJ507" s="220"/>
      <c r="AK507" s="220"/>
      <c r="AL507" s="220"/>
      <c r="AM507" s="220"/>
      <c r="AN507" s="220"/>
      <c r="AO507" s="220"/>
      <c r="AP507" s="220"/>
      <c r="AQ507" s="220"/>
      <c r="AR507" s="220"/>
      <c r="AS507" s="220"/>
      <c r="AT507" s="220"/>
      <c r="AU507" s="220"/>
    </row>
    <row r="508" ht="15.75" customHeight="1">
      <c r="A508" s="220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0"/>
      <c r="AA508" s="220"/>
      <c r="AB508" s="220"/>
      <c r="AC508" s="220"/>
      <c r="AD508" s="220"/>
      <c r="AE508" s="220"/>
      <c r="AF508" s="220"/>
      <c r="AG508" s="220"/>
      <c r="AH508" s="220"/>
      <c r="AI508" s="220"/>
      <c r="AJ508" s="220"/>
      <c r="AK508" s="220"/>
      <c r="AL508" s="220"/>
      <c r="AM508" s="220"/>
      <c r="AN508" s="220"/>
      <c r="AO508" s="220"/>
      <c r="AP508" s="220"/>
      <c r="AQ508" s="220"/>
      <c r="AR508" s="220"/>
      <c r="AS508" s="220"/>
      <c r="AT508" s="220"/>
      <c r="AU508" s="220"/>
    </row>
    <row r="509" ht="15.75" customHeight="1">
      <c r="A509" s="220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0"/>
      <c r="AA509" s="220"/>
      <c r="AB509" s="220"/>
      <c r="AC509" s="220"/>
      <c r="AD509" s="220"/>
      <c r="AE509" s="220"/>
      <c r="AF509" s="220"/>
      <c r="AG509" s="220"/>
      <c r="AH509" s="220"/>
      <c r="AI509" s="220"/>
      <c r="AJ509" s="220"/>
      <c r="AK509" s="220"/>
      <c r="AL509" s="220"/>
      <c r="AM509" s="220"/>
      <c r="AN509" s="220"/>
      <c r="AO509" s="220"/>
      <c r="AP509" s="220"/>
      <c r="AQ509" s="220"/>
      <c r="AR509" s="220"/>
      <c r="AS509" s="220"/>
      <c r="AT509" s="220"/>
      <c r="AU509" s="220"/>
    </row>
    <row r="510" ht="15.75" customHeight="1">
      <c r="A510" s="220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0"/>
      <c r="AA510" s="220"/>
      <c r="AB510" s="220"/>
      <c r="AC510" s="220"/>
      <c r="AD510" s="220"/>
      <c r="AE510" s="220"/>
      <c r="AF510" s="220"/>
      <c r="AG510" s="220"/>
      <c r="AH510" s="220"/>
      <c r="AI510" s="220"/>
      <c r="AJ510" s="220"/>
      <c r="AK510" s="220"/>
      <c r="AL510" s="220"/>
      <c r="AM510" s="220"/>
      <c r="AN510" s="220"/>
      <c r="AO510" s="220"/>
      <c r="AP510" s="220"/>
      <c r="AQ510" s="220"/>
      <c r="AR510" s="220"/>
      <c r="AS510" s="220"/>
      <c r="AT510" s="220"/>
      <c r="AU510" s="220"/>
    </row>
    <row r="511" ht="15.75" customHeight="1">
      <c r="A511" s="220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0"/>
      <c r="AA511" s="220"/>
      <c r="AB511" s="220"/>
      <c r="AC511" s="220"/>
      <c r="AD511" s="220"/>
      <c r="AE511" s="220"/>
      <c r="AF511" s="220"/>
      <c r="AG511" s="220"/>
      <c r="AH511" s="220"/>
      <c r="AI511" s="220"/>
      <c r="AJ511" s="220"/>
      <c r="AK511" s="220"/>
      <c r="AL511" s="220"/>
      <c r="AM511" s="220"/>
      <c r="AN511" s="220"/>
      <c r="AO511" s="220"/>
      <c r="AP511" s="220"/>
      <c r="AQ511" s="220"/>
      <c r="AR511" s="220"/>
      <c r="AS511" s="220"/>
      <c r="AT511" s="220"/>
      <c r="AU511" s="220"/>
    </row>
    <row r="512" ht="15.75" customHeight="1">
      <c r="A512" s="220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0"/>
      <c r="AA512" s="220"/>
      <c r="AB512" s="220"/>
      <c r="AC512" s="220"/>
      <c r="AD512" s="220"/>
      <c r="AE512" s="220"/>
      <c r="AF512" s="220"/>
      <c r="AG512" s="220"/>
      <c r="AH512" s="220"/>
      <c r="AI512" s="220"/>
      <c r="AJ512" s="220"/>
      <c r="AK512" s="220"/>
      <c r="AL512" s="220"/>
      <c r="AM512" s="220"/>
      <c r="AN512" s="220"/>
      <c r="AO512" s="220"/>
      <c r="AP512" s="220"/>
      <c r="AQ512" s="220"/>
      <c r="AR512" s="220"/>
      <c r="AS512" s="220"/>
      <c r="AT512" s="220"/>
      <c r="AU512" s="220"/>
    </row>
    <row r="513" ht="15.75" customHeight="1">
      <c r="A513" s="220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0"/>
      <c r="AA513" s="220"/>
      <c r="AB513" s="220"/>
      <c r="AC513" s="220"/>
      <c r="AD513" s="220"/>
      <c r="AE513" s="220"/>
      <c r="AF513" s="220"/>
      <c r="AG513" s="220"/>
      <c r="AH513" s="220"/>
      <c r="AI513" s="220"/>
      <c r="AJ513" s="220"/>
      <c r="AK513" s="220"/>
      <c r="AL513" s="220"/>
      <c r="AM513" s="220"/>
      <c r="AN513" s="220"/>
      <c r="AO513" s="220"/>
      <c r="AP513" s="220"/>
      <c r="AQ513" s="220"/>
      <c r="AR513" s="220"/>
      <c r="AS513" s="220"/>
      <c r="AT513" s="220"/>
      <c r="AU513" s="220"/>
    </row>
    <row r="514" ht="15.75" customHeight="1">
      <c r="A514" s="220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0"/>
      <c r="AA514" s="220"/>
      <c r="AB514" s="220"/>
      <c r="AC514" s="220"/>
      <c r="AD514" s="220"/>
      <c r="AE514" s="220"/>
      <c r="AF514" s="220"/>
      <c r="AG514" s="220"/>
      <c r="AH514" s="220"/>
      <c r="AI514" s="220"/>
      <c r="AJ514" s="220"/>
      <c r="AK514" s="220"/>
      <c r="AL514" s="220"/>
      <c r="AM514" s="220"/>
      <c r="AN514" s="220"/>
      <c r="AO514" s="220"/>
      <c r="AP514" s="220"/>
      <c r="AQ514" s="220"/>
      <c r="AR514" s="220"/>
      <c r="AS514" s="220"/>
      <c r="AT514" s="220"/>
      <c r="AU514" s="220"/>
    </row>
    <row r="515" ht="15.75" customHeight="1">
      <c r="A515" s="220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0"/>
      <c r="AA515" s="220"/>
      <c r="AB515" s="220"/>
      <c r="AC515" s="220"/>
      <c r="AD515" s="220"/>
      <c r="AE515" s="220"/>
      <c r="AF515" s="220"/>
      <c r="AG515" s="220"/>
      <c r="AH515" s="220"/>
      <c r="AI515" s="220"/>
      <c r="AJ515" s="220"/>
      <c r="AK515" s="220"/>
      <c r="AL515" s="220"/>
      <c r="AM515" s="220"/>
      <c r="AN515" s="220"/>
      <c r="AO515" s="220"/>
      <c r="AP515" s="220"/>
      <c r="AQ515" s="220"/>
      <c r="AR515" s="220"/>
      <c r="AS515" s="220"/>
      <c r="AT515" s="220"/>
      <c r="AU515" s="220"/>
    </row>
    <row r="516" ht="15.75" customHeight="1">
      <c r="A516" s="220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0"/>
      <c r="AA516" s="220"/>
      <c r="AB516" s="220"/>
      <c r="AC516" s="220"/>
      <c r="AD516" s="220"/>
      <c r="AE516" s="220"/>
      <c r="AF516" s="220"/>
      <c r="AG516" s="220"/>
      <c r="AH516" s="220"/>
      <c r="AI516" s="220"/>
      <c r="AJ516" s="220"/>
      <c r="AK516" s="220"/>
      <c r="AL516" s="220"/>
      <c r="AM516" s="220"/>
      <c r="AN516" s="220"/>
      <c r="AO516" s="220"/>
      <c r="AP516" s="220"/>
      <c r="AQ516" s="220"/>
      <c r="AR516" s="220"/>
      <c r="AS516" s="220"/>
      <c r="AT516" s="220"/>
      <c r="AU516" s="220"/>
    </row>
    <row r="517" ht="15.75" customHeight="1">
      <c r="A517" s="220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0"/>
      <c r="AA517" s="220"/>
      <c r="AB517" s="220"/>
      <c r="AC517" s="220"/>
      <c r="AD517" s="220"/>
      <c r="AE517" s="220"/>
      <c r="AF517" s="220"/>
      <c r="AG517" s="220"/>
      <c r="AH517" s="220"/>
      <c r="AI517" s="220"/>
      <c r="AJ517" s="220"/>
      <c r="AK517" s="220"/>
      <c r="AL517" s="220"/>
      <c r="AM517" s="220"/>
      <c r="AN517" s="220"/>
      <c r="AO517" s="220"/>
      <c r="AP517" s="220"/>
      <c r="AQ517" s="220"/>
      <c r="AR517" s="220"/>
      <c r="AS517" s="220"/>
      <c r="AT517" s="220"/>
      <c r="AU517" s="220"/>
    </row>
    <row r="518" ht="15.75" customHeight="1">
      <c r="A518" s="220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0"/>
      <c r="AA518" s="220"/>
      <c r="AB518" s="220"/>
      <c r="AC518" s="220"/>
      <c r="AD518" s="220"/>
      <c r="AE518" s="220"/>
      <c r="AF518" s="220"/>
      <c r="AG518" s="220"/>
      <c r="AH518" s="220"/>
      <c r="AI518" s="220"/>
      <c r="AJ518" s="220"/>
      <c r="AK518" s="220"/>
      <c r="AL518" s="220"/>
      <c r="AM518" s="220"/>
      <c r="AN518" s="220"/>
      <c r="AO518" s="220"/>
      <c r="AP518" s="220"/>
      <c r="AQ518" s="220"/>
      <c r="AR518" s="220"/>
      <c r="AS518" s="220"/>
      <c r="AT518" s="220"/>
      <c r="AU518" s="220"/>
    </row>
    <row r="519" ht="15.75" customHeight="1">
      <c r="A519" s="220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0"/>
      <c r="AA519" s="220"/>
      <c r="AB519" s="220"/>
      <c r="AC519" s="220"/>
      <c r="AD519" s="220"/>
      <c r="AE519" s="220"/>
      <c r="AF519" s="220"/>
      <c r="AG519" s="220"/>
      <c r="AH519" s="220"/>
      <c r="AI519" s="220"/>
      <c r="AJ519" s="220"/>
      <c r="AK519" s="220"/>
      <c r="AL519" s="220"/>
      <c r="AM519" s="220"/>
      <c r="AN519" s="220"/>
      <c r="AO519" s="220"/>
      <c r="AP519" s="220"/>
      <c r="AQ519" s="220"/>
      <c r="AR519" s="220"/>
      <c r="AS519" s="220"/>
      <c r="AT519" s="220"/>
      <c r="AU519" s="220"/>
    </row>
    <row r="520" ht="15.75" customHeight="1">
      <c r="A520" s="220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0"/>
      <c r="AA520" s="220"/>
      <c r="AB520" s="220"/>
      <c r="AC520" s="220"/>
      <c r="AD520" s="220"/>
      <c r="AE520" s="220"/>
      <c r="AF520" s="220"/>
      <c r="AG520" s="220"/>
      <c r="AH520" s="220"/>
      <c r="AI520" s="220"/>
      <c r="AJ520" s="220"/>
      <c r="AK520" s="220"/>
      <c r="AL520" s="220"/>
      <c r="AM520" s="220"/>
      <c r="AN520" s="220"/>
      <c r="AO520" s="220"/>
      <c r="AP520" s="220"/>
      <c r="AQ520" s="220"/>
      <c r="AR520" s="220"/>
      <c r="AS520" s="220"/>
      <c r="AT520" s="220"/>
      <c r="AU520" s="220"/>
    </row>
    <row r="521" ht="15.75" customHeight="1">
      <c r="A521" s="220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0"/>
      <c r="AA521" s="220"/>
      <c r="AB521" s="220"/>
      <c r="AC521" s="220"/>
      <c r="AD521" s="220"/>
      <c r="AE521" s="220"/>
      <c r="AF521" s="220"/>
      <c r="AG521" s="220"/>
      <c r="AH521" s="220"/>
      <c r="AI521" s="220"/>
      <c r="AJ521" s="220"/>
      <c r="AK521" s="220"/>
      <c r="AL521" s="220"/>
      <c r="AM521" s="220"/>
      <c r="AN521" s="220"/>
      <c r="AO521" s="220"/>
      <c r="AP521" s="220"/>
      <c r="AQ521" s="220"/>
      <c r="AR521" s="220"/>
      <c r="AS521" s="220"/>
      <c r="AT521" s="220"/>
      <c r="AU521" s="220"/>
    </row>
    <row r="522" ht="15.75" customHeight="1">
      <c r="A522" s="220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0"/>
      <c r="AA522" s="220"/>
      <c r="AB522" s="220"/>
      <c r="AC522" s="220"/>
      <c r="AD522" s="220"/>
      <c r="AE522" s="220"/>
      <c r="AF522" s="220"/>
      <c r="AG522" s="220"/>
      <c r="AH522" s="220"/>
      <c r="AI522" s="220"/>
      <c r="AJ522" s="220"/>
      <c r="AK522" s="220"/>
      <c r="AL522" s="220"/>
      <c r="AM522" s="220"/>
      <c r="AN522" s="220"/>
      <c r="AO522" s="220"/>
      <c r="AP522" s="220"/>
      <c r="AQ522" s="220"/>
      <c r="AR522" s="220"/>
      <c r="AS522" s="220"/>
      <c r="AT522" s="220"/>
      <c r="AU522" s="220"/>
    </row>
    <row r="523" ht="15.75" customHeight="1">
      <c r="A523" s="220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0"/>
      <c r="AA523" s="220"/>
      <c r="AB523" s="220"/>
      <c r="AC523" s="220"/>
      <c r="AD523" s="220"/>
      <c r="AE523" s="220"/>
      <c r="AF523" s="220"/>
      <c r="AG523" s="220"/>
      <c r="AH523" s="220"/>
      <c r="AI523" s="220"/>
      <c r="AJ523" s="220"/>
      <c r="AK523" s="220"/>
      <c r="AL523" s="220"/>
      <c r="AM523" s="220"/>
      <c r="AN523" s="220"/>
      <c r="AO523" s="220"/>
      <c r="AP523" s="220"/>
      <c r="AQ523" s="220"/>
      <c r="AR523" s="220"/>
      <c r="AS523" s="220"/>
      <c r="AT523" s="220"/>
      <c r="AU523" s="220"/>
    </row>
    <row r="524" ht="15.75" customHeight="1">
      <c r="A524" s="220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0"/>
      <c r="AA524" s="220"/>
      <c r="AB524" s="220"/>
      <c r="AC524" s="220"/>
      <c r="AD524" s="220"/>
      <c r="AE524" s="220"/>
      <c r="AF524" s="220"/>
      <c r="AG524" s="220"/>
      <c r="AH524" s="220"/>
      <c r="AI524" s="220"/>
      <c r="AJ524" s="220"/>
      <c r="AK524" s="220"/>
      <c r="AL524" s="220"/>
      <c r="AM524" s="220"/>
      <c r="AN524" s="220"/>
      <c r="AO524" s="220"/>
      <c r="AP524" s="220"/>
      <c r="AQ524" s="220"/>
      <c r="AR524" s="220"/>
      <c r="AS524" s="220"/>
      <c r="AT524" s="220"/>
      <c r="AU524" s="220"/>
    </row>
    <row r="525" ht="15.75" customHeight="1">
      <c r="A525" s="220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0"/>
      <c r="AA525" s="220"/>
      <c r="AB525" s="220"/>
      <c r="AC525" s="220"/>
      <c r="AD525" s="220"/>
      <c r="AE525" s="220"/>
      <c r="AF525" s="220"/>
      <c r="AG525" s="220"/>
      <c r="AH525" s="220"/>
      <c r="AI525" s="220"/>
      <c r="AJ525" s="220"/>
      <c r="AK525" s="220"/>
      <c r="AL525" s="220"/>
      <c r="AM525" s="220"/>
      <c r="AN525" s="220"/>
      <c r="AO525" s="220"/>
      <c r="AP525" s="220"/>
      <c r="AQ525" s="220"/>
      <c r="AR525" s="220"/>
      <c r="AS525" s="220"/>
      <c r="AT525" s="220"/>
      <c r="AU525" s="220"/>
    </row>
    <row r="526" ht="15.75" customHeight="1">
      <c r="A526" s="220"/>
      <c r="B526" s="220"/>
      <c r="C526" s="220"/>
      <c r="D526" s="220"/>
      <c r="E526" s="220"/>
      <c r="F526" s="22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0"/>
      <c r="AA526" s="220"/>
      <c r="AB526" s="220"/>
      <c r="AC526" s="220"/>
      <c r="AD526" s="220"/>
      <c r="AE526" s="220"/>
      <c r="AF526" s="220"/>
      <c r="AG526" s="220"/>
      <c r="AH526" s="220"/>
      <c r="AI526" s="220"/>
      <c r="AJ526" s="220"/>
      <c r="AK526" s="220"/>
      <c r="AL526" s="220"/>
      <c r="AM526" s="220"/>
      <c r="AN526" s="220"/>
      <c r="AO526" s="220"/>
      <c r="AP526" s="220"/>
      <c r="AQ526" s="220"/>
      <c r="AR526" s="220"/>
      <c r="AS526" s="220"/>
      <c r="AT526" s="220"/>
      <c r="AU526" s="220"/>
    </row>
    <row r="527" ht="15.75" customHeight="1">
      <c r="A527" s="220"/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0"/>
      <c r="AA527" s="220"/>
      <c r="AB527" s="220"/>
      <c r="AC527" s="220"/>
      <c r="AD527" s="220"/>
      <c r="AE527" s="220"/>
      <c r="AF527" s="220"/>
      <c r="AG527" s="220"/>
      <c r="AH527" s="220"/>
      <c r="AI527" s="220"/>
      <c r="AJ527" s="220"/>
      <c r="AK527" s="220"/>
      <c r="AL527" s="220"/>
      <c r="AM527" s="220"/>
      <c r="AN527" s="220"/>
      <c r="AO527" s="220"/>
      <c r="AP527" s="220"/>
      <c r="AQ527" s="220"/>
      <c r="AR527" s="220"/>
      <c r="AS527" s="220"/>
      <c r="AT527" s="220"/>
      <c r="AU527" s="220"/>
    </row>
    <row r="528" ht="15.75" customHeight="1">
      <c r="A528" s="220"/>
      <c r="B528" s="220"/>
      <c r="C528" s="220"/>
      <c r="D528" s="220"/>
      <c r="E528" s="220"/>
      <c r="F528" s="22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0"/>
      <c r="AA528" s="220"/>
      <c r="AB528" s="220"/>
      <c r="AC528" s="220"/>
      <c r="AD528" s="220"/>
      <c r="AE528" s="220"/>
      <c r="AF528" s="220"/>
      <c r="AG528" s="220"/>
      <c r="AH528" s="220"/>
      <c r="AI528" s="220"/>
      <c r="AJ528" s="220"/>
      <c r="AK528" s="220"/>
      <c r="AL528" s="220"/>
      <c r="AM528" s="220"/>
      <c r="AN528" s="220"/>
      <c r="AO528" s="220"/>
      <c r="AP528" s="220"/>
      <c r="AQ528" s="220"/>
      <c r="AR528" s="220"/>
      <c r="AS528" s="220"/>
      <c r="AT528" s="220"/>
      <c r="AU528" s="220"/>
    </row>
    <row r="529" ht="15.75" customHeight="1">
      <c r="A529" s="220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0"/>
      <c r="AA529" s="220"/>
      <c r="AB529" s="220"/>
      <c r="AC529" s="220"/>
      <c r="AD529" s="220"/>
      <c r="AE529" s="220"/>
      <c r="AF529" s="220"/>
      <c r="AG529" s="220"/>
      <c r="AH529" s="220"/>
      <c r="AI529" s="220"/>
      <c r="AJ529" s="220"/>
      <c r="AK529" s="220"/>
      <c r="AL529" s="220"/>
      <c r="AM529" s="220"/>
      <c r="AN529" s="220"/>
      <c r="AO529" s="220"/>
      <c r="AP529" s="220"/>
      <c r="AQ529" s="220"/>
      <c r="AR529" s="220"/>
      <c r="AS529" s="220"/>
      <c r="AT529" s="220"/>
      <c r="AU529" s="220"/>
    </row>
    <row r="530" ht="15.75" customHeight="1">
      <c r="A530" s="220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0"/>
      <c r="AA530" s="220"/>
      <c r="AB530" s="220"/>
      <c r="AC530" s="220"/>
      <c r="AD530" s="220"/>
      <c r="AE530" s="220"/>
      <c r="AF530" s="220"/>
      <c r="AG530" s="220"/>
      <c r="AH530" s="220"/>
      <c r="AI530" s="220"/>
      <c r="AJ530" s="220"/>
      <c r="AK530" s="220"/>
      <c r="AL530" s="220"/>
      <c r="AM530" s="220"/>
      <c r="AN530" s="220"/>
      <c r="AO530" s="220"/>
      <c r="AP530" s="220"/>
      <c r="AQ530" s="220"/>
      <c r="AR530" s="220"/>
      <c r="AS530" s="220"/>
      <c r="AT530" s="220"/>
      <c r="AU530" s="220"/>
    </row>
    <row r="531" ht="15.75" customHeight="1">
      <c r="A531" s="220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0"/>
      <c r="AA531" s="220"/>
      <c r="AB531" s="220"/>
      <c r="AC531" s="220"/>
      <c r="AD531" s="220"/>
      <c r="AE531" s="220"/>
      <c r="AF531" s="220"/>
      <c r="AG531" s="220"/>
      <c r="AH531" s="220"/>
      <c r="AI531" s="220"/>
      <c r="AJ531" s="220"/>
      <c r="AK531" s="220"/>
      <c r="AL531" s="220"/>
      <c r="AM531" s="220"/>
      <c r="AN531" s="220"/>
      <c r="AO531" s="220"/>
      <c r="AP531" s="220"/>
      <c r="AQ531" s="220"/>
      <c r="AR531" s="220"/>
      <c r="AS531" s="220"/>
      <c r="AT531" s="220"/>
      <c r="AU531" s="220"/>
    </row>
    <row r="532" ht="15.75" customHeight="1">
      <c r="A532" s="220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0"/>
      <c r="AA532" s="220"/>
      <c r="AB532" s="220"/>
      <c r="AC532" s="220"/>
      <c r="AD532" s="220"/>
      <c r="AE532" s="220"/>
      <c r="AF532" s="220"/>
      <c r="AG532" s="220"/>
      <c r="AH532" s="220"/>
      <c r="AI532" s="220"/>
      <c r="AJ532" s="220"/>
      <c r="AK532" s="220"/>
      <c r="AL532" s="220"/>
      <c r="AM532" s="220"/>
      <c r="AN532" s="220"/>
      <c r="AO532" s="220"/>
      <c r="AP532" s="220"/>
      <c r="AQ532" s="220"/>
      <c r="AR532" s="220"/>
      <c r="AS532" s="220"/>
      <c r="AT532" s="220"/>
      <c r="AU532" s="220"/>
    </row>
    <row r="533" ht="15.75" customHeight="1">
      <c r="A533" s="220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0"/>
      <c r="AA533" s="220"/>
      <c r="AB533" s="220"/>
      <c r="AC533" s="220"/>
      <c r="AD533" s="220"/>
      <c r="AE533" s="220"/>
      <c r="AF533" s="220"/>
      <c r="AG533" s="220"/>
      <c r="AH533" s="220"/>
      <c r="AI533" s="220"/>
      <c r="AJ533" s="220"/>
      <c r="AK533" s="220"/>
      <c r="AL533" s="220"/>
      <c r="AM533" s="220"/>
      <c r="AN533" s="220"/>
      <c r="AO533" s="220"/>
      <c r="AP533" s="220"/>
      <c r="AQ533" s="220"/>
      <c r="AR533" s="220"/>
      <c r="AS533" s="220"/>
      <c r="AT533" s="220"/>
      <c r="AU533" s="220"/>
    </row>
    <row r="534" ht="15.75" customHeight="1">
      <c r="A534" s="220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0"/>
      <c r="AA534" s="220"/>
      <c r="AB534" s="220"/>
      <c r="AC534" s="220"/>
      <c r="AD534" s="220"/>
      <c r="AE534" s="220"/>
      <c r="AF534" s="220"/>
      <c r="AG534" s="220"/>
      <c r="AH534" s="220"/>
      <c r="AI534" s="220"/>
      <c r="AJ534" s="220"/>
      <c r="AK534" s="220"/>
      <c r="AL534" s="220"/>
      <c r="AM534" s="220"/>
      <c r="AN534" s="220"/>
      <c r="AO534" s="220"/>
      <c r="AP534" s="220"/>
      <c r="AQ534" s="220"/>
      <c r="AR534" s="220"/>
      <c r="AS534" s="220"/>
      <c r="AT534" s="220"/>
      <c r="AU534" s="220"/>
    </row>
    <row r="535" ht="15.75" customHeight="1">
      <c r="A535" s="220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0"/>
      <c r="AA535" s="220"/>
      <c r="AB535" s="220"/>
      <c r="AC535" s="220"/>
      <c r="AD535" s="220"/>
      <c r="AE535" s="220"/>
      <c r="AF535" s="220"/>
      <c r="AG535" s="220"/>
      <c r="AH535" s="220"/>
      <c r="AI535" s="220"/>
      <c r="AJ535" s="220"/>
      <c r="AK535" s="220"/>
      <c r="AL535" s="220"/>
      <c r="AM535" s="220"/>
      <c r="AN535" s="220"/>
      <c r="AO535" s="220"/>
      <c r="AP535" s="220"/>
      <c r="AQ535" s="220"/>
      <c r="AR535" s="220"/>
      <c r="AS535" s="220"/>
      <c r="AT535" s="220"/>
      <c r="AU535" s="220"/>
    </row>
    <row r="536" ht="15.75" customHeight="1">
      <c r="A536" s="220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0"/>
      <c r="AA536" s="220"/>
      <c r="AB536" s="220"/>
      <c r="AC536" s="220"/>
      <c r="AD536" s="220"/>
      <c r="AE536" s="220"/>
      <c r="AF536" s="220"/>
      <c r="AG536" s="220"/>
      <c r="AH536" s="220"/>
      <c r="AI536" s="220"/>
      <c r="AJ536" s="220"/>
      <c r="AK536" s="220"/>
      <c r="AL536" s="220"/>
      <c r="AM536" s="220"/>
      <c r="AN536" s="220"/>
      <c r="AO536" s="220"/>
      <c r="AP536" s="220"/>
      <c r="AQ536" s="220"/>
      <c r="AR536" s="220"/>
      <c r="AS536" s="220"/>
      <c r="AT536" s="220"/>
      <c r="AU536" s="220"/>
    </row>
    <row r="537" ht="15.75" customHeight="1">
      <c r="A537" s="220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0"/>
      <c r="AA537" s="220"/>
      <c r="AB537" s="220"/>
      <c r="AC537" s="220"/>
      <c r="AD537" s="220"/>
      <c r="AE537" s="220"/>
      <c r="AF537" s="220"/>
      <c r="AG537" s="220"/>
      <c r="AH537" s="220"/>
      <c r="AI537" s="220"/>
      <c r="AJ537" s="220"/>
      <c r="AK537" s="220"/>
      <c r="AL537" s="220"/>
      <c r="AM537" s="220"/>
      <c r="AN537" s="220"/>
      <c r="AO537" s="220"/>
      <c r="AP537" s="220"/>
      <c r="AQ537" s="220"/>
      <c r="AR537" s="220"/>
      <c r="AS537" s="220"/>
      <c r="AT537" s="220"/>
      <c r="AU537" s="220"/>
    </row>
    <row r="538" ht="15.75" customHeight="1">
      <c r="A538" s="220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0"/>
      <c r="AA538" s="220"/>
      <c r="AB538" s="220"/>
      <c r="AC538" s="220"/>
      <c r="AD538" s="220"/>
      <c r="AE538" s="220"/>
      <c r="AF538" s="220"/>
      <c r="AG538" s="220"/>
      <c r="AH538" s="220"/>
      <c r="AI538" s="220"/>
      <c r="AJ538" s="220"/>
      <c r="AK538" s="220"/>
      <c r="AL538" s="220"/>
      <c r="AM538" s="220"/>
      <c r="AN538" s="220"/>
      <c r="AO538" s="220"/>
      <c r="AP538" s="220"/>
      <c r="AQ538" s="220"/>
      <c r="AR538" s="220"/>
      <c r="AS538" s="220"/>
      <c r="AT538" s="220"/>
      <c r="AU538" s="220"/>
    </row>
    <row r="539" ht="15.75" customHeight="1">
      <c r="A539" s="220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0"/>
      <c r="AA539" s="220"/>
      <c r="AB539" s="220"/>
      <c r="AC539" s="220"/>
      <c r="AD539" s="220"/>
      <c r="AE539" s="220"/>
      <c r="AF539" s="220"/>
      <c r="AG539" s="220"/>
      <c r="AH539" s="220"/>
      <c r="AI539" s="220"/>
      <c r="AJ539" s="220"/>
      <c r="AK539" s="220"/>
      <c r="AL539" s="220"/>
      <c r="AM539" s="220"/>
      <c r="AN539" s="220"/>
      <c r="AO539" s="220"/>
      <c r="AP539" s="220"/>
      <c r="AQ539" s="220"/>
      <c r="AR539" s="220"/>
      <c r="AS539" s="220"/>
      <c r="AT539" s="220"/>
      <c r="AU539" s="220"/>
    </row>
    <row r="540" ht="15.75" customHeight="1">
      <c r="A540" s="220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0"/>
      <c r="AA540" s="220"/>
      <c r="AB540" s="220"/>
      <c r="AC540" s="220"/>
      <c r="AD540" s="220"/>
      <c r="AE540" s="220"/>
      <c r="AF540" s="220"/>
      <c r="AG540" s="220"/>
      <c r="AH540" s="220"/>
      <c r="AI540" s="220"/>
      <c r="AJ540" s="220"/>
      <c r="AK540" s="220"/>
      <c r="AL540" s="220"/>
      <c r="AM540" s="220"/>
      <c r="AN540" s="220"/>
      <c r="AO540" s="220"/>
      <c r="AP540" s="220"/>
      <c r="AQ540" s="220"/>
      <c r="AR540" s="220"/>
      <c r="AS540" s="220"/>
      <c r="AT540" s="220"/>
      <c r="AU540" s="220"/>
    </row>
    <row r="541" ht="15.75" customHeight="1">
      <c r="A541" s="220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0"/>
      <c r="AA541" s="220"/>
      <c r="AB541" s="220"/>
      <c r="AC541" s="220"/>
      <c r="AD541" s="220"/>
      <c r="AE541" s="220"/>
      <c r="AF541" s="220"/>
      <c r="AG541" s="220"/>
      <c r="AH541" s="220"/>
      <c r="AI541" s="220"/>
      <c r="AJ541" s="220"/>
      <c r="AK541" s="220"/>
      <c r="AL541" s="220"/>
      <c r="AM541" s="220"/>
      <c r="AN541" s="220"/>
      <c r="AO541" s="220"/>
      <c r="AP541" s="220"/>
      <c r="AQ541" s="220"/>
      <c r="AR541" s="220"/>
      <c r="AS541" s="220"/>
      <c r="AT541" s="220"/>
      <c r="AU541" s="220"/>
    </row>
    <row r="542" ht="15.75" customHeight="1">
      <c r="A542" s="220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0"/>
      <c r="AA542" s="220"/>
      <c r="AB542" s="220"/>
      <c r="AC542" s="220"/>
      <c r="AD542" s="220"/>
      <c r="AE542" s="220"/>
      <c r="AF542" s="220"/>
      <c r="AG542" s="220"/>
      <c r="AH542" s="220"/>
      <c r="AI542" s="220"/>
      <c r="AJ542" s="220"/>
      <c r="AK542" s="220"/>
      <c r="AL542" s="220"/>
      <c r="AM542" s="220"/>
      <c r="AN542" s="220"/>
      <c r="AO542" s="220"/>
      <c r="AP542" s="220"/>
      <c r="AQ542" s="220"/>
      <c r="AR542" s="220"/>
      <c r="AS542" s="220"/>
      <c r="AT542" s="220"/>
      <c r="AU542" s="220"/>
    </row>
    <row r="543" ht="15.75" customHeight="1">
      <c r="A543" s="220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0"/>
      <c r="AA543" s="220"/>
      <c r="AB543" s="220"/>
      <c r="AC543" s="220"/>
      <c r="AD543" s="220"/>
      <c r="AE543" s="220"/>
      <c r="AF543" s="220"/>
      <c r="AG543" s="220"/>
      <c r="AH543" s="220"/>
      <c r="AI543" s="220"/>
      <c r="AJ543" s="220"/>
      <c r="AK543" s="220"/>
      <c r="AL543" s="220"/>
      <c r="AM543" s="220"/>
      <c r="AN543" s="220"/>
      <c r="AO543" s="220"/>
      <c r="AP543" s="220"/>
      <c r="AQ543" s="220"/>
      <c r="AR543" s="220"/>
      <c r="AS543" s="220"/>
      <c r="AT543" s="220"/>
      <c r="AU543" s="220"/>
    </row>
    <row r="544" ht="15.75" customHeight="1">
      <c r="A544" s="220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0"/>
      <c r="AA544" s="220"/>
      <c r="AB544" s="220"/>
      <c r="AC544" s="220"/>
      <c r="AD544" s="220"/>
      <c r="AE544" s="220"/>
      <c r="AF544" s="220"/>
      <c r="AG544" s="220"/>
      <c r="AH544" s="220"/>
      <c r="AI544" s="220"/>
      <c r="AJ544" s="220"/>
      <c r="AK544" s="220"/>
      <c r="AL544" s="220"/>
      <c r="AM544" s="220"/>
      <c r="AN544" s="220"/>
      <c r="AO544" s="220"/>
      <c r="AP544" s="220"/>
      <c r="AQ544" s="220"/>
      <c r="AR544" s="220"/>
      <c r="AS544" s="220"/>
      <c r="AT544" s="220"/>
      <c r="AU544" s="220"/>
    </row>
    <row r="545" ht="15.75" customHeight="1">
      <c r="A545" s="220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0"/>
      <c r="AA545" s="220"/>
      <c r="AB545" s="220"/>
      <c r="AC545" s="220"/>
      <c r="AD545" s="220"/>
      <c r="AE545" s="220"/>
      <c r="AF545" s="220"/>
      <c r="AG545" s="220"/>
      <c r="AH545" s="220"/>
      <c r="AI545" s="220"/>
      <c r="AJ545" s="220"/>
      <c r="AK545" s="220"/>
      <c r="AL545" s="220"/>
      <c r="AM545" s="220"/>
      <c r="AN545" s="220"/>
      <c r="AO545" s="220"/>
      <c r="AP545" s="220"/>
      <c r="AQ545" s="220"/>
      <c r="AR545" s="220"/>
      <c r="AS545" s="220"/>
      <c r="AT545" s="220"/>
      <c r="AU545" s="220"/>
    </row>
    <row r="546" ht="15.75" customHeight="1">
      <c r="A546" s="220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0"/>
      <c r="AA546" s="220"/>
      <c r="AB546" s="220"/>
      <c r="AC546" s="220"/>
      <c r="AD546" s="220"/>
      <c r="AE546" s="220"/>
      <c r="AF546" s="220"/>
      <c r="AG546" s="220"/>
      <c r="AH546" s="220"/>
      <c r="AI546" s="220"/>
      <c r="AJ546" s="220"/>
      <c r="AK546" s="220"/>
      <c r="AL546" s="220"/>
      <c r="AM546" s="220"/>
      <c r="AN546" s="220"/>
      <c r="AO546" s="220"/>
      <c r="AP546" s="220"/>
      <c r="AQ546" s="220"/>
      <c r="AR546" s="220"/>
      <c r="AS546" s="220"/>
      <c r="AT546" s="220"/>
      <c r="AU546" s="220"/>
    </row>
    <row r="547" ht="15.75" customHeight="1">
      <c r="A547" s="220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0"/>
      <c r="AA547" s="220"/>
      <c r="AB547" s="220"/>
      <c r="AC547" s="220"/>
      <c r="AD547" s="220"/>
      <c r="AE547" s="220"/>
      <c r="AF547" s="220"/>
      <c r="AG547" s="220"/>
      <c r="AH547" s="220"/>
      <c r="AI547" s="220"/>
      <c r="AJ547" s="220"/>
      <c r="AK547" s="220"/>
      <c r="AL547" s="220"/>
      <c r="AM547" s="220"/>
      <c r="AN547" s="220"/>
      <c r="AO547" s="220"/>
      <c r="AP547" s="220"/>
      <c r="AQ547" s="220"/>
      <c r="AR547" s="220"/>
      <c r="AS547" s="220"/>
      <c r="AT547" s="220"/>
      <c r="AU547" s="220"/>
    </row>
    <row r="548" ht="15.75" customHeight="1">
      <c r="A548" s="220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0"/>
      <c r="AA548" s="220"/>
      <c r="AB548" s="220"/>
      <c r="AC548" s="220"/>
      <c r="AD548" s="220"/>
      <c r="AE548" s="220"/>
      <c r="AF548" s="220"/>
      <c r="AG548" s="220"/>
      <c r="AH548" s="220"/>
      <c r="AI548" s="220"/>
      <c r="AJ548" s="220"/>
      <c r="AK548" s="220"/>
      <c r="AL548" s="220"/>
      <c r="AM548" s="220"/>
      <c r="AN548" s="220"/>
      <c r="AO548" s="220"/>
      <c r="AP548" s="220"/>
      <c r="AQ548" s="220"/>
      <c r="AR548" s="220"/>
      <c r="AS548" s="220"/>
      <c r="AT548" s="220"/>
      <c r="AU548" s="220"/>
    </row>
    <row r="549" ht="15.75" customHeight="1">
      <c r="A549" s="220"/>
      <c r="B549" s="220"/>
      <c r="C549" s="220"/>
      <c r="D549" s="220"/>
      <c r="E549" s="220"/>
      <c r="F549" s="22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0"/>
      <c r="AA549" s="220"/>
      <c r="AB549" s="220"/>
      <c r="AC549" s="220"/>
      <c r="AD549" s="220"/>
      <c r="AE549" s="220"/>
      <c r="AF549" s="220"/>
      <c r="AG549" s="220"/>
      <c r="AH549" s="220"/>
      <c r="AI549" s="220"/>
      <c r="AJ549" s="220"/>
      <c r="AK549" s="220"/>
      <c r="AL549" s="220"/>
      <c r="AM549" s="220"/>
      <c r="AN549" s="220"/>
      <c r="AO549" s="220"/>
      <c r="AP549" s="220"/>
      <c r="AQ549" s="220"/>
      <c r="AR549" s="220"/>
      <c r="AS549" s="220"/>
      <c r="AT549" s="220"/>
      <c r="AU549" s="220"/>
    </row>
    <row r="550" ht="15.75" customHeight="1">
      <c r="A550" s="220"/>
      <c r="B550" s="220"/>
      <c r="C550" s="220"/>
      <c r="D550" s="220"/>
      <c r="E550" s="220"/>
      <c r="F550" s="22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0"/>
      <c r="AA550" s="220"/>
      <c r="AB550" s="220"/>
      <c r="AC550" s="220"/>
      <c r="AD550" s="220"/>
      <c r="AE550" s="220"/>
      <c r="AF550" s="220"/>
      <c r="AG550" s="220"/>
      <c r="AH550" s="220"/>
      <c r="AI550" s="220"/>
      <c r="AJ550" s="220"/>
      <c r="AK550" s="220"/>
      <c r="AL550" s="220"/>
      <c r="AM550" s="220"/>
      <c r="AN550" s="220"/>
      <c r="AO550" s="220"/>
      <c r="AP550" s="220"/>
      <c r="AQ550" s="220"/>
      <c r="AR550" s="220"/>
      <c r="AS550" s="220"/>
      <c r="AT550" s="220"/>
      <c r="AU550" s="220"/>
    </row>
    <row r="551" ht="15.75" customHeight="1">
      <c r="A551" s="220"/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0"/>
      <c r="AA551" s="220"/>
      <c r="AB551" s="220"/>
      <c r="AC551" s="220"/>
      <c r="AD551" s="220"/>
      <c r="AE551" s="220"/>
      <c r="AF551" s="220"/>
      <c r="AG551" s="220"/>
      <c r="AH551" s="220"/>
      <c r="AI551" s="220"/>
      <c r="AJ551" s="220"/>
      <c r="AK551" s="220"/>
      <c r="AL551" s="220"/>
      <c r="AM551" s="220"/>
      <c r="AN551" s="220"/>
      <c r="AO551" s="220"/>
      <c r="AP551" s="220"/>
      <c r="AQ551" s="220"/>
      <c r="AR551" s="220"/>
      <c r="AS551" s="220"/>
      <c r="AT551" s="220"/>
      <c r="AU551" s="220"/>
    </row>
    <row r="552" ht="15.75" customHeight="1">
      <c r="A552" s="220"/>
      <c r="B552" s="220"/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0"/>
      <c r="AA552" s="220"/>
      <c r="AB552" s="220"/>
      <c r="AC552" s="220"/>
      <c r="AD552" s="220"/>
      <c r="AE552" s="220"/>
      <c r="AF552" s="220"/>
      <c r="AG552" s="220"/>
      <c r="AH552" s="220"/>
      <c r="AI552" s="220"/>
      <c r="AJ552" s="220"/>
      <c r="AK552" s="220"/>
      <c r="AL552" s="220"/>
      <c r="AM552" s="220"/>
      <c r="AN552" s="220"/>
      <c r="AO552" s="220"/>
      <c r="AP552" s="220"/>
      <c r="AQ552" s="220"/>
      <c r="AR552" s="220"/>
      <c r="AS552" s="220"/>
      <c r="AT552" s="220"/>
      <c r="AU552" s="220"/>
    </row>
    <row r="553" ht="15.75" customHeight="1">
      <c r="A553" s="220"/>
      <c r="B553" s="220"/>
      <c r="C553" s="220"/>
      <c r="D553" s="220"/>
      <c r="E553" s="220"/>
      <c r="F553" s="22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0"/>
      <c r="AA553" s="220"/>
      <c r="AB553" s="220"/>
      <c r="AC553" s="220"/>
      <c r="AD553" s="220"/>
      <c r="AE553" s="220"/>
      <c r="AF553" s="220"/>
      <c r="AG553" s="220"/>
      <c r="AH553" s="220"/>
      <c r="AI553" s="220"/>
      <c r="AJ553" s="220"/>
      <c r="AK553" s="220"/>
      <c r="AL553" s="220"/>
      <c r="AM553" s="220"/>
      <c r="AN553" s="220"/>
      <c r="AO553" s="220"/>
      <c r="AP553" s="220"/>
      <c r="AQ553" s="220"/>
      <c r="AR553" s="220"/>
      <c r="AS553" s="220"/>
      <c r="AT553" s="220"/>
      <c r="AU553" s="220"/>
    </row>
    <row r="554" ht="15.75" customHeight="1">
      <c r="A554" s="220"/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0"/>
      <c r="AA554" s="220"/>
      <c r="AB554" s="220"/>
      <c r="AC554" s="220"/>
      <c r="AD554" s="220"/>
      <c r="AE554" s="220"/>
      <c r="AF554" s="220"/>
      <c r="AG554" s="220"/>
      <c r="AH554" s="220"/>
      <c r="AI554" s="220"/>
      <c r="AJ554" s="220"/>
      <c r="AK554" s="220"/>
      <c r="AL554" s="220"/>
      <c r="AM554" s="220"/>
      <c r="AN554" s="220"/>
      <c r="AO554" s="220"/>
      <c r="AP554" s="220"/>
      <c r="AQ554" s="220"/>
      <c r="AR554" s="220"/>
      <c r="AS554" s="220"/>
      <c r="AT554" s="220"/>
      <c r="AU554" s="220"/>
    </row>
    <row r="555" ht="15.75" customHeight="1">
      <c r="A555" s="220"/>
      <c r="B555" s="220"/>
      <c r="C555" s="220"/>
      <c r="D555" s="220"/>
      <c r="E555" s="220"/>
      <c r="F555" s="22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0"/>
      <c r="AA555" s="220"/>
      <c r="AB555" s="220"/>
      <c r="AC555" s="220"/>
      <c r="AD555" s="220"/>
      <c r="AE555" s="220"/>
      <c r="AF555" s="220"/>
      <c r="AG555" s="220"/>
      <c r="AH555" s="220"/>
      <c r="AI555" s="220"/>
      <c r="AJ555" s="220"/>
      <c r="AK555" s="220"/>
      <c r="AL555" s="220"/>
      <c r="AM555" s="220"/>
      <c r="AN555" s="220"/>
      <c r="AO555" s="220"/>
      <c r="AP555" s="220"/>
      <c r="AQ555" s="220"/>
      <c r="AR555" s="220"/>
      <c r="AS555" s="220"/>
      <c r="AT555" s="220"/>
      <c r="AU555" s="220"/>
    </row>
    <row r="556" ht="15.75" customHeight="1">
      <c r="A556" s="220"/>
      <c r="B556" s="220"/>
      <c r="C556" s="220"/>
      <c r="D556" s="220"/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0"/>
      <c r="AA556" s="220"/>
      <c r="AB556" s="220"/>
      <c r="AC556" s="220"/>
      <c r="AD556" s="220"/>
      <c r="AE556" s="220"/>
      <c r="AF556" s="220"/>
      <c r="AG556" s="220"/>
      <c r="AH556" s="220"/>
      <c r="AI556" s="220"/>
      <c r="AJ556" s="220"/>
      <c r="AK556" s="220"/>
      <c r="AL556" s="220"/>
      <c r="AM556" s="220"/>
      <c r="AN556" s="220"/>
      <c r="AO556" s="220"/>
      <c r="AP556" s="220"/>
      <c r="AQ556" s="220"/>
      <c r="AR556" s="220"/>
      <c r="AS556" s="220"/>
      <c r="AT556" s="220"/>
      <c r="AU556" s="220"/>
    </row>
    <row r="557" ht="15.75" customHeight="1">
      <c r="A557" s="220"/>
      <c r="B557" s="220"/>
      <c r="C557" s="220"/>
      <c r="D557" s="220"/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0"/>
      <c r="AA557" s="220"/>
      <c r="AB557" s="220"/>
      <c r="AC557" s="220"/>
      <c r="AD557" s="220"/>
      <c r="AE557" s="220"/>
      <c r="AF557" s="220"/>
      <c r="AG557" s="220"/>
      <c r="AH557" s="220"/>
      <c r="AI557" s="220"/>
      <c r="AJ557" s="220"/>
      <c r="AK557" s="220"/>
      <c r="AL557" s="220"/>
      <c r="AM557" s="220"/>
      <c r="AN557" s="220"/>
      <c r="AO557" s="220"/>
      <c r="AP557" s="220"/>
      <c r="AQ557" s="220"/>
      <c r="AR557" s="220"/>
      <c r="AS557" s="220"/>
      <c r="AT557" s="220"/>
      <c r="AU557" s="220"/>
    </row>
    <row r="558" ht="15.75" customHeight="1">
      <c r="A558" s="220"/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0"/>
      <c r="AA558" s="220"/>
      <c r="AB558" s="220"/>
      <c r="AC558" s="220"/>
      <c r="AD558" s="220"/>
      <c r="AE558" s="220"/>
      <c r="AF558" s="220"/>
      <c r="AG558" s="220"/>
      <c r="AH558" s="220"/>
      <c r="AI558" s="220"/>
      <c r="AJ558" s="220"/>
      <c r="AK558" s="220"/>
      <c r="AL558" s="220"/>
      <c r="AM558" s="220"/>
      <c r="AN558" s="220"/>
      <c r="AO558" s="220"/>
      <c r="AP558" s="220"/>
      <c r="AQ558" s="220"/>
      <c r="AR558" s="220"/>
      <c r="AS558" s="220"/>
      <c r="AT558" s="220"/>
      <c r="AU558" s="220"/>
    </row>
    <row r="559" ht="15.75" customHeight="1">
      <c r="A559" s="220"/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0"/>
      <c r="AA559" s="220"/>
      <c r="AB559" s="220"/>
      <c r="AC559" s="220"/>
      <c r="AD559" s="220"/>
      <c r="AE559" s="220"/>
      <c r="AF559" s="220"/>
      <c r="AG559" s="220"/>
      <c r="AH559" s="220"/>
      <c r="AI559" s="220"/>
      <c r="AJ559" s="220"/>
      <c r="AK559" s="220"/>
      <c r="AL559" s="220"/>
      <c r="AM559" s="220"/>
      <c r="AN559" s="220"/>
      <c r="AO559" s="220"/>
      <c r="AP559" s="220"/>
      <c r="AQ559" s="220"/>
      <c r="AR559" s="220"/>
      <c r="AS559" s="220"/>
      <c r="AT559" s="220"/>
      <c r="AU559" s="220"/>
    </row>
    <row r="560" ht="15.75" customHeight="1">
      <c r="A560" s="220"/>
      <c r="B560" s="220"/>
      <c r="C560" s="220"/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0"/>
      <c r="AA560" s="220"/>
      <c r="AB560" s="220"/>
      <c r="AC560" s="220"/>
      <c r="AD560" s="220"/>
      <c r="AE560" s="220"/>
      <c r="AF560" s="220"/>
      <c r="AG560" s="220"/>
      <c r="AH560" s="220"/>
      <c r="AI560" s="220"/>
      <c r="AJ560" s="220"/>
      <c r="AK560" s="220"/>
      <c r="AL560" s="220"/>
      <c r="AM560" s="220"/>
      <c r="AN560" s="220"/>
      <c r="AO560" s="220"/>
      <c r="AP560" s="220"/>
      <c r="AQ560" s="220"/>
      <c r="AR560" s="220"/>
      <c r="AS560" s="220"/>
      <c r="AT560" s="220"/>
      <c r="AU560" s="220"/>
    </row>
    <row r="561" ht="15.75" customHeight="1">
      <c r="A561" s="220"/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0"/>
      <c r="AA561" s="220"/>
      <c r="AB561" s="220"/>
      <c r="AC561" s="220"/>
      <c r="AD561" s="220"/>
      <c r="AE561" s="220"/>
      <c r="AF561" s="220"/>
      <c r="AG561" s="220"/>
      <c r="AH561" s="220"/>
      <c r="AI561" s="220"/>
      <c r="AJ561" s="220"/>
      <c r="AK561" s="220"/>
      <c r="AL561" s="220"/>
      <c r="AM561" s="220"/>
      <c r="AN561" s="220"/>
      <c r="AO561" s="220"/>
      <c r="AP561" s="220"/>
      <c r="AQ561" s="220"/>
      <c r="AR561" s="220"/>
      <c r="AS561" s="220"/>
      <c r="AT561" s="220"/>
      <c r="AU561" s="220"/>
    </row>
    <row r="562" ht="15.75" customHeight="1">
      <c r="A562" s="220"/>
      <c r="B562" s="220"/>
      <c r="C562" s="220"/>
      <c r="D562" s="220"/>
      <c r="E562" s="220"/>
      <c r="F562" s="22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0"/>
      <c r="AA562" s="220"/>
      <c r="AB562" s="220"/>
      <c r="AC562" s="220"/>
      <c r="AD562" s="220"/>
      <c r="AE562" s="220"/>
      <c r="AF562" s="220"/>
      <c r="AG562" s="220"/>
      <c r="AH562" s="220"/>
      <c r="AI562" s="220"/>
      <c r="AJ562" s="220"/>
      <c r="AK562" s="220"/>
      <c r="AL562" s="220"/>
      <c r="AM562" s="220"/>
      <c r="AN562" s="220"/>
      <c r="AO562" s="220"/>
      <c r="AP562" s="220"/>
      <c r="AQ562" s="220"/>
      <c r="AR562" s="220"/>
      <c r="AS562" s="220"/>
      <c r="AT562" s="220"/>
      <c r="AU562" s="220"/>
    </row>
    <row r="563" ht="15.75" customHeight="1">
      <c r="A563" s="220"/>
      <c r="B563" s="220"/>
      <c r="C563" s="220"/>
      <c r="D563" s="220"/>
      <c r="E563" s="220"/>
      <c r="F563" s="22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0"/>
      <c r="AA563" s="220"/>
      <c r="AB563" s="220"/>
      <c r="AC563" s="220"/>
      <c r="AD563" s="220"/>
      <c r="AE563" s="220"/>
      <c r="AF563" s="220"/>
      <c r="AG563" s="220"/>
      <c r="AH563" s="220"/>
      <c r="AI563" s="220"/>
      <c r="AJ563" s="220"/>
      <c r="AK563" s="220"/>
      <c r="AL563" s="220"/>
      <c r="AM563" s="220"/>
      <c r="AN563" s="220"/>
      <c r="AO563" s="220"/>
      <c r="AP563" s="220"/>
      <c r="AQ563" s="220"/>
      <c r="AR563" s="220"/>
      <c r="AS563" s="220"/>
      <c r="AT563" s="220"/>
      <c r="AU563" s="220"/>
    </row>
    <row r="564" ht="15.75" customHeight="1">
      <c r="A564" s="220"/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0"/>
      <c r="AA564" s="220"/>
      <c r="AB564" s="220"/>
      <c r="AC564" s="220"/>
      <c r="AD564" s="220"/>
      <c r="AE564" s="220"/>
      <c r="AF564" s="220"/>
      <c r="AG564" s="220"/>
      <c r="AH564" s="220"/>
      <c r="AI564" s="220"/>
      <c r="AJ564" s="220"/>
      <c r="AK564" s="220"/>
      <c r="AL564" s="220"/>
      <c r="AM564" s="220"/>
      <c r="AN564" s="220"/>
      <c r="AO564" s="220"/>
      <c r="AP564" s="220"/>
      <c r="AQ564" s="220"/>
      <c r="AR564" s="220"/>
      <c r="AS564" s="220"/>
      <c r="AT564" s="220"/>
      <c r="AU564" s="220"/>
    </row>
    <row r="565" ht="15.75" customHeight="1">
      <c r="A565" s="220"/>
      <c r="B565" s="220"/>
      <c r="C565" s="220"/>
      <c r="D565" s="220"/>
      <c r="E565" s="220"/>
      <c r="F565" s="22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0"/>
      <c r="AA565" s="220"/>
      <c r="AB565" s="220"/>
      <c r="AC565" s="220"/>
      <c r="AD565" s="220"/>
      <c r="AE565" s="220"/>
      <c r="AF565" s="220"/>
      <c r="AG565" s="220"/>
      <c r="AH565" s="220"/>
      <c r="AI565" s="220"/>
      <c r="AJ565" s="220"/>
      <c r="AK565" s="220"/>
      <c r="AL565" s="220"/>
      <c r="AM565" s="220"/>
      <c r="AN565" s="220"/>
      <c r="AO565" s="220"/>
      <c r="AP565" s="220"/>
      <c r="AQ565" s="220"/>
      <c r="AR565" s="220"/>
      <c r="AS565" s="220"/>
      <c r="AT565" s="220"/>
      <c r="AU565" s="220"/>
    </row>
    <row r="566" ht="15.75" customHeight="1">
      <c r="A566" s="220"/>
      <c r="B566" s="220"/>
      <c r="C566" s="220"/>
      <c r="D566" s="220"/>
      <c r="E566" s="220"/>
      <c r="F566" s="22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0"/>
      <c r="AA566" s="220"/>
      <c r="AB566" s="220"/>
      <c r="AC566" s="220"/>
      <c r="AD566" s="220"/>
      <c r="AE566" s="220"/>
      <c r="AF566" s="220"/>
      <c r="AG566" s="220"/>
      <c r="AH566" s="220"/>
      <c r="AI566" s="220"/>
      <c r="AJ566" s="220"/>
      <c r="AK566" s="220"/>
      <c r="AL566" s="220"/>
      <c r="AM566" s="220"/>
      <c r="AN566" s="220"/>
      <c r="AO566" s="220"/>
      <c r="AP566" s="220"/>
      <c r="AQ566" s="220"/>
      <c r="AR566" s="220"/>
      <c r="AS566" s="220"/>
      <c r="AT566" s="220"/>
      <c r="AU566" s="220"/>
    </row>
    <row r="567" ht="15.75" customHeight="1">
      <c r="A567" s="220"/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0"/>
      <c r="AA567" s="220"/>
      <c r="AB567" s="220"/>
      <c r="AC567" s="220"/>
      <c r="AD567" s="220"/>
      <c r="AE567" s="220"/>
      <c r="AF567" s="220"/>
      <c r="AG567" s="220"/>
      <c r="AH567" s="220"/>
      <c r="AI567" s="220"/>
      <c r="AJ567" s="220"/>
      <c r="AK567" s="220"/>
      <c r="AL567" s="220"/>
      <c r="AM567" s="220"/>
      <c r="AN567" s="220"/>
      <c r="AO567" s="220"/>
      <c r="AP567" s="220"/>
      <c r="AQ567" s="220"/>
      <c r="AR567" s="220"/>
      <c r="AS567" s="220"/>
      <c r="AT567" s="220"/>
      <c r="AU567" s="220"/>
    </row>
    <row r="568" ht="15.75" customHeight="1">
      <c r="A568" s="220"/>
      <c r="B568" s="220"/>
      <c r="C568" s="220"/>
      <c r="D568" s="220"/>
      <c r="E568" s="220"/>
      <c r="F568" s="22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0"/>
      <c r="AA568" s="220"/>
      <c r="AB568" s="220"/>
      <c r="AC568" s="220"/>
      <c r="AD568" s="220"/>
      <c r="AE568" s="220"/>
      <c r="AF568" s="220"/>
      <c r="AG568" s="220"/>
      <c r="AH568" s="220"/>
      <c r="AI568" s="220"/>
      <c r="AJ568" s="220"/>
      <c r="AK568" s="220"/>
      <c r="AL568" s="220"/>
      <c r="AM568" s="220"/>
      <c r="AN568" s="220"/>
      <c r="AO568" s="220"/>
      <c r="AP568" s="220"/>
      <c r="AQ568" s="220"/>
      <c r="AR568" s="220"/>
      <c r="AS568" s="220"/>
      <c r="AT568" s="220"/>
      <c r="AU568" s="220"/>
    </row>
    <row r="569" ht="15.75" customHeight="1">
      <c r="A569" s="220"/>
      <c r="B569" s="220"/>
      <c r="C569" s="220"/>
      <c r="D569" s="220"/>
      <c r="E569" s="220"/>
      <c r="F569" s="22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0"/>
      <c r="AA569" s="220"/>
      <c r="AB569" s="220"/>
      <c r="AC569" s="220"/>
      <c r="AD569" s="220"/>
      <c r="AE569" s="220"/>
      <c r="AF569" s="220"/>
      <c r="AG569" s="220"/>
      <c r="AH569" s="220"/>
      <c r="AI569" s="220"/>
      <c r="AJ569" s="220"/>
      <c r="AK569" s="220"/>
      <c r="AL569" s="220"/>
      <c r="AM569" s="220"/>
      <c r="AN569" s="220"/>
      <c r="AO569" s="220"/>
      <c r="AP569" s="220"/>
      <c r="AQ569" s="220"/>
      <c r="AR569" s="220"/>
      <c r="AS569" s="220"/>
      <c r="AT569" s="220"/>
      <c r="AU569" s="220"/>
    </row>
    <row r="570" ht="15.75" customHeight="1">
      <c r="A570" s="220"/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0"/>
      <c r="AA570" s="220"/>
      <c r="AB570" s="220"/>
      <c r="AC570" s="220"/>
      <c r="AD570" s="220"/>
      <c r="AE570" s="220"/>
      <c r="AF570" s="220"/>
      <c r="AG570" s="220"/>
      <c r="AH570" s="220"/>
      <c r="AI570" s="220"/>
      <c r="AJ570" s="220"/>
      <c r="AK570" s="220"/>
      <c r="AL570" s="220"/>
      <c r="AM570" s="220"/>
      <c r="AN570" s="220"/>
      <c r="AO570" s="220"/>
      <c r="AP570" s="220"/>
      <c r="AQ570" s="220"/>
      <c r="AR570" s="220"/>
      <c r="AS570" s="220"/>
      <c r="AT570" s="220"/>
      <c r="AU570" s="220"/>
    </row>
    <row r="571" ht="15.75" customHeight="1">
      <c r="A571" s="220"/>
      <c r="B571" s="220"/>
      <c r="C571" s="220"/>
      <c r="D571" s="220"/>
      <c r="E571" s="220"/>
      <c r="F571" s="22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0"/>
      <c r="AA571" s="220"/>
      <c r="AB571" s="220"/>
      <c r="AC571" s="220"/>
      <c r="AD571" s="220"/>
      <c r="AE571" s="220"/>
      <c r="AF571" s="220"/>
      <c r="AG571" s="220"/>
      <c r="AH571" s="220"/>
      <c r="AI571" s="220"/>
      <c r="AJ571" s="220"/>
      <c r="AK571" s="220"/>
      <c r="AL571" s="220"/>
      <c r="AM571" s="220"/>
      <c r="AN571" s="220"/>
      <c r="AO571" s="220"/>
      <c r="AP571" s="220"/>
      <c r="AQ571" s="220"/>
      <c r="AR571" s="220"/>
      <c r="AS571" s="220"/>
      <c r="AT571" s="220"/>
      <c r="AU571" s="220"/>
    </row>
    <row r="572" ht="15.75" customHeight="1">
      <c r="A572" s="220"/>
      <c r="B572" s="220"/>
      <c r="C572" s="220"/>
      <c r="D572" s="220"/>
      <c r="E572" s="220"/>
      <c r="F572" s="22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0"/>
      <c r="AA572" s="220"/>
      <c r="AB572" s="220"/>
      <c r="AC572" s="220"/>
      <c r="AD572" s="220"/>
      <c r="AE572" s="220"/>
      <c r="AF572" s="220"/>
      <c r="AG572" s="220"/>
      <c r="AH572" s="220"/>
      <c r="AI572" s="220"/>
      <c r="AJ572" s="220"/>
      <c r="AK572" s="220"/>
      <c r="AL572" s="220"/>
      <c r="AM572" s="220"/>
      <c r="AN572" s="220"/>
      <c r="AO572" s="220"/>
      <c r="AP572" s="220"/>
      <c r="AQ572" s="220"/>
      <c r="AR572" s="220"/>
      <c r="AS572" s="220"/>
      <c r="AT572" s="220"/>
      <c r="AU572" s="220"/>
    </row>
    <row r="573" ht="15.75" customHeight="1">
      <c r="A573" s="220"/>
      <c r="B573" s="220"/>
      <c r="C573" s="220"/>
      <c r="D573" s="220"/>
      <c r="E573" s="220"/>
      <c r="F573" s="22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0"/>
      <c r="AA573" s="220"/>
      <c r="AB573" s="220"/>
      <c r="AC573" s="220"/>
      <c r="AD573" s="220"/>
      <c r="AE573" s="220"/>
      <c r="AF573" s="220"/>
      <c r="AG573" s="220"/>
      <c r="AH573" s="220"/>
      <c r="AI573" s="220"/>
      <c r="AJ573" s="220"/>
      <c r="AK573" s="220"/>
      <c r="AL573" s="220"/>
      <c r="AM573" s="220"/>
      <c r="AN573" s="220"/>
      <c r="AO573" s="220"/>
      <c r="AP573" s="220"/>
      <c r="AQ573" s="220"/>
      <c r="AR573" s="220"/>
      <c r="AS573" s="220"/>
      <c r="AT573" s="220"/>
      <c r="AU573" s="220"/>
    </row>
    <row r="574" ht="15.75" customHeight="1">
      <c r="A574" s="220"/>
      <c r="B574" s="220"/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0"/>
      <c r="AA574" s="220"/>
      <c r="AB574" s="220"/>
      <c r="AC574" s="220"/>
      <c r="AD574" s="220"/>
      <c r="AE574" s="220"/>
      <c r="AF574" s="220"/>
      <c r="AG574" s="220"/>
      <c r="AH574" s="220"/>
      <c r="AI574" s="220"/>
      <c r="AJ574" s="220"/>
      <c r="AK574" s="220"/>
      <c r="AL574" s="220"/>
      <c r="AM574" s="220"/>
      <c r="AN574" s="220"/>
      <c r="AO574" s="220"/>
      <c r="AP574" s="220"/>
      <c r="AQ574" s="220"/>
      <c r="AR574" s="220"/>
      <c r="AS574" s="220"/>
      <c r="AT574" s="220"/>
      <c r="AU574" s="220"/>
    </row>
    <row r="575" ht="15.75" customHeight="1">
      <c r="A575" s="220"/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0"/>
      <c r="AA575" s="220"/>
      <c r="AB575" s="220"/>
      <c r="AC575" s="220"/>
      <c r="AD575" s="220"/>
      <c r="AE575" s="220"/>
      <c r="AF575" s="220"/>
      <c r="AG575" s="220"/>
      <c r="AH575" s="220"/>
      <c r="AI575" s="220"/>
      <c r="AJ575" s="220"/>
      <c r="AK575" s="220"/>
      <c r="AL575" s="220"/>
      <c r="AM575" s="220"/>
      <c r="AN575" s="220"/>
      <c r="AO575" s="220"/>
      <c r="AP575" s="220"/>
      <c r="AQ575" s="220"/>
      <c r="AR575" s="220"/>
      <c r="AS575" s="220"/>
      <c r="AT575" s="220"/>
      <c r="AU575" s="220"/>
    </row>
    <row r="576" ht="15.75" customHeight="1">
      <c r="A576" s="220"/>
      <c r="B576" s="220"/>
      <c r="C576" s="220"/>
      <c r="D576" s="220"/>
      <c r="E576" s="220"/>
      <c r="F576" s="22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0"/>
      <c r="AA576" s="220"/>
      <c r="AB576" s="220"/>
      <c r="AC576" s="220"/>
      <c r="AD576" s="220"/>
      <c r="AE576" s="220"/>
      <c r="AF576" s="220"/>
      <c r="AG576" s="220"/>
      <c r="AH576" s="220"/>
      <c r="AI576" s="220"/>
      <c r="AJ576" s="220"/>
      <c r="AK576" s="220"/>
      <c r="AL576" s="220"/>
      <c r="AM576" s="220"/>
      <c r="AN576" s="220"/>
      <c r="AO576" s="220"/>
      <c r="AP576" s="220"/>
      <c r="AQ576" s="220"/>
      <c r="AR576" s="220"/>
      <c r="AS576" s="220"/>
      <c r="AT576" s="220"/>
      <c r="AU576" s="220"/>
    </row>
    <row r="577" ht="15.75" customHeight="1">
      <c r="A577" s="220"/>
      <c r="B577" s="220"/>
      <c r="C577" s="220"/>
      <c r="D577" s="220"/>
      <c r="E577" s="220"/>
      <c r="F577" s="22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0"/>
      <c r="AA577" s="220"/>
      <c r="AB577" s="220"/>
      <c r="AC577" s="220"/>
      <c r="AD577" s="220"/>
      <c r="AE577" s="220"/>
      <c r="AF577" s="220"/>
      <c r="AG577" s="220"/>
      <c r="AH577" s="220"/>
      <c r="AI577" s="220"/>
      <c r="AJ577" s="220"/>
      <c r="AK577" s="220"/>
      <c r="AL577" s="220"/>
      <c r="AM577" s="220"/>
      <c r="AN577" s="220"/>
      <c r="AO577" s="220"/>
      <c r="AP577" s="220"/>
      <c r="AQ577" s="220"/>
      <c r="AR577" s="220"/>
      <c r="AS577" s="220"/>
      <c r="AT577" s="220"/>
      <c r="AU577" s="220"/>
    </row>
    <row r="578" ht="15.75" customHeight="1">
      <c r="A578" s="220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0"/>
      <c r="AA578" s="220"/>
      <c r="AB578" s="220"/>
      <c r="AC578" s="220"/>
      <c r="AD578" s="220"/>
      <c r="AE578" s="220"/>
      <c r="AF578" s="220"/>
      <c r="AG578" s="220"/>
      <c r="AH578" s="220"/>
      <c r="AI578" s="220"/>
      <c r="AJ578" s="220"/>
      <c r="AK578" s="220"/>
      <c r="AL578" s="220"/>
      <c r="AM578" s="220"/>
      <c r="AN578" s="220"/>
      <c r="AO578" s="220"/>
      <c r="AP578" s="220"/>
      <c r="AQ578" s="220"/>
      <c r="AR578" s="220"/>
      <c r="AS578" s="220"/>
      <c r="AT578" s="220"/>
      <c r="AU578" s="220"/>
    </row>
    <row r="579" ht="15.75" customHeight="1">
      <c r="A579" s="220"/>
      <c r="B579" s="220"/>
      <c r="C579" s="220"/>
      <c r="D579" s="220"/>
      <c r="E579" s="220"/>
      <c r="F579" s="22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0"/>
      <c r="AA579" s="220"/>
      <c r="AB579" s="220"/>
      <c r="AC579" s="220"/>
      <c r="AD579" s="220"/>
      <c r="AE579" s="220"/>
      <c r="AF579" s="220"/>
      <c r="AG579" s="220"/>
      <c r="AH579" s="220"/>
      <c r="AI579" s="220"/>
      <c r="AJ579" s="220"/>
      <c r="AK579" s="220"/>
      <c r="AL579" s="220"/>
      <c r="AM579" s="220"/>
      <c r="AN579" s="220"/>
      <c r="AO579" s="220"/>
      <c r="AP579" s="220"/>
      <c r="AQ579" s="220"/>
      <c r="AR579" s="220"/>
      <c r="AS579" s="220"/>
      <c r="AT579" s="220"/>
      <c r="AU579" s="220"/>
    </row>
    <row r="580" ht="15.75" customHeight="1">
      <c r="A580" s="220"/>
      <c r="B580" s="220"/>
      <c r="C580" s="220"/>
      <c r="D580" s="220"/>
      <c r="E580" s="220"/>
      <c r="F580" s="22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0"/>
      <c r="AA580" s="220"/>
      <c r="AB580" s="220"/>
      <c r="AC580" s="220"/>
      <c r="AD580" s="220"/>
      <c r="AE580" s="220"/>
      <c r="AF580" s="220"/>
      <c r="AG580" s="220"/>
      <c r="AH580" s="220"/>
      <c r="AI580" s="220"/>
      <c r="AJ580" s="220"/>
      <c r="AK580" s="220"/>
      <c r="AL580" s="220"/>
      <c r="AM580" s="220"/>
      <c r="AN580" s="220"/>
      <c r="AO580" s="220"/>
      <c r="AP580" s="220"/>
      <c r="AQ580" s="220"/>
      <c r="AR580" s="220"/>
      <c r="AS580" s="220"/>
      <c r="AT580" s="220"/>
      <c r="AU580" s="220"/>
    </row>
    <row r="581" ht="15.75" customHeight="1">
      <c r="A581" s="220"/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0"/>
      <c r="AA581" s="220"/>
      <c r="AB581" s="220"/>
      <c r="AC581" s="220"/>
      <c r="AD581" s="220"/>
      <c r="AE581" s="220"/>
      <c r="AF581" s="220"/>
      <c r="AG581" s="220"/>
      <c r="AH581" s="220"/>
      <c r="AI581" s="220"/>
      <c r="AJ581" s="220"/>
      <c r="AK581" s="220"/>
      <c r="AL581" s="220"/>
      <c r="AM581" s="220"/>
      <c r="AN581" s="220"/>
      <c r="AO581" s="220"/>
      <c r="AP581" s="220"/>
      <c r="AQ581" s="220"/>
      <c r="AR581" s="220"/>
      <c r="AS581" s="220"/>
      <c r="AT581" s="220"/>
      <c r="AU581" s="220"/>
    </row>
    <row r="582" ht="15.75" customHeight="1">
      <c r="A582" s="220"/>
      <c r="B582" s="220"/>
      <c r="C582" s="220"/>
      <c r="D582" s="220"/>
      <c r="E582" s="220"/>
      <c r="F582" s="22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0"/>
      <c r="AA582" s="220"/>
      <c r="AB582" s="220"/>
      <c r="AC582" s="220"/>
      <c r="AD582" s="220"/>
      <c r="AE582" s="220"/>
      <c r="AF582" s="220"/>
      <c r="AG582" s="220"/>
      <c r="AH582" s="220"/>
      <c r="AI582" s="220"/>
      <c r="AJ582" s="220"/>
      <c r="AK582" s="220"/>
      <c r="AL582" s="220"/>
      <c r="AM582" s="220"/>
      <c r="AN582" s="220"/>
      <c r="AO582" s="220"/>
      <c r="AP582" s="220"/>
      <c r="AQ582" s="220"/>
      <c r="AR582" s="220"/>
      <c r="AS582" s="220"/>
      <c r="AT582" s="220"/>
      <c r="AU582" s="220"/>
    </row>
    <row r="583" ht="15.75" customHeight="1">
      <c r="A583" s="220"/>
      <c r="B583" s="220"/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0"/>
      <c r="AA583" s="220"/>
      <c r="AB583" s="220"/>
      <c r="AC583" s="220"/>
      <c r="AD583" s="220"/>
      <c r="AE583" s="220"/>
      <c r="AF583" s="220"/>
      <c r="AG583" s="220"/>
      <c r="AH583" s="220"/>
      <c r="AI583" s="220"/>
      <c r="AJ583" s="220"/>
      <c r="AK583" s="220"/>
      <c r="AL583" s="220"/>
      <c r="AM583" s="220"/>
      <c r="AN583" s="220"/>
      <c r="AO583" s="220"/>
      <c r="AP583" s="220"/>
      <c r="AQ583" s="220"/>
      <c r="AR583" s="220"/>
      <c r="AS583" s="220"/>
      <c r="AT583" s="220"/>
      <c r="AU583" s="220"/>
    </row>
    <row r="584" ht="15.75" customHeight="1">
      <c r="A584" s="220"/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0"/>
      <c r="AA584" s="220"/>
      <c r="AB584" s="220"/>
      <c r="AC584" s="220"/>
      <c r="AD584" s="220"/>
      <c r="AE584" s="220"/>
      <c r="AF584" s="220"/>
      <c r="AG584" s="220"/>
      <c r="AH584" s="220"/>
      <c r="AI584" s="220"/>
      <c r="AJ584" s="220"/>
      <c r="AK584" s="220"/>
      <c r="AL584" s="220"/>
      <c r="AM584" s="220"/>
      <c r="AN584" s="220"/>
      <c r="AO584" s="220"/>
      <c r="AP584" s="220"/>
      <c r="AQ584" s="220"/>
      <c r="AR584" s="220"/>
      <c r="AS584" s="220"/>
      <c r="AT584" s="220"/>
      <c r="AU584" s="220"/>
    </row>
    <row r="585" ht="15.75" customHeight="1">
      <c r="A585" s="220"/>
      <c r="B585" s="220"/>
      <c r="C585" s="220"/>
      <c r="D585" s="220"/>
      <c r="E585" s="220"/>
      <c r="F585" s="22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0"/>
      <c r="AA585" s="220"/>
      <c r="AB585" s="220"/>
      <c r="AC585" s="220"/>
      <c r="AD585" s="220"/>
      <c r="AE585" s="220"/>
      <c r="AF585" s="220"/>
      <c r="AG585" s="220"/>
      <c r="AH585" s="220"/>
      <c r="AI585" s="220"/>
      <c r="AJ585" s="220"/>
      <c r="AK585" s="220"/>
      <c r="AL585" s="220"/>
      <c r="AM585" s="220"/>
      <c r="AN585" s="220"/>
      <c r="AO585" s="220"/>
      <c r="AP585" s="220"/>
      <c r="AQ585" s="220"/>
      <c r="AR585" s="220"/>
      <c r="AS585" s="220"/>
      <c r="AT585" s="220"/>
      <c r="AU585" s="220"/>
    </row>
    <row r="586" ht="15.75" customHeight="1">
      <c r="A586" s="220"/>
      <c r="B586" s="220"/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0"/>
      <c r="AA586" s="220"/>
      <c r="AB586" s="220"/>
      <c r="AC586" s="220"/>
      <c r="AD586" s="220"/>
      <c r="AE586" s="220"/>
      <c r="AF586" s="220"/>
      <c r="AG586" s="220"/>
      <c r="AH586" s="220"/>
      <c r="AI586" s="220"/>
      <c r="AJ586" s="220"/>
      <c r="AK586" s="220"/>
      <c r="AL586" s="220"/>
      <c r="AM586" s="220"/>
      <c r="AN586" s="220"/>
      <c r="AO586" s="220"/>
      <c r="AP586" s="220"/>
      <c r="AQ586" s="220"/>
      <c r="AR586" s="220"/>
      <c r="AS586" s="220"/>
      <c r="AT586" s="220"/>
      <c r="AU586" s="220"/>
    </row>
    <row r="587" ht="15.75" customHeight="1">
      <c r="A587" s="220"/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0"/>
      <c r="AA587" s="220"/>
      <c r="AB587" s="220"/>
      <c r="AC587" s="220"/>
      <c r="AD587" s="220"/>
      <c r="AE587" s="220"/>
      <c r="AF587" s="220"/>
      <c r="AG587" s="220"/>
      <c r="AH587" s="220"/>
      <c r="AI587" s="220"/>
      <c r="AJ587" s="220"/>
      <c r="AK587" s="220"/>
      <c r="AL587" s="220"/>
      <c r="AM587" s="220"/>
      <c r="AN587" s="220"/>
      <c r="AO587" s="220"/>
      <c r="AP587" s="220"/>
      <c r="AQ587" s="220"/>
      <c r="AR587" s="220"/>
      <c r="AS587" s="220"/>
      <c r="AT587" s="220"/>
      <c r="AU587" s="220"/>
    </row>
    <row r="588" ht="15.75" customHeight="1">
      <c r="A588" s="220"/>
      <c r="B588" s="220"/>
      <c r="C588" s="220"/>
      <c r="D588" s="220"/>
      <c r="E588" s="220"/>
      <c r="F588" s="22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0"/>
      <c r="AA588" s="220"/>
      <c r="AB588" s="220"/>
      <c r="AC588" s="220"/>
      <c r="AD588" s="220"/>
      <c r="AE588" s="220"/>
      <c r="AF588" s="220"/>
      <c r="AG588" s="220"/>
      <c r="AH588" s="220"/>
      <c r="AI588" s="220"/>
      <c r="AJ588" s="220"/>
      <c r="AK588" s="220"/>
      <c r="AL588" s="220"/>
      <c r="AM588" s="220"/>
      <c r="AN588" s="220"/>
      <c r="AO588" s="220"/>
      <c r="AP588" s="220"/>
      <c r="AQ588" s="220"/>
      <c r="AR588" s="220"/>
      <c r="AS588" s="220"/>
      <c r="AT588" s="220"/>
      <c r="AU588" s="220"/>
    </row>
    <row r="589" ht="15.75" customHeight="1">
      <c r="A589" s="220"/>
      <c r="B589" s="220"/>
      <c r="C589" s="220"/>
      <c r="D589" s="220"/>
      <c r="E589" s="220"/>
      <c r="F589" s="22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0"/>
      <c r="AA589" s="220"/>
      <c r="AB589" s="220"/>
      <c r="AC589" s="220"/>
      <c r="AD589" s="220"/>
      <c r="AE589" s="220"/>
      <c r="AF589" s="220"/>
      <c r="AG589" s="220"/>
      <c r="AH589" s="220"/>
      <c r="AI589" s="220"/>
      <c r="AJ589" s="220"/>
      <c r="AK589" s="220"/>
      <c r="AL589" s="220"/>
      <c r="AM589" s="220"/>
      <c r="AN589" s="220"/>
      <c r="AO589" s="220"/>
      <c r="AP589" s="220"/>
      <c r="AQ589" s="220"/>
      <c r="AR589" s="220"/>
      <c r="AS589" s="220"/>
      <c r="AT589" s="220"/>
      <c r="AU589" s="220"/>
    </row>
    <row r="590" ht="15.75" customHeight="1">
      <c r="A590" s="220"/>
      <c r="B590" s="220"/>
      <c r="C590" s="220"/>
      <c r="D590" s="220"/>
      <c r="E590" s="220"/>
      <c r="F590" s="22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0"/>
      <c r="AA590" s="220"/>
      <c r="AB590" s="220"/>
      <c r="AC590" s="220"/>
      <c r="AD590" s="220"/>
      <c r="AE590" s="220"/>
      <c r="AF590" s="220"/>
      <c r="AG590" s="220"/>
      <c r="AH590" s="220"/>
      <c r="AI590" s="220"/>
      <c r="AJ590" s="220"/>
      <c r="AK590" s="220"/>
      <c r="AL590" s="220"/>
      <c r="AM590" s="220"/>
      <c r="AN590" s="220"/>
      <c r="AO590" s="220"/>
      <c r="AP590" s="220"/>
      <c r="AQ590" s="220"/>
      <c r="AR590" s="220"/>
      <c r="AS590" s="220"/>
      <c r="AT590" s="220"/>
      <c r="AU590" s="220"/>
    </row>
    <row r="591" ht="15.75" customHeight="1">
      <c r="A591" s="220"/>
      <c r="B591" s="220"/>
      <c r="C591" s="220"/>
      <c r="D591" s="220"/>
      <c r="E591" s="220"/>
      <c r="F591" s="22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0"/>
      <c r="AA591" s="220"/>
      <c r="AB591" s="220"/>
      <c r="AC591" s="220"/>
      <c r="AD591" s="220"/>
      <c r="AE591" s="220"/>
      <c r="AF591" s="220"/>
      <c r="AG591" s="220"/>
      <c r="AH591" s="220"/>
      <c r="AI591" s="220"/>
      <c r="AJ591" s="220"/>
      <c r="AK591" s="220"/>
      <c r="AL591" s="220"/>
      <c r="AM591" s="220"/>
      <c r="AN591" s="220"/>
      <c r="AO591" s="220"/>
      <c r="AP591" s="220"/>
      <c r="AQ591" s="220"/>
      <c r="AR591" s="220"/>
      <c r="AS591" s="220"/>
      <c r="AT591" s="220"/>
      <c r="AU591" s="220"/>
    </row>
    <row r="592" ht="15.75" customHeight="1">
      <c r="A592" s="220"/>
      <c r="B592" s="220"/>
      <c r="C592" s="220"/>
      <c r="D592" s="220"/>
      <c r="E592" s="220"/>
      <c r="F592" s="22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0"/>
      <c r="AA592" s="220"/>
      <c r="AB592" s="220"/>
      <c r="AC592" s="220"/>
      <c r="AD592" s="220"/>
      <c r="AE592" s="220"/>
      <c r="AF592" s="220"/>
      <c r="AG592" s="220"/>
      <c r="AH592" s="220"/>
      <c r="AI592" s="220"/>
      <c r="AJ592" s="220"/>
      <c r="AK592" s="220"/>
      <c r="AL592" s="220"/>
      <c r="AM592" s="220"/>
      <c r="AN592" s="220"/>
      <c r="AO592" s="220"/>
      <c r="AP592" s="220"/>
      <c r="AQ592" s="220"/>
      <c r="AR592" s="220"/>
      <c r="AS592" s="220"/>
      <c r="AT592" s="220"/>
      <c r="AU592" s="220"/>
    </row>
    <row r="593" ht="15.75" customHeight="1">
      <c r="A593" s="220"/>
      <c r="B593" s="220"/>
      <c r="C593" s="220"/>
      <c r="D593" s="220"/>
      <c r="E593" s="220"/>
      <c r="F593" s="22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0"/>
      <c r="AA593" s="220"/>
      <c r="AB593" s="220"/>
      <c r="AC593" s="220"/>
      <c r="AD593" s="220"/>
      <c r="AE593" s="220"/>
      <c r="AF593" s="220"/>
      <c r="AG593" s="220"/>
      <c r="AH593" s="220"/>
      <c r="AI593" s="220"/>
      <c r="AJ593" s="220"/>
      <c r="AK593" s="220"/>
      <c r="AL593" s="220"/>
      <c r="AM593" s="220"/>
      <c r="AN593" s="220"/>
      <c r="AO593" s="220"/>
      <c r="AP593" s="220"/>
      <c r="AQ593" s="220"/>
      <c r="AR593" s="220"/>
      <c r="AS593" s="220"/>
      <c r="AT593" s="220"/>
      <c r="AU593" s="220"/>
    </row>
    <row r="594" ht="15.75" customHeight="1">
      <c r="A594" s="220"/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0"/>
      <c r="AA594" s="220"/>
      <c r="AB594" s="220"/>
      <c r="AC594" s="220"/>
      <c r="AD594" s="220"/>
      <c r="AE594" s="220"/>
      <c r="AF594" s="220"/>
      <c r="AG594" s="220"/>
      <c r="AH594" s="220"/>
      <c r="AI594" s="220"/>
      <c r="AJ594" s="220"/>
      <c r="AK594" s="220"/>
      <c r="AL594" s="220"/>
      <c r="AM594" s="220"/>
      <c r="AN594" s="220"/>
      <c r="AO594" s="220"/>
      <c r="AP594" s="220"/>
      <c r="AQ594" s="220"/>
      <c r="AR594" s="220"/>
      <c r="AS594" s="220"/>
      <c r="AT594" s="220"/>
      <c r="AU594" s="220"/>
    </row>
    <row r="595" ht="15.75" customHeight="1">
      <c r="A595" s="220"/>
      <c r="B595" s="220"/>
      <c r="C595" s="220"/>
      <c r="D595" s="220"/>
      <c r="E595" s="220"/>
      <c r="F595" s="22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0"/>
      <c r="AA595" s="220"/>
      <c r="AB595" s="220"/>
      <c r="AC595" s="220"/>
      <c r="AD595" s="220"/>
      <c r="AE595" s="220"/>
      <c r="AF595" s="220"/>
      <c r="AG595" s="220"/>
      <c r="AH595" s="220"/>
      <c r="AI595" s="220"/>
      <c r="AJ595" s="220"/>
      <c r="AK595" s="220"/>
      <c r="AL595" s="220"/>
      <c r="AM595" s="220"/>
      <c r="AN595" s="220"/>
      <c r="AO595" s="220"/>
      <c r="AP595" s="220"/>
      <c r="AQ595" s="220"/>
      <c r="AR595" s="220"/>
      <c r="AS595" s="220"/>
      <c r="AT595" s="220"/>
      <c r="AU595" s="220"/>
    </row>
    <row r="596" ht="15.75" customHeight="1">
      <c r="A596" s="220"/>
      <c r="B596" s="220"/>
      <c r="C596" s="220"/>
      <c r="D596" s="220"/>
      <c r="E596" s="220"/>
      <c r="F596" s="22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0"/>
      <c r="AA596" s="220"/>
      <c r="AB596" s="220"/>
      <c r="AC596" s="220"/>
      <c r="AD596" s="220"/>
      <c r="AE596" s="220"/>
      <c r="AF596" s="220"/>
      <c r="AG596" s="220"/>
      <c r="AH596" s="220"/>
      <c r="AI596" s="220"/>
      <c r="AJ596" s="220"/>
      <c r="AK596" s="220"/>
      <c r="AL596" s="220"/>
      <c r="AM596" s="220"/>
      <c r="AN596" s="220"/>
      <c r="AO596" s="220"/>
      <c r="AP596" s="220"/>
      <c r="AQ596" s="220"/>
      <c r="AR596" s="220"/>
      <c r="AS596" s="220"/>
      <c r="AT596" s="220"/>
      <c r="AU596" s="220"/>
    </row>
    <row r="597" ht="15.75" customHeight="1">
      <c r="A597" s="220"/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0"/>
      <c r="AA597" s="220"/>
      <c r="AB597" s="220"/>
      <c r="AC597" s="220"/>
      <c r="AD597" s="220"/>
      <c r="AE597" s="220"/>
      <c r="AF597" s="220"/>
      <c r="AG597" s="220"/>
      <c r="AH597" s="220"/>
      <c r="AI597" s="220"/>
      <c r="AJ597" s="220"/>
      <c r="AK597" s="220"/>
      <c r="AL597" s="220"/>
      <c r="AM597" s="220"/>
      <c r="AN597" s="220"/>
      <c r="AO597" s="220"/>
      <c r="AP597" s="220"/>
      <c r="AQ597" s="220"/>
      <c r="AR597" s="220"/>
      <c r="AS597" s="220"/>
      <c r="AT597" s="220"/>
      <c r="AU597" s="220"/>
    </row>
    <row r="598" ht="15.75" customHeight="1">
      <c r="A598" s="220"/>
      <c r="B598" s="220"/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0"/>
      <c r="AA598" s="220"/>
      <c r="AB598" s="220"/>
      <c r="AC598" s="220"/>
      <c r="AD598" s="220"/>
      <c r="AE598" s="220"/>
      <c r="AF598" s="220"/>
      <c r="AG598" s="220"/>
      <c r="AH598" s="220"/>
      <c r="AI598" s="220"/>
      <c r="AJ598" s="220"/>
      <c r="AK598" s="220"/>
      <c r="AL598" s="220"/>
      <c r="AM598" s="220"/>
      <c r="AN598" s="220"/>
      <c r="AO598" s="220"/>
      <c r="AP598" s="220"/>
      <c r="AQ598" s="220"/>
      <c r="AR598" s="220"/>
      <c r="AS598" s="220"/>
      <c r="AT598" s="220"/>
      <c r="AU598" s="220"/>
    </row>
    <row r="599" ht="15.75" customHeight="1">
      <c r="A599" s="220"/>
      <c r="B599" s="220"/>
      <c r="C599" s="220"/>
      <c r="D599" s="220"/>
      <c r="E599" s="220"/>
      <c r="F599" s="22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0"/>
      <c r="AA599" s="220"/>
      <c r="AB599" s="220"/>
      <c r="AC599" s="220"/>
      <c r="AD599" s="220"/>
      <c r="AE599" s="220"/>
      <c r="AF599" s="220"/>
      <c r="AG599" s="220"/>
      <c r="AH599" s="220"/>
      <c r="AI599" s="220"/>
      <c r="AJ599" s="220"/>
      <c r="AK599" s="220"/>
      <c r="AL599" s="220"/>
      <c r="AM599" s="220"/>
      <c r="AN599" s="220"/>
      <c r="AO599" s="220"/>
      <c r="AP599" s="220"/>
      <c r="AQ599" s="220"/>
      <c r="AR599" s="220"/>
      <c r="AS599" s="220"/>
      <c r="AT599" s="220"/>
      <c r="AU599" s="220"/>
    </row>
    <row r="600" ht="15.75" customHeight="1">
      <c r="A600" s="220"/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0"/>
      <c r="AA600" s="220"/>
      <c r="AB600" s="220"/>
      <c r="AC600" s="220"/>
      <c r="AD600" s="220"/>
      <c r="AE600" s="220"/>
      <c r="AF600" s="220"/>
      <c r="AG600" s="220"/>
      <c r="AH600" s="220"/>
      <c r="AI600" s="220"/>
      <c r="AJ600" s="220"/>
      <c r="AK600" s="220"/>
      <c r="AL600" s="220"/>
      <c r="AM600" s="220"/>
      <c r="AN600" s="220"/>
      <c r="AO600" s="220"/>
      <c r="AP600" s="220"/>
      <c r="AQ600" s="220"/>
      <c r="AR600" s="220"/>
      <c r="AS600" s="220"/>
      <c r="AT600" s="220"/>
      <c r="AU600" s="220"/>
    </row>
    <row r="601" ht="15.75" customHeight="1">
      <c r="A601" s="220"/>
      <c r="B601" s="220"/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0"/>
      <c r="AA601" s="220"/>
      <c r="AB601" s="220"/>
      <c r="AC601" s="220"/>
      <c r="AD601" s="220"/>
      <c r="AE601" s="220"/>
      <c r="AF601" s="220"/>
      <c r="AG601" s="220"/>
      <c r="AH601" s="220"/>
      <c r="AI601" s="220"/>
      <c r="AJ601" s="220"/>
      <c r="AK601" s="220"/>
      <c r="AL601" s="220"/>
      <c r="AM601" s="220"/>
      <c r="AN601" s="220"/>
      <c r="AO601" s="220"/>
      <c r="AP601" s="220"/>
      <c r="AQ601" s="220"/>
      <c r="AR601" s="220"/>
      <c r="AS601" s="220"/>
      <c r="AT601" s="220"/>
      <c r="AU601" s="220"/>
    </row>
    <row r="602" ht="15.75" customHeight="1">
      <c r="A602" s="220"/>
      <c r="B602" s="220"/>
      <c r="C602" s="220"/>
      <c r="D602" s="220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0"/>
      <c r="AA602" s="220"/>
      <c r="AB602" s="220"/>
      <c r="AC602" s="220"/>
      <c r="AD602" s="220"/>
      <c r="AE602" s="220"/>
      <c r="AF602" s="220"/>
      <c r="AG602" s="220"/>
      <c r="AH602" s="220"/>
      <c r="AI602" s="220"/>
      <c r="AJ602" s="220"/>
      <c r="AK602" s="220"/>
      <c r="AL602" s="220"/>
      <c r="AM602" s="220"/>
      <c r="AN602" s="220"/>
      <c r="AO602" s="220"/>
      <c r="AP602" s="220"/>
      <c r="AQ602" s="220"/>
      <c r="AR602" s="220"/>
      <c r="AS602" s="220"/>
      <c r="AT602" s="220"/>
      <c r="AU602" s="220"/>
    </row>
    <row r="603" ht="15.75" customHeight="1">
      <c r="A603" s="220"/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0"/>
      <c r="AA603" s="220"/>
      <c r="AB603" s="220"/>
      <c r="AC603" s="220"/>
      <c r="AD603" s="220"/>
      <c r="AE603" s="220"/>
      <c r="AF603" s="220"/>
      <c r="AG603" s="220"/>
      <c r="AH603" s="220"/>
      <c r="AI603" s="220"/>
      <c r="AJ603" s="220"/>
      <c r="AK603" s="220"/>
      <c r="AL603" s="220"/>
      <c r="AM603" s="220"/>
      <c r="AN603" s="220"/>
      <c r="AO603" s="220"/>
      <c r="AP603" s="220"/>
      <c r="AQ603" s="220"/>
      <c r="AR603" s="220"/>
      <c r="AS603" s="220"/>
      <c r="AT603" s="220"/>
      <c r="AU603" s="220"/>
    </row>
    <row r="604" ht="15.75" customHeight="1">
      <c r="A604" s="220"/>
      <c r="B604" s="220"/>
      <c r="C604" s="220"/>
      <c r="D604" s="220"/>
      <c r="E604" s="220"/>
      <c r="F604" s="22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0"/>
      <c r="AA604" s="220"/>
      <c r="AB604" s="220"/>
      <c r="AC604" s="220"/>
      <c r="AD604" s="220"/>
      <c r="AE604" s="220"/>
      <c r="AF604" s="220"/>
      <c r="AG604" s="220"/>
      <c r="AH604" s="220"/>
      <c r="AI604" s="220"/>
      <c r="AJ604" s="220"/>
      <c r="AK604" s="220"/>
      <c r="AL604" s="220"/>
      <c r="AM604" s="220"/>
      <c r="AN604" s="220"/>
      <c r="AO604" s="220"/>
      <c r="AP604" s="220"/>
      <c r="AQ604" s="220"/>
      <c r="AR604" s="220"/>
      <c r="AS604" s="220"/>
      <c r="AT604" s="220"/>
      <c r="AU604" s="220"/>
    </row>
    <row r="605" ht="15.75" customHeight="1">
      <c r="A605" s="220"/>
      <c r="B605" s="220"/>
      <c r="C605" s="220"/>
      <c r="D605" s="220"/>
      <c r="E605" s="220"/>
      <c r="F605" s="22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0"/>
      <c r="AA605" s="220"/>
      <c r="AB605" s="220"/>
      <c r="AC605" s="220"/>
      <c r="AD605" s="220"/>
      <c r="AE605" s="220"/>
      <c r="AF605" s="220"/>
      <c r="AG605" s="220"/>
      <c r="AH605" s="220"/>
      <c r="AI605" s="220"/>
      <c r="AJ605" s="220"/>
      <c r="AK605" s="220"/>
      <c r="AL605" s="220"/>
      <c r="AM605" s="220"/>
      <c r="AN605" s="220"/>
      <c r="AO605" s="220"/>
      <c r="AP605" s="220"/>
      <c r="AQ605" s="220"/>
      <c r="AR605" s="220"/>
      <c r="AS605" s="220"/>
      <c r="AT605" s="220"/>
      <c r="AU605" s="220"/>
    </row>
    <row r="606" ht="15.75" customHeight="1">
      <c r="A606" s="220"/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0"/>
      <c r="AA606" s="220"/>
      <c r="AB606" s="220"/>
      <c r="AC606" s="220"/>
      <c r="AD606" s="220"/>
      <c r="AE606" s="220"/>
      <c r="AF606" s="220"/>
      <c r="AG606" s="220"/>
      <c r="AH606" s="220"/>
      <c r="AI606" s="220"/>
      <c r="AJ606" s="220"/>
      <c r="AK606" s="220"/>
      <c r="AL606" s="220"/>
      <c r="AM606" s="220"/>
      <c r="AN606" s="220"/>
      <c r="AO606" s="220"/>
      <c r="AP606" s="220"/>
      <c r="AQ606" s="220"/>
      <c r="AR606" s="220"/>
      <c r="AS606" s="220"/>
      <c r="AT606" s="220"/>
      <c r="AU606" s="220"/>
    </row>
    <row r="607" ht="15.75" customHeight="1">
      <c r="A607" s="220"/>
      <c r="B607" s="220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0"/>
      <c r="AA607" s="220"/>
      <c r="AB607" s="220"/>
      <c r="AC607" s="220"/>
      <c r="AD607" s="220"/>
      <c r="AE607" s="220"/>
      <c r="AF607" s="220"/>
      <c r="AG607" s="220"/>
      <c r="AH607" s="220"/>
      <c r="AI607" s="220"/>
      <c r="AJ607" s="220"/>
      <c r="AK607" s="220"/>
      <c r="AL607" s="220"/>
      <c r="AM607" s="220"/>
      <c r="AN607" s="220"/>
      <c r="AO607" s="220"/>
      <c r="AP607" s="220"/>
      <c r="AQ607" s="220"/>
      <c r="AR607" s="220"/>
      <c r="AS607" s="220"/>
      <c r="AT607" s="220"/>
      <c r="AU607" s="220"/>
    </row>
    <row r="608" ht="15.75" customHeight="1">
      <c r="A608" s="220"/>
      <c r="B608" s="220"/>
      <c r="C608" s="220"/>
      <c r="D608" s="220"/>
      <c r="E608" s="220"/>
      <c r="F608" s="22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0"/>
      <c r="AA608" s="220"/>
      <c r="AB608" s="220"/>
      <c r="AC608" s="220"/>
      <c r="AD608" s="220"/>
      <c r="AE608" s="220"/>
      <c r="AF608" s="220"/>
      <c r="AG608" s="220"/>
      <c r="AH608" s="220"/>
      <c r="AI608" s="220"/>
      <c r="AJ608" s="220"/>
      <c r="AK608" s="220"/>
      <c r="AL608" s="220"/>
      <c r="AM608" s="220"/>
      <c r="AN608" s="220"/>
      <c r="AO608" s="220"/>
      <c r="AP608" s="220"/>
      <c r="AQ608" s="220"/>
      <c r="AR608" s="220"/>
      <c r="AS608" s="220"/>
      <c r="AT608" s="220"/>
      <c r="AU608" s="220"/>
    </row>
    <row r="609" ht="15.75" customHeight="1">
      <c r="A609" s="220"/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0"/>
      <c r="AA609" s="220"/>
      <c r="AB609" s="220"/>
      <c r="AC609" s="220"/>
      <c r="AD609" s="220"/>
      <c r="AE609" s="220"/>
      <c r="AF609" s="220"/>
      <c r="AG609" s="220"/>
      <c r="AH609" s="220"/>
      <c r="AI609" s="220"/>
      <c r="AJ609" s="220"/>
      <c r="AK609" s="220"/>
      <c r="AL609" s="220"/>
      <c r="AM609" s="220"/>
      <c r="AN609" s="220"/>
      <c r="AO609" s="220"/>
      <c r="AP609" s="220"/>
      <c r="AQ609" s="220"/>
      <c r="AR609" s="220"/>
      <c r="AS609" s="220"/>
      <c r="AT609" s="220"/>
      <c r="AU609" s="220"/>
    </row>
    <row r="610" ht="15.75" customHeight="1">
      <c r="A610" s="220"/>
      <c r="B610" s="220"/>
      <c r="C610" s="220"/>
      <c r="D610" s="220"/>
      <c r="E610" s="220"/>
      <c r="F610" s="22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0"/>
      <c r="AA610" s="220"/>
      <c r="AB610" s="220"/>
      <c r="AC610" s="220"/>
      <c r="AD610" s="220"/>
      <c r="AE610" s="220"/>
      <c r="AF610" s="220"/>
      <c r="AG610" s="220"/>
      <c r="AH610" s="220"/>
      <c r="AI610" s="220"/>
      <c r="AJ610" s="220"/>
      <c r="AK610" s="220"/>
      <c r="AL610" s="220"/>
      <c r="AM610" s="220"/>
      <c r="AN610" s="220"/>
      <c r="AO610" s="220"/>
      <c r="AP610" s="220"/>
      <c r="AQ610" s="220"/>
      <c r="AR610" s="220"/>
      <c r="AS610" s="220"/>
      <c r="AT610" s="220"/>
      <c r="AU610" s="220"/>
    </row>
    <row r="611" ht="15.75" customHeight="1">
      <c r="A611" s="220"/>
      <c r="B611" s="220"/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0"/>
      <c r="AA611" s="220"/>
      <c r="AB611" s="220"/>
      <c r="AC611" s="220"/>
      <c r="AD611" s="220"/>
      <c r="AE611" s="220"/>
      <c r="AF611" s="220"/>
      <c r="AG611" s="220"/>
      <c r="AH611" s="220"/>
      <c r="AI611" s="220"/>
      <c r="AJ611" s="220"/>
      <c r="AK611" s="220"/>
      <c r="AL611" s="220"/>
      <c r="AM611" s="220"/>
      <c r="AN611" s="220"/>
      <c r="AO611" s="220"/>
      <c r="AP611" s="220"/>
      <c r="AQ611" s="220"/>
      <c r="AR611" s="220"/>
      <c r="AS611" s="220"/>
      <c r="AT611" s="220"/>
      <c r="AU611" s="220"/>
    </row>
    <row r="612" ht="15.75" customHeight="1">
      <c r="A612" s="220"/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0"/>
      <c r="AA612" s="220"/>
      <c r="AB612" s="220"/>
      <c r="AC612" s="220"/>
      <c r="AD612" s="220"/>
      <c r="AE612" s="220"/>
      <c r="AF612" s="220"/>
      <c r="AG612" s="220"/>
      <c r="AH612" s="220"/>
      <c r="AI612" s="220"/>
      <c r="AJ612" s="220"/>
      <c r="AK612" s="220"/>
      <c r="AL612" s="220"/>
      <c r="AM612" s="220"/>
      <c r="AN612" s="220"/>
      <c r="AO612" s="220"/>
      <c r="AP612" s="220"/>
      <c r="AQ612" s="220"/>
      <c r="AR612" s="220"/>
      <c r="AS612" s="220"/>
      <c r="AT612" s="220"/>
      <c r="AU612" s="220"/>
    </row>
    <row r="613" ht="15.75" customHeight="1">
      <c r="A613" s="220"/>
      <c r="B613" s="220"/>
      <c r="C613" s="220"/>
      <c r="D613" s="220"/>
      <c r="E613" s="220"/>
      <c r="F613" s="22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0"/>
      <c r="AA613" s="220"/>
      <c r="AB613" s="220"/>
      <c r="AC613" s="220"/>
      <c r="AD613" s="220"/>
      <c r="AE613" s="220"/>
      <c r="AF613" s="220"/>
      <c r="AG613" s="220"/>
      <c r="AH613" s="220"/>
      <c r="AI613" s="220"/>
      <c r="AJ613" s="220"/>
      <c r="AK613" s="220"/>
      <c r="AL613" s="220"/>
      <c r="AM613" s="220"/>
      <c r="AN613" s="220"/>
      <c r="AO613" s="220"/>
      <c r="AP613" s="220"/>
      <c r="AQ613" s="220"/>
      <c r="AR613" s="220"/>
      <c r="AS613" s="220"/>
      <c r="AT613" s="220"/>
      <c r="AU613" s="220"/>
    </row>
    <row r="614" ht="15.75" customHeight="1">
      <c r="A614" s="220"/>
      <c r="B614" s="220"/>
      <c r="C614" s="220"/>
      <c r="D614" s="220"/>
      <c r="E614" s="220"/>
      <c r="F614" s="220"/>
      <c r="G614" s="220"/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  <c r="W614" s="220"/>
      <c r="X614" s="220"/>
      <c r="Y614" s="220"/>
      <c r="Z614" s="220"/>
      <c r="AA614" s="220"/>
      <c r="AB614" s="220"/>
      <c r="AC614" s="220"/>
      <c r="AD614" s="220"/>
      <c r="AE614" s="220"/>
      <c r="AF614" s="220"/>
      <c r="AG614" s="220"/>
      <c r="AH614" s="220"/>
      <c r="AI614" s="220"/>
      <c r="AJ614" s="220"/>
      <c r="AK614" s="220"/>
      <c r="AL614" s="220"/>
      <c r="AM614" s="220"/>
      <c r="AN614" s="220"/>
      <c r="AO614" s="220"/>
      <c r="AP614" s="220"/>
      <c r="AQ614" s="220"/>
      <c r="AR614" s="220"/>
      <c r="AS614" s="220"/>
      <c r="AT614" s="220"/>
      <c r="AU614" s="220"/>
    </row>
    <row r="615" ht="15.75" customHeight="1">
      <c r="A615" s="220"/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  <c r="W615" s="220"/>
      <c r="X615" s="220"/>
      <c r="Y615" s="220"/>
      <c r="Z615" s="220"/>
      <c r="AA615" s="220"/>
      <c r="AB615" s="220"/>
      <c r="AC615" s="220"/>
      <c r="AD615" s="220"/>
      <c r="AE615" s="220"/>
      <c r="AF615" s="220"/>
      <c r="AG615" s="220"/>
      <c r="AH615" s="220"/>
      <c r="AI615" s="220"/>
      <c r="AJ615" s="220"/>
      <c r="AK615" s="220"/>
      <c r="AL615" s="220"/>
      <c r="AM615" s="220"/>
      <c r="AN615" s="220"/>
      <c r="AO615" s="220"/>
      <c r="AP615" s="220"/>
      <c r="AQ615" s="220"/>
      <c r="AR615" s="220"/>
      <c r="AS615" s="220"/>
      <c r="AT615" s="220"/>
      <c r="AU615" s="220"/>
    </row>
    <row r="616" ht="15.75" customHeight="1">
      <c r="A616" s="220"/>
      <c r="B616" s="220"/>
      <c r="C616" s="220"/>
      <c r="D616" s="220"/>
      <c r="E616" s="220"/>
      <c r="F616" s="220"/>
      <c r="G616" s="220"/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  <c r="W616" s="220"/>
      <c r="X616" s="220"/>
      <c r="Y616" s="220"/>
      <c r="Z616" s="220"/>
      <c r="AA616" s="220"/>
      <c r="AB616" s="220"/>
      <c r="AC616" s="220"/>
      <c r="AD616" s="220"/>
      <c r="AE616" s="220"/>
      <c r="AF616" s="220"/>
      <c r="AG616" s="220"/>
      <c r="AH616" s="220"/>
      <c r="AI616" s="220"/>
      <c r="AJ616" s="220"/>
      <c r="AK616" s="220"/>
      <c r="AL616" s="220"/>
      <c r="AM616" s="220"/>
      <c r="AN616" s="220"/>
      <c r="AO616" s="220"/>
      <c r="AP616" s="220"/>
      <c r="AQ616" s="220"/>
      <c r="AR616" s="220"/>
      <c r="AS616" s="220"/>
      <c r="AT616" s="220"/>
      <c r="AU616" s="220"/>
    </row>
    <row r="617" ht="15.75" customHeight="1">
      <c r="A617" s="220"/>
      <c r="B617" s="220"/>
      <c r="C617" s="220"/>
      <c r="D617" s="220"/>
      <c r="E617" s="220"/>
      <c r="F617" s="220"/>
      <c r="G617" s="220"/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  <c r="W617" s="220"/>
      <c r="X617" s="220"/>
      <c r="Y617" s="220"/>
      <c r="Z617" s="220"/>
      <c r="AA617" s="220"/>
      <c r="AB617" s="220"/>
      <c r="AC617" s="220"/>
      <c r="AD617" s="220"/>
      <c r="AE617" s="220"/>
      <c r="AF617" s="220"/>
      <c r="AG617" s="220"/>
      <c r="AH617" s="220"/>
      <c r="AI617" s="220"/>
      <c r="AJ617" s="220"/>
      <c r="AK617" s="220"/>
      <c r="AL617" s="220"/>
      <c r="AM617" s="220"/>
      <c r="AN617" s="220"/>
      <c r="AO617" s="220"/>
      <c r="AP617" s="220"/>
      <c r="AQ617" s="220"/>
      <c r="AR617" s="220"/>
      <c r="AS617" s="220"/>
      <c r="AT617" s="220"/>
      <c r="AU617" s="220"/>
    </row>
    <row r="618" ht="15.75" customHeight="1">
      <c r="A618" s="220"/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  <c r="W618" s="220"/>
      <c r="X618" s="220"/>
      <c r="Y618" s="220"/>
      <c r="Z618" s="220"/>
      <c r="AA618" s="220"/>
      <c r="AB618" s="220"/>
      <c r="AC618" s="220"/>
      <c r="AD618" s="220"/>
      <c r="AE618" s="220"/>
      <c r="AF618" s="220"/>
      <c r="AG618" s="220"/>
      <c r="AH618" s="220"/>
      <c r="AI618" s="220"/>
      <c r="AJ618" s="220"/>
      <c r="AK618" s="220"/>
      <c r="AL618" s="220"/>
      <c r="AM618" s="220"/>
      <c r="AN618" s="220"/>
      <c r="AO618" s="220"/>
      <c r="AP618" s="220"/>
      <c r="AQ618" s="220"/>
      <c r="AR618" s="220"/>
      <c r="AS618" s="220"/>
      <c r="AT618" s="220"/>
      <c r="AU618" s="220"/>
    </row>
    <row r="619" ht="15.75" customHeight="1">
      <c r="A619" s="220"/>
      <c r="B619" s="220"/>
      <c r="C619" s="220"/>
      <c r="D619" s="220"/>
      <c r="E619" s="220"/>
      <c r="F619" s="220"/>
      <c r="G619" s="220"/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  <c r="W619" s="220"/>
      <c r="X619" s="220"/>
      <c r="Y619" s="220"/>
      <c r="Z619" s="220"/>
      <c r="AA619" s="220"/>
      <c r="AB619" s="220"/>
      <c r="AC619" s="220"/>
      <c r="AD619" s="220"/>
      <c r="AE619" s="220"/>
      <c r="AF619" s="220"/>
      <c r="AG619" s="220"/>
      <c r="AH619" s="220"/>
      <c r="AI619" s="220"/>
      <c r="AJ619" s="220"/>
      <c r="AK619" s="220"/>
      <c r="AL619" s="220"/>
      <c r="AM619" s="220"/>
      <c r="AN619" s="220"/>
      <c r="AO619" s="220"/>
      <c r="AP619" s="220"/>
      <c r="AQ619" s="220"/>
      <c r="AR619" s="220"/>
      <c r="AS619" s="220"/>
      <c r="AT619" s="220"/>
      <c r="AU619" s="220"/>
    </row>
    <row r="620" ht="15.75" customHeight="1">
      <c r="A620" s="220"/>
      <c r="B620" s="220"/>
      <c r="C620" s="220"/>
      <c r="D620" s="220"/>
      <c r="E620" s="220"/>
      <c r="F620" s="220"/>
      <c r="G620" s="220"/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  <c r="W620" s="220"/>
      <c r="X620" s="220"/>
      <c r="Y620" s="220"/>
      <c r="Z620" s="220"/>
      <c r="AA620" s="220"/>
      <c r="AB620" s="220"/>
      <c r="AC620" s="220"/>
      <c r="AD620" s="220"/>
      <c r="AE620" s="220"/>
      <c r="AF620" s="220"/>
      <c r="AG620" s="220"/>
      <c r="AH620" s="220"/>
      <c r="AI620" s="220"/>
      <c r="AJ620" s="220"/>
      <c r="AK620" s="220"/>
      <c r="AL620" s="220"/>
      <c r="AM620" s="220"/>
      <c r="AN620" s="220"/>
      <c r="AO620" s="220"/>
      <c r="AP620" s="220"/>
      <c r="AQ620" s="220"/>
      <c r="AR620" s="220"/>
      <c r="AS620" s="220"/>
      <c r="AT620" s="220"/>
      <c r="AU620" s="220"/>
    </row>
    <row r="621" ht="15.75" customHeight="1">
      <c r="A621" s="220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220"/>
      <c r="Y621" s="220"/>
      <c r="Z621" s="220"/>
      <c r="AA621" s="220"/>
      <c r="AB621" s="220"/>
      <c r="AC621" s="220"/>
      <c r="AD621" s="220"/>
      <c r="AE621" s="220"/>
      <c r="AF621" s="220"/>
      <c r="AG621" s="220"/>
      <c r="AH621" s="220"/>
      <c r="AI621" s="220"/>
      <c r="AJ621" s="220"/>
      <c r="AK621" s="220"/>
      <c r="AL621" s="220"/>
      <c r="AM621" s="220"/>
      <c r="AN621" s="220"/>
      <c r="AO621" s="220"/>
      <c r="AP621" s="220"/>
      <c r="AQ621" s="220"/>
      <c r="AR621" s="220"/>
      <c r="AS621" s="220"/>
      <c r="AT621" s="220"/>
      <c r="AU621" s="220"/>
    </row>
    <row r="622" ht="15.75" customHeight="1">
      <c r="A622" s="220"/>
      <c r="B622" s="220"/>
      <c r="C622" s="220"/>
      <c r="D622" s="220"/>
      <c r="E622" s="220"/>
      <c r="F622" s="220"/>
      <c r="G622" s="220"/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  <c r="W622" s="220"/>
      <c r="X622" s="220"/>
      <c r="Y622" s="220"/>
      <c r="Z622" s="220"/>
      <c r="AA622" s="220"/>
      <c r="AB622" s="220"/>
      <c r="AC622" s="220"/>
      <c r="AD622" s="220"/>
      <c r="AE622" s="220"/>
      <c r="AF622" s="220"/>
      <c r="AG622" s="220"/>
      <c r="AH622" s="220"/>
      <c r="AI622" s="220"/>
      <c r="AJ622" s="220"/>
      <c r="AK622" s="220"/>
      <c r="AL622" s="220"/>
      <c r="AM622" s="220"/>
      <c r="AN622" s="220"/>
      <c r="AO622" s="220"/>
      <c r="AP622" s="220"/>
      <c r="AQ622" s="220"/>
      <c r="AR622" s="220"/>
      <c r="AS622" s="220"/>
      <c r="AT622" s="220"/>
      <c r="AU622" s="220"/>
    </row>
    <row r="623" ht="15.75" customHeight="1">
      <c r="A623" s="220"/>
      <c r="B623" s="220"/>
      <c r="C623" s="220"/>
      <c r="D623" s="220"/>
      <c r="E623" s="220"/>
      <c r="F623" s="220"/>
      <c r="G623" s="220"/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  <c r="W623" s="220"/>
      <c r="X623" s="220"/>
      <c r="Y623" s="220"/>
      <c r="Z623" s="220"/>
      <c r="AA623" s="220"/>
      <c r="AB623" s="220"/>
      <c r="AC623" s="220"/>
      <c r="AD623" s="220"/>
      <c r="AE623" s="220"/>
      <c r="AF623" s="220"/>
      <c r="AG623" s="220"/>
      <c r="AH623" s="220"/>
      <c r="AI623" s="220"/>
      <c r="AJ623" s="220"/>
      <c r="AK623" s="220"/>
      <c r="AL623" s="220"/>
      <c r="AM623" s="220"/>
      <c r="AN623" s="220"/>
      <c r="AO623" s="220"/>
      <c r="AP623" s="220"/>
      <c r="AQ623" s="220"/>
      <c r="AR623" s="220"/>
      <c r="AS623" s="220"/>
      <c r="AT623" s="220"/>
      <c r="AU623" s="220"/>
    </row>
    <row r="624" ht="15.75" customHeight="1">
      <c r="A624" s="220"/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  <c r="W624" s="220"/>
      <c r="X624" s="220"/>
      <c r="Y624" s="220"/>
      <c r="Z624" s="220"/>
      <c r="AA624" s="220"/>
      <c r="AB624" s="220"/>
      <c r="AC624" s="220"/>
      <c r="AD624" s="220"/>
      <c r="AE624" s="220"/>
      <c r="AF624" s="220"/>
      <c r="AG624" s="220"/>
      <c r="AH624" s="220"/>
      <c r="AI624" s="220"/>
      <c r="AJ624" s="220"/>
      <c r="AK624" s="220"/>
      <c r="AL624" s="220"/>
      <c r="AM624" s="220"/>
      <c r="AN624" s="220"/>
      <c r="AO624" s="220"/>
      <c r="AP624" s="220"/>
      <c r="AQ624" s="220"/>
      <c r="AR624" s="220"/>
      <c r="AS624" s="220"/>
      <c r="AT624" s="220"/>
      <c r="AU624" s="220"/>
    </row>
    <row r="625" ht="15.75" customHeight="1">
      <c r="A625" s="220"/>
      <c r="B625" s="220"/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  <c r="W625" s="220"/>
      <c r="X625" s="220"/>
      <c r="Y625" s="220"/>
      <c r="Z625" s="220"/>
      <c r="AA625" s="220"/>
      <c r="AB625" s="220"/>
      <c r="AC625" s="220"/>
      <c r="AD625" s="220"/>
      <c r="AE625" s="220"/>
      <c r="AF625" s="220"/>
      <c r="AG625" s="220"/>
      <c r="AH625" s="220"/>
      <c r="AI625" s="220"/>
      <c r="AJ625" s="220"/>
      <c r="AK625" s="220"/>
      <c r="AL625" s="220"/>
      <c r="AM625" s="220"/>
      <c r="AN625" s="220"/>
      <c r="AO625" s="220"/>
      <c r="AP625" s="220"/>
      <c r="AQ625" s="220"/>
      <c r="AR625" s="220"/>
      <c r="AS625" s="220"/>
      <c r="AT625" s="220"/>
      <c r="AU625" s="220"/>
    </row>
    <row r="626" ht="15.75" customHeight="1">
      <c r="A626" s="220"/>
      <c r="B626" s="220"/>
      <c r="C626" s="220"/>
      <c r="D626" s="220"/>
      <c r="E626" s="220"/>
      <c r="F626" s="220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  <c r="W626" s="220"/>
      <c r="X626" s="220"/>
      <c r="Y626" s="220"/>
      <c r="Z626" s="220"/>
      <c r="AA626" s="220"/>
      <c r="AB626" s="220"/>
      <c r="AC626" s="220"/>
      <c r="AD626" s="220"/>
      <c r="AE626" s="220"/>
      <c r="AF626" s="220"/>
      <c r="AG626" s="220"/>
      <c r="AH626" s="220"/>
      <c r="AI626" s="220"/>
      <c r="AJ626" s="220"/>
      <c r="AK626" s="220"/>
      <c r="AL626" s="220"/>
      <c r="AM626" s="220"/>
      <c r="AN626" s="220"/>
      <c r="AO626" s="220"/>
      <c r="AP626" s="220"/>
      <c r="AQ626" s="220"/>
      <c r="AR626" s="220"/>
      <c r="AS626" s="220"/>
      <c r="AT626" s="220"/>
      <c r="AU626" s="220"/>
    </row>
    <row r="627" ht="15.75" customHeight="1">
      <c r="A627" s="220"/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  <c r="W627" s="220"/>
      <c r="X627" s="220"/>
      <c r="Y627" s="220"/>
      <c r="Z627" s="220"/>
      <c r="AA627" s="220"/>
      <c r="AB627" s="220"/>
      <c r="AC627" s="220"/>
      <c r="AD627" s="220"/>
      <c r="AE627" s="220"/>
      <c r="AF627" s="220"/>
      <c r="AG627" s="220"/>
      <c r="AH627" s="220"/>
      <c r="AI627" s="220"/>
      <c r="AJ627" s="220"/>
      <c r="AK627" s="220"/>
      <c r="AL627" s="220"/>
      <c r="AM627" s="220"/>
      <c r="AN627" s="220"/>
      <c r="AO627" s="220"/>
      <c r="AP627" s="220"/>
      <c r="AQ627" s="220"/>
      <c r="AR627" s="220"/>
      <c r="AS627" s="220"/>
      <c r="AT627" s="220"/>
      <c r="AU627" s="220"/>
    </row>
    <row r="628" ht="15.75" customHeight="1">
      <c r="A628" s="220"/>
      <c r="B628" s="220"/>
      <c r="C628" s="220"/>
      <c r="D628" s="220"/>
      <c r="E628" s="220"/>
      <c r="F628" s="220"/>
      <c r="G628" s="220"/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  <c r="W628" s="220"/>
      <c r="X628" s="220"/>
      <c r="Y628" s="220"/>
      <c r="Z628" s="220"/>
      <c r="AA628" s="220"/>
      <c r="AB628" s="220"/>
      <c r="AC628" s="220"/>
      <c r="AD628" s="220"/>
      <c r="AE628" s="220"/>
      <c r="AF628" s="220"/>
      <c r="AG628" s="220"/>
      <c r="AH628" s="220"/>
      <c r="AI628" s="220"/>
      <c r="AJ628" s="220"/>
      <c r="AK628" s="220"/>
      <c r="AL628" s="220"/>
      <c r="AM628" s="220"/>
      <c r="AN628" s="220"/>
      <c r="AO628" s="220"/>
      <c r="AP628" s="220"/>
      <c r="AQ628" s="220"/>
      <c r="AR628" s="220"/>
      <c r="AS628" s="220"/>
      <c r="AT628" s="220"/>
      <c r="AU628" s="220"/>
    </row>
    <row r="629" ht="15.75" customHeight="1">
      <c r="A629" s="220"/>
      <c r="B629" s="220"/>
      <c r="C629" s="220"/>
      <c r="D629" s="220"/>
      <c r="E629" s="220"/>
      <c r="F629" s="220"/>
      <c r="G629" s="220"/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  <c r="W629" s="220"/>
      <c r="X629" s="220"/>
      <c r="Y629" s="220"/>
      <c r="Z629" s="220"/>
      <c r="AA629" s="220"/>
      <c r="AB629" s="220"/>
      <c r="AC629" s="220"/>
      <c r="AD629" s="220"/>
      <c r="AE629" s="220"/>
      <c r="AF629" s="220"/>
      <c r="AG629" s="220"/>
      <c r="AH629" s="220"/>
      <c r="AI629" s="220"/>
      <c r="AJ629" s="220"/>
      <c r="AK629" s="220"/>
      <c r="AL629" s="220"/>
      <c r="AM629" s="220"/>
      <c r="AN629" s="220"/>
      <c r="AO629" s="220"/>
      <c r="AP629" s="220"/>
      <c r="AQ629" s="220"/>
      <c r="AR629" s="220"/>
      <c r="AS629" s="220"/>
      <c r="AT629" s="220"/>
      <c r="AU629" s="220"/>
    </row>
    <row r="630" ht="15.75" customHeight="1">
      <c r="A630" s="220"/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  <c r="W630" s="220"/>
      <c r="X630" s="220"/>
      <c r="Y630" s="220"/>
      <c r="Z630" s="220"/>
      <c r="AA630" s="220"/>
      <c r="AB630" s="220"/>
      <c r="AC630" s="220"/>
      <c r="AD630" s="220"/>
      <c r="AE630" s="220"/>
      <c r="AF630" s="220"/>
      <c r="AG630" s="220"/>
      <c r="AH630" s="220"/>
      <c r="AI630" s="220"/>
      <c r="AJ630" s="220"/>
      <c r="AK630" s="220"/>
      <c r="AL630" s="220"/>
      <c r="AM630" s="220"/>
      <c r="AN630" s="220"/>
      <c r="AO630" s="220"/>
      <c r="AP630" s="220"/>
      <c r="AQ630" s="220"/>
      <c r="AR630" s="220"/>
      <c r="AS630" s="220"/>
      <c r="AT630" s="220"/>
      <c r="AU630" s="220"/>
    </row>
    <row r="631" ht="15.75" customHeight="1">
      <c r="A631" s="220"/>
      <c r="B631" s="220"/>
      <c r="C631" s="220"/>
      <c r="D631" s="220"/>
      <c r="E631" s="220"/>
      <c r="F631" s="220"/>
      <c r="G631" s="220"/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  <c r="W631" s="220"/>
      <c r="X631" s="220"/>
      <c r="Y631" s="220"/>
      <c r="Z631" s="220"/>
      <c r="AA631" s="220"/>
      <c r="AB631" s="220"/>
      <c r="AC631" s="220"/>
      <c r="AD631" s="220"/>
      <c r="AE631" s="220"/>
      <c r="AF631" s="220"/>
      <c r="AG631" s="220"/>
      <c r="AH631" s="220"/>
      <c r="AI631" s="220"/>
      <c r="AJ631" s="220"/>
      <c r="AK631" s="220"/>
      <c r="AL631" s="220"/>
      <c r="AM631" s="220"/>
      <c r="AN631" s="220"/>
      <c r="AO631" s="220"/>
      <c r="AP631" s="220"/>
      <c r="AQ631" s="220"/>
      <c r="AR631" s="220"/>
      <c r="AS631" s="220"/>
      <c r="AT631" s="220"/>
      <c r="AU631" s="220"/>
    </row>
    <row r="632" ht="15.75" customHeight="1">
      <c r="A632" s="220"/>
      <c r="B632" s="220"/>
      <c r="C632" s="220"/>
      <c r="D632" s="220"/>
      <c r="E632" s="220"/>
      <c r="F632" s="220"/>
      <c r="G632" s="220"/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  <c r="W632" s="220"/>
      <c r="X632" s="220"/>
      <c r="Y632" s="220"/>
      <c r="Z632" s="220"/>
      <c r="AA632" s="220"/>
      <c r="AB632" s="220"/>
      <c r="AC632" s="220"/>
      <c r="AD632" s="220"/>
      <c r="AE632" s="220"/>
      <c r="AF632" s="220"/>
      <c r="AG632" s="220"/>
      <c r="AH632" s="220"/>
      <c r="AI632" s="220"/>
      <c r="AJ632" s="220"/>
      <c r="AK632" s="220"/>
      <c r="AL632" s="220"/>
      <c r="AM632" s="220"/>
      <c r="AN632" s="220"/>
      <c r="AO632" s="220"/>
      <c r="AP632" s="220"/>
      <c r="AQ632" s="220"/>
      <c r="AR632" s="220"/>
      <c r="AS632" s="220"/>
      <c r="AT632" s="220"/>
      <c r="AU632" s="220"/>
    </row>
    <row r="633" ht="15.75" customHeight="1">
      <c r="A633" s="220"/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  <c r="W633" s="220"/>
      <c r="X633" s="220"/>
      <c r="Y633" s="220"/>
      <c r="Z633" s="220"/>
      <c r="AA633" s="220"/>
      <c r="AB633" s="220"/>
      <c r="AC633" s="220"/>
      <c r="AD633" s="220"/>
      <c r="AE633" s="220"/>
      <c r="AF633" s="220"/>
      <c r="AG633" s="220"/>
      <c r="AH633" s="220"/>
      <c r="AI633" s="220"/>
      <c r="AJ633" s="220"/>
      <c r="AK633" s="220"/>
      <c r="AL633" s="220"/>
      <c r="AM633" s="220"/>
      <c r="AN633" s="220"/>
      <c r="AO633" s="220"/>
      <c r="AP633" s="220"/>
      <c r="AQ633" s="220"/>
      <c r="AR633" s="220"/>
      <c r="AS633" s="220"/>
      <c r="AT633" s="220"/>
      <c r="AU633" s="220"/>
    </row>
    <row r="634" ht="15.75" customHeight="1">
      <c r="A634" s="220"/>
      <c r="B634" s="220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  <c r="W634" s="220"/>
      <c r="X634" s="220"/>
      <c r="Y634" s="220"/>
      <c r="Z634" s="220"/>
      <c r="AA634" s="220"/>
      <c r="AB634" s="220"/>
      <c r="AC634" s="220"/>
      <c r="AD634" s="220"/>
      <c r="AE634" s="220"/>
      <c r="AF634" s="220"/>
      <c r="AG634" s="220"/>
      <c r="AH634" s="220"/>
      <c r="AI634" s="220"/>
      <c r="AJ634" s="220"/>
      <c r="AK634" s="220"/>
      <c r="AL634" s="220"/>
      <c r="AM634" s="220"/>
      <c r="AN634" s="220"/>
      <c r="AO634" s="220"/>
      <c r="AP634" s="220"/>
      <c r="AQ634" s="220"/>
      <c r="AR634" s="220"/>
      <c r="AS634" s="220"/>
      <c r="AT634" s="220"/>
      <c r="AU634" s="220"/>
    </row>
    <row r="635" ht="15.75" customHeight="1">
      <c r="A635" s="220"/>
      <c r="B635" s="220"/>
      <c r="C635" s="220"/>
      <c r="D635" s="220"/>
      <c r="E635" s="220"/>
      <c r="F635" s="220"/>
      <c r="G635" s="220"/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  <c r="W635" s="220"/>
      <c r="X635" s="220"/>
      <c r="Y635" s="220"/>
      <c r="Z635" s="220"/>
      <c r="AA635" s="220"/>
      <c r="AB635" s="220"/>
      <c r="AC635" s="220"/>
      <c r="AD635" s="220"/>
      <c r="AE635" s="220"/>
      <c r="AF635" s="220"/>
      <c r="AG635" s="220"/>
      <c r="AH635" s="220"/>
      <c r="AI635" s="220"/>
      <c r="AJ635" s="220"/>
      <c r="AK635" s="220"/>
      <c r="AL635" s="220"/>
      <c r="AM635" s="220"/>
      <c r="AN635" s="220"/>
      <c r="AO635" s="220"/>
      <c r="AP635" s="220"/>
      <c r="AQ635" s="220"/>
      <c r="AR635" s="220"/>
      <c r="AS635" s="220"/>
      <c r="AT635" s="220"/>
      <c r="AU635" s="220"/>
    </row>
    <row r="636" ht="15.75" customHeight="1">
      <c r="A636" s="220"/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  <c r="W636" s="220"/>
      <c r="X636" s="220"/>
      <c r="Y636" s="220"/>
      <c r="Z636" s="220"/>
      <c r="AA636" s="220"/>
      <c r="AB636" s="220"/>
      <c r="AC636" s="220"/>
      <c r="AD636" s="220"/>
      <c r="AE636" s="220"/>
      <c r="AF636" s="220"/>
      <c r="AG636" s="220"/>
      <c r="AH636" s="220"/>
      <c r="AI636" s="220"/>
      <c r="AJ636" s="220"/>
      <c r="AK636" s="220"/>
      <c r="AL636" s="220"/>
      <c r="AM636" s="220"/>
      <c r="AN636" s="220"/>
      <c r="AO636" s="220"/>
      <c r="AP636" s="220"/>
      <c r="AQ636" s="220"/>
      <c r="AR636" s="220"/>
      <c r="AS636" s="220"/>
      <c r="AT636" s="220"/>
      <c r="AU636" s="220"/>
    </row>
    <row r="637" ht="15.75" customHeight="1">
      <c r="A637" s="220"/>
      <c r="B637" s="220"/>
      <c r="C637" s="220"/>
      <c r="D637" s="220"/>
      <c r="E637" s="220"/>
      <c r="F637" s="220"/>
      <c r="G637" s="220"/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  <c r="W637" s="220"/>
      <c r="X637" s="220"/>
      <c r="Y637" s="220"/>
      <c r="Z637" s="220"/>
      <c r="AA637" s="220"/>
      <c r="AB637" s="220"/>
      <c r="AC637" s="220"/>
      <c r="AD637" s="220"/>
      <c r="AE637" s="220"/>
      <c r="AF637" s="220"/>
      <c r="AG637" s="220"/>
      <c r="AH637" s="220"/>
      <c r="AI637" s="220"/>
      <c r="AJ637" s="220"/>
      <c r="AK637" s="220"/>
      <c r="AL637" s="220"/>
      <c r="AM637" s="220"/>
      <c r="AN637" s="220"/>
      <c r="AO637" s="220"/>
      <c r="AP637" s="220"/>
      <c r="AQ637" s="220"/>
      <c r="AR637" s="220"/>
      <c r="AS637" s="220"/>
      <c r="AT637" s="220"/>
      <c r="AU637" s="220"/>
    </row>
    <row r="638" ht="15.75" customHeight="1">
      <c r="A638" s="220"/>
      <c r="B638" s="220"/>
      <c r="C638" s="220"/>
      <c r="D638" s="220"/>
      <c r="E638" s="220"/>
      <c r="F638" s="220"/>
      <c r="G638" s="220"/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  <c r="W638" s="220"/>
      <c r="X638" s="220"/>
      <c r="Y638" s="220"/>
      <c r="Z638" s="220"/>
      <c r="AA638" s="220"/>
      <c r="AB638" s="220"/>
      <c r="AC638" s="220"/>
      <c r="AD638" s="220"/>
      <c r="AE638" s="220"/>
      <c r="AF638" s="220"/>
      <c r="AG638" s="220"/>
      <c r="AH638" s="220"/>
      <c r="AI638" s="220"/>
      <c r="AJ638" s="220"/>
      <c r="AK638" s="220"/>
      <c r="AL638" s="220"/>
      <c r="AM638" s="220"/>
      <c r="AN638" s="220"/>
      <c r="AO638" s="220"/>
      <c r="AP638" s="220"/>
      <c r="AQ638" s="220"/>
      <c r="AR638" s="220"/>
      <c r="AS638" s="220"/>
      <c r="AT638" s="220"/>
      <c r="AU638" s="220"/>
    </row>
    <row r="639" ht="15.75" customHeight="1">
      <c r="A639" s="220"/>
      <c r="B639" s="220"/>
      <c r="C639" s="220"/>
      <c r="D639" s="220"/>
      <c r="E639" s="220"/>
      <c r="F639" s="220"/>
      <c r="G639" s="220"/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  <c r="W639" s="220"/>
      <c r="X639" s="220"/>
      <c r="Y639" s="220"/>
      <c r="Z639" s="220"/>
      <c r="AA639" s="220"/>
      <c r="AB639" s="220"/>
      <c r="AC639" s="220"/>
      <c r="AD639" s="220"/>
      <c r="AE639" s="220"/>
      <c r="AF639" s="220"/>
      <c r="AG639" s="220"/>
      <c r="AH639" s="220"/>
      <c r="AI639" s="220"/>
      <c r="AJ639" s="220"/>
      <c r="AK639" s="220"/>
      <c r="AL639" s="220"/>
      <c r="AM639" s="220"/>
      <c r="AN639" s="220"/>
      <c r="AO639" s="220"/>
      <c r="AP639" s="220"/>
      <c r="AQ639" s="220"/>
      <c r="AR639" s="220"/>
      <c r="AS639" s="220"/>
      <c r="AT639" s="220"/>
      <c r="AU639" s="220"/>
    </row>
    <row r="640" ht="15.75" customHeight="1">
      <c r="A640" s="220"/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  <c r="W640" s="220"/>
      <c r="X640" s="220"/>
      <c r="Y640" s="220"/>
      <c r="Z640" s="220"/>
      <c r="AA640" s="220"/>
      <c r="AB640" s="220"/>
      <c r="AC640" s="220"/>
      <c r="AD640" s="220"/>
      <c r="AE640" s="220"/>
      <c r="AF640" s="220"/>
      <c r="AG640" s="220"/>
      <c r="AH640" s="220"/>
      <c r="AI640" s="220"/>
      <c r="AJ640" s="220"/>
      <c r="AK640" s="220"/>
      <c r="AL640" s="220"/>
      <c r="AM640" s="220"/>
      <c r="AN640" s="220"/>
      <c r="AO640" s="220"/>
      <c r="AP640" s="220"/>
      <c r="AQ640" s="220"/>
      <c r="AR640" s="220"/>
      <c r="AS640" s="220"/>
      <c r="AT640" s="220"/>
      <c r="AU640" s="220"/>
    </row>
    <row r="641" ht="15.75" customHeight="1">
      <c r="A641" s="220"/>
      <c r="B641" s="220"/>
      <c r="C641" s="220"/>
      <c r="D641" s="220"/>
      <c r="E641" s="220"/>
      <c r="F641" s="220"/>
      <c r="G641" s="220"/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  <c r="W641" s="220"/>
      <c r="X641" s="220"/>
      <c r="Y641" s="220"/>
      <c r="Z641" s="220"/>
      <c r="AA641" s="220"/>
      <c r="AB641" s="220"/>
      <c r="AC641" s="220"/>
      <c r="AD641" s="220"/>
      <c r="AE641" s="220"/>
      <c r="AF641" s="220"/>
      <c r="AG641" s="220"/>
      <c r="AH641" s="220"/>
      <c r="AI641" s="220"/>
      <c r="AJ641" s="220"/>
      <c r="AK641" s="220"/>
      <c r="AL641" s="220"/>
      <c r="AM641" s="220"/>
      <c r="AN641" s="220"/>
      <c r="AO641" s="220"/>
      <c r="AP641" s="220"/>
      <c r="AQ641" s="220"/>
      <c r="AR641" s="220"/>
      <c r="AS641" s="220"/>
      <c r="AT641" s="220"/>
      <c r="AU641" s="220"/>
    </row>
    <row r="642" ht="15.75" customHeight="1">
      <c r="A642" s="220"/>
      <c r="B642" s="220"/>
      <c r="C642" s="220"/>
      <c r="D642" s="220"/>
      <c r="E642" s="220"/>
      <c r="F642" s="220"/>
      <c r="G642" s="220"/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  <c r="W642" s="220"/>
      <c r="X642" s="220"/>
      <c r="Y642" s="220"/>
      <c r="Z642" s="220"/>
      <c r="AA642" s="220"/>
      <c r="AB642" s="220"/>
      <c r="AC642" s="220"/>
      <c r="AD642" s="220"/>
      <c r="AE642" s="220"/>
      <c r="AF642" s="220"/>
      <c r="AG642" s="220"/>
      <c r="AH642" s="220"/>
      <c r="AI642" s="220"/>
      <c r="AJ642" s="220"/>
      <c r="AK642" s="220"/>
      <c r="AL642" s="220"/>
      <c r="AM642" s="220"/>
      <c r="AN642" s="220"/>
      <c r="AO642" s="220"/>
      <c r="AP642" s="220"/>
      <c r="AQ642" s="220"/>
      <c r="AR642" s="220"/>
      <c r="AS642" s="220"/>
      <c r="AT642" s="220"/>
      <c r="AU642" s="220"/>
    </row>
    <row r="643" ht="15.75" customHeight="1">
      <c r="A643" s="220"/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  <c r="W643" s="220"/>
      <c r="X643" s="220"/>
      <c r="Y643" s="220"/>
      <c r="Z643" s="220"/>
      <c r="AA643" s="220"/>
      <c r="AB643" s="220"/>
      <c r="AC643" s="220"/>
      <c r="AD643" s="220"/>
      <c r="AE643" s="220"/>
      <c r="AF643" s="220"/>
      <c r="AG643" s="220"/>
      <c r="AH643" s="220"/>
      <c r="AI643" s="220"/>
      <c r="AJ643" s="220"/>
      <c r="AK643" s="220"/>
      <c r="AL643" s="220"/>
      <c r="AM643" s="220"/>
      <c r="AN643" s="220"/>
      <c r="AO643" s="220"/>
      <c r="AP643" s="220"/>
      <c r="AQ643" s="220"/>
      <c r="AR643" s="220"/>
      <c r="AS643" s="220"/>
      <c r="AT643" s="220"/>
      <c r="AU643" s="220"/>
    </row>
    <row r="644" ht="15.75" customHeight="1">
      <c r="A644" s="220"/>
      <c r="B644" s="220"/>
      <c r="C644" s="220"/>
      <c r="D644" s="220"/>
      <c r="E644" s="220"/>
      <c r="F644" s="220"/>
      <c r="G644" s="220"/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  <c r="W644" s="220"/>
      <c r="X644" s="220"/>
      <c r="Y644" s="220"/>
      <c r="Z644" s="220"/>
      <c r="AA644" s="220"/>
      <c r="AB644" s="220"/>
      <c r="AC644" s="220"/>
      <c r="AD644" s="220"/>
      <c r="AE644" s="220"/>
      <c r="AF644" s="220"/>
      <c r="AG644" s="220"/>
      <c r="AH644" s="220"/>
      <c r="AI644" s="220"/>
      <c r="AJ644" s="220"/>
      <c r="AK644" s="220"/>
      <c r="AL644" s="220"/>
      <c r="AM644" s="220"/>
      <c r="AN644" s="220"/>
      <c r="AO644" s="220"/>
      <c r="AP644" s="220"/>
      <c r="AQ644" s="220"/>
      <c r="AR644" s="220"/>
      <c r="AS644" s="220"/>
      <c r="AT644" s="220"/>
      <c r="AU644" s="220"/>
    </row>
    <row r="645" ht="15.75" customHeight="1">
      <c r="A645" s="220"/>
      <c r="B645" s="220"/>
      <c r="C645" s="220"/>
      <c r="D645" s="220"/>
      <c r="E645" s="220"/>
      <c r="F645" s="220"/>
      <c r="G645" s="220"/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  <c r="W645" s="220"/>
      <c r="X645" s="220"/>
      <c r="Y645" s="220"/>
      <c r="Z645" s="220"/>
      <c r="AA645" s="220"/>
      <c r="AB645" s="220"/>
      <c r="AC645" s="220"/>
      <c r="AD645" s="220"/>
      <c r="AE645" s="220"/>
      <c r="AF645" s="220"/>
      <c r="AG645" s="220"/>
      <c r="AH645" s="220"/>
      <c r="AI645" s="220"/>
      <c r="AJ645" s="220"/>
      <c r="AK645" s="220"/>
      <c r="AL645" s="220"/>
      <c r="AM645" s="220"/>
      <c r="AN645" s="220"/>
      <c r="AO645" s="220"/>
      <c r="AP645" s="220"/>
      <c r="AQ645" s="220"/>
      <c r="AR645" s="220"/>
      <c r="AS645" s="220"/>
      <c r="AT645" s="220"/>
      <c r="AU645" s="220"/>
    </row>
    <row r="646" ht="15.75" customHeight="1">
      <c r="A646" s="220"/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  <c r="W646" s="220"/>
      <c r="X646" s="220"/>
      <c r="Y646" s="220"/>
      <c r="Z646" s="220"/>
      <c r="AA646" s="220"/>
      <c r="AB646" s="220"/>
      <c r="AC646" s="220"/>
      <c r="AD646" s="220"/>
      <c r="AE646" s="220"/>
      <c r="AF646" s="220"/>
      <c r="AG646" s="220"/>
      <c r="AH646" s="220"/>
      <c r="AI646" s="220"/>
      <c r="AJ646" s="220"/>
      <c r="AK646" s="220"/>
      <c r="AL646" s="220"/>
      <c r="AM646" s="220"/>
      <c r="AN646" s="220"/>
      <c r="AO646" s="220"/>
      <c r="AP646" s="220"/>
      <c r="AQ646" s="220"/>
      <c r="AR646" s="220"/>
      <c r="AS646" s="220"/>
      <c r="AT646" s="220"/>
      <c r="AU646" s="220"/>
    </row>
    <row r="647" ht="15.75" customHeight="1">
      <c r="A647" s="220"/>
      <c r="B647" s="220"/>
      <c r="C647" s="220"/>
      <c r="D647" s="220"/>
      <c r="E647" s="220"/>
      <c r="F647" s="220"/>
      <c r="G647" s="220"/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  <c r="W647" s="220"/>
      <c r="X647" s="220"/>
      <c r="Y647" s="220"/>
      <c r="Z647" s="220"/>
      <c r="AA647" s="220"/>
      <c r="AB647" s="220"/>
      <c r="AC647" s="220"/>
      <c r="AD647" s="220"/>
      <c r="AE647" s="220"/>
      <c r="AF647" s="220"/>
      <c r="AG647" s="220"/>
      <c r="AH647" s="220"/>
      <c r="AI647" s="220"/>
      <c r="AJ647" s="220"/>
      <c r="AK647" s="220"/>
      <c r="AL647" s="220"/>
      <c r="AM647" s="220"/>
      <c r="AN647" s="220"/>
      <c r="AO647" s="220"/>
      <c r="AP647" s="220"/>
      <c r="AQ647" s="220"/>
      <c r="AR647" s="220"/>
      <c r="AS647" s="220"/>
      <c r="AT647" s="220"/>
      <c r="AU647" s="220"/>
    </row>
    <row r="648" ht="15.75" customHeight="1">
      <c r="A648" s="220"/>
      <c r="B648" s="220"/>
      <c r="C648" s="220"/>
      <c r="D648" s="220"/>
      <c r="E648" s="220"/>
      <c r="F648" s="220"/>
      <c r="G648" s="220"/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  <c r="W648" s="220"/>
      <c r="X648" s="220"/>
      <c r="Y648" s="220"/>
      <c r="Z648" s="220"/>
      <c r="AA648" s="220"/>
      <c r="AB648" s="220"/>
      <c r="AC648" s="220"/>
      <c r="AD648" s="220"/>
      <c r="AE648" s="220"/>
      <c r="AF648" s="220"/>
      <c r="AG648" s="220"/>
      <c r="AH648" s="220"/>
      <c r="AI648" s="220"/>
      <c r="AJ648" s="220"/>
      <c r="AK648" s="220"/>
      <c r="AL648" s="220"/>
      <c r="AM648" s="220"/>
      <c r="AN648" s="220"/>
      <c r="AO648" s="220"/>
      <c r="AP648" s="220"/>
      <c r="AQ648" s="220"/>
      <c r="AR648" s="220"/>
      <c r="AS648" s="220"/>
      <c r="AT648" s="220"/>
      <c r="AU648" s="220"/>
    </row>
    <row r="649" ht="15.75" customHeight="1">
      <c r="A649" s="220"/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  <c r="W649" s="220"/>
      <c r="X649" s="220"/>
      <c r="Y649" s="220"/>
      <c r="Z649" s="220"/>
      <c r="AA649" s="220"/>
      <c r="AB649" s="220"/>
      <c r="AC649" s="220"/>
      <c r="AD649" s="220"/>
      <c r="AE649" s="220"/>
      <c r="AF649" s="220"/>
      <c r="AG649" s="220"/>
      <c r="AH649" s="220"/>
      <c r="AI649" s="220"/>
      <c r="AJ649" s="220"/>
      <c r="AK649" s="220"/>
      <c r="AL649" s="220"/>
      <c r="AM649" s="220"/>
      <c r="AN649" s="220"/>
      <c r="AO649" s="220"/>
      <c r="AP649" s="220"/>
      <c r="AQ649" s="220"/>
      <c r="AR649" s="220"/>
      <c r="AS649" s="220"/>
      <c r="AT649" s="220"/>
      <c r="AU649" s="220"/>
    </row>
    <row r="650" ht="15.75" customHeight="1">
      <c r="A650" s="220"/>
      <c r="B650" s="220"/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  <c r="W650" s="220"/>
      <c r="X650" s="220"/>
      <c r="Y650" s="220"/>
      <c r="Z650" s="220"/>
      <c r="AA650" s="220"/>
      <c r="AB650" s="220"/>
      <c r="AC650" s="220"/>
      <c r="AD650" s="220"/>
      <c r="AE650" s="220"/>
      <c r="AF650" s="220"/>
      <c r="AG650" s="220"/>
      <c r="AH650" s="220"/>
      <c r="AI650" s="220"/>
      <c r="AJ650" s="220"/>
      <c r="AK650" s="220"/>
      <c r="AL650" s="220"/>
      <c r="AM650" s="220"/>
      <c r="AN650" s="220"/>
      <c r="AO650" s="220"/>
      <c r="AP650" s="220"/>
      <c r="AQ650" s="220"/>
      <c r="AR650" s="220"/>
      <c r="AS650" s="220"/>
      <c r="AT650" s="220"/>
      <c r="AU650" s="220"/>
    </row>
    <row r="651" ht="15.75" customHeight="1">
      <c r="A651" s="220"/>
      <c r="B651" s="220"/>
      <c r="C651" s="220"/>
      <c r="D651" s="220"/>
      <c r="E651" s="220"/>
      <c r="F651" s="220"/>
      <c r="G651" s="220"/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  <c r="W651" s="220"/>
      <c r="X651" s="220"/>
      <c r="Y651" s="220"/>
      <c r="Z651" s="220"/>
      <c r="AA651" s="220"/>
      <c r="AB651" s="220"/>
      <c r="AC651" s="220"/>
      <c r="AD651" s="220"/>
      <c r="AE651" s="220"/>
      <c r="AF651" s="220"/>
      <c r="AG651" s="220"/>
      <c r="AH651" s="220"/>
      <c r="AI651" s="220"/>
      <c r="AJ651" s="220"/>
      <c r="AK651" s="220"/>
      <c r="AL651" s="220"/>
      <c r="AM651" s="220"/>
      <c r="AN651" s="220"/>
      <c r="AO651" s="220"/>
      <c r="AP651" s="220"/>
      <c r="AQ651" s="220"/>
      <c r="AR651" s="220"/>
      <c r="AS651" s="220"/>
      <c r="AT651" s="220"/>
      <c r="AU651" s="220"/>
    </row>
    <row r="652" ht="15.75" customHeight="1">
      <c r="A652" s="220"/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  <c r="W652" s="220"/>
      <c r="X652" s="220"/>
      <c r="Y652" s="220"/>
      <c r="Z652" s="220"/>
      <c r="AA652" s="220"/>
      <c r="AB652" s="220"/>
      <c r="AC652" s="220"/>
      <c r="AD652" s="220"/>
      <c r="AE652" s="220"/>
      <c r="AF652" s="220"/>
      <c r="AG652" s="220"/>
      <c r="AH652" s="220"/>
      <c r="AI652" s="220"/>
      <c r="AJ652" s="220"/>
      <c r="AK652" s="220"/>
      <c r="AL652" s="220"/>
      <c r="AM652" s="220"/>
      <c r="AN652" s="220"/>
      <c r="AO652" s="220"/>
      <c r="AP652" s="220"/>
      <c r="AQ652" s="220"/>
      <c r="AR652" s="220"/>
      <c r="AS652" s="220"/>
      <c r="AT652" s="220"/>
      <c r="AU652" s="220"/>
    </row>
    <row r="653" ht="15.75" customHeight="1">
      <c r="A653" s="220"/>
      <c r="B653" s="220"/>
      <c r="C653" s="220"/>
      <c r="D653" s="220"/>
      <c r="E653" s="220"/>
      <c r="F653" s="220"/>
      <c r="G653" s="220"/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  <c r="W653" s="220"/>
      <c r="X653" s="220"/>
      <c r="Y653" s="220"/>
      <c r="Z653" s="220"/>
      <c r="AA653" s="220"/>
      <c r="AB653" s="220"/>
      <c r="AC653" s="220"/>
      <c r="AD653" s="220"/>
      <c r="AE653" s="220"/>
      <c r="AF653" s="220"/>
      <c r="AG653" s="220"/>
      <c r="AH653" s="220"/>
      <c r="AI653" s="220"/>
      <c r="AJ653" s="220"/>
      <c r="AK653" s="220"/>
      <c r="AL653" s="220"/>
      <c r="AM653" s="220"/>
      <c r="AN653" s="220"/>
      <c r="AO653" s="220"/>
      <c r="AP653" s="220"/>
      <c r="AQ653" s="220"/>
      <c r="AR653" s="220"/>
      <c r="AS653" s="220"/>
      <c r="AT653" s="220"/>
      <c r="AU653" s="220"/>
    </row>
    <row r="654" ht="15.75" customHeight="1">
      <c r="A654" s="220"/>
      <c r="B654" s="220"/>
      <c r="C654" s="220"/>
      <c r="D654" s="220"/>
      <c r="E654" s="220"/>
      <c r="F654" s="220"/>
      <c r="G654" s="220"/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  <c r="W654" s="220"/>
      <c r="X654" s="220"/>
      <c r="Y654" s="220"/>
      <c r="Z654" s="220"/>
      <c r="AA654" s="220"/>
      <c r="AB654" s="220"/>
      <c r="AC654" s="220"/>
      <c r="AD654" s="220"/>
      <c r="AE654" s="220"/>
      <c r="AF654" s="220"/>
      <c r="AG654" s="220"/>
      <c r="AH654" s="220"/>
      <c r="AI654" s="220"/>
      <c r="AJ654" s="220"/>
      <c r="AK654" s="220"/>
      <c r="AL654" s="220"/>
      <c r="AM654" s="220"/>
      <c r="AN654" s="220"/>
      <c r="AO654" s="220"/>
      <c r="AP654" s="220"/>
      <c r="AQ654" s="220"/>
      <c r="AR654" s="220"/>
      <c r="AS654" s="220"/>
      <c r="AT654" s="220"/>
      <c r="AU654" s="220"/>
    </row>
    <row r="655" ht="15.75" customHeight="1">
      <c r="A655" s="220"/>
      <c r="B655" s="220"/>
      <c r="C655" s="220"/>
      <c r="D655" s="220"/>
      <c r="E655" s="220"/>
      <c r="F655" s="220"/>
      <c r="G655" s="220"/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  <c r="W655" s="220"/>
      <c r="X655" s="220"/>
      <c r="Y655" s="220"/>
      <c r="Z655" s="220"/>
      <c r="AA655" s="220"/>
      <c r="AB655" s="220"/>
      <c r="AC655" s="220"/>
      <c r="AD655" s="220"/>
      <c r="AE655" s="220"/>
      <c r="AF655" s="220"/>
      <c r="AG655" s="220"/>
      <c r="AH655" s="220"/>
      <c r="AI655" s="220"/>
      <c r="AJ655" s="220"/>
      <c r="AK655" s="220"/>
      <c r="AL655" s="220"/>
      <c r="AM655" s="220"/>
      <c r="AN655" s="220"/>
      <c r="AO655" s="220"/>
      <c r="AP655" s="220"/>
      <c r="AQ655" s="220"/>
      <c r="AR655" s="220"/>
      <c r="AS655" s="220"/>
      <c r="AT655" s="220"/>
      <c r="AU655" s="220"/>
    </row>
    <row r="656" ht="15.75" customHeight="1">
      <c r="A656" s="220"/>
      <c r="B656" s="220"/>
      <c r="C656" s="220"/>
      <c r="D656" s="220"/>
      <c r="E656" s="220"/>
      <c r="F656" s="220"/>
      <c r="G656" s="220"/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  <c r="W656" s="220"/>
      <c r="X656" s="220"/>
      <c r="Y656" s="220"/>
      <c r="Z656" s="220"/>
      <c r="AA656" s="220"/>
      <c r="AB656" s="220"/>
      <c r="AC656" s="220"/>
      <c r="AD656" s="220"/>
      <c r="AE656" s="220"/>
      <c r="AF656" s="220"/>
      <c r="AG656" s="220"/>
      <c r="AH656" s="220"/>
      <c r="AI656" s="220"/>
      <c r="AJ656" s="220"/>
      <c r="AK656" s="220"/>
      <c r="AL656" s="220"/>
      <c r="AM656" s="220"/>
      <c r="AN656" s="220"/>
      <c r="AO656" s="220"/>
      <c r="AP656" s="220"/>
      <c r="AQ656" s="220"/>
      <c r="AR656" s="220"/>
      <c r="AS656" s="220"/>
      <c r="AT656" s="220"/>
      <c r="AU656" s="220"/>
    </row>
    <row r="657" ht="15.75" customHeight="1">
      <c r="A657" s="220"/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220"/>
      <c r="Y657" s="220"/>
      <c r="Z657" s="220"/>
      <c r="AA657" s="220"/>
      <c r="AB657" s="220"/>
      <c r="AC657" s="220"/>
      <c r="AD657" s="220"/>
      <c r="AE657" s="220"/>
      <c r="AF657" s="220"/>
      <c r="AG657" s="220"/>
      <c r="AH657" s="220"/>
      <c r="AI657" s="220"/>
      <c r="AJ657" s="220"/>
      <c r="AK657" s="220"/>
      <c r="AL657" s="220"/>
      <c r="AM657" s="220"/>
      <c r="AN657" s="220"/>
      <c r="AO657" s="220"/>
      <c r="AP657" s="220"/>
      <c r="AQ657" s="220"/>
      <c r="AR657" s="220"/>
      <c r="AS657" s="220"/>
      <c r="AT657" s="220"/>
      <c r="AU657" s="220"/>
    </row>
    <row r="658" ht="15.75" customHeight="1">
      <c r="A658" s="220"/>
      <c r="B658" s="220"/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  <c r="W658" s="220"/>
      <c r="X658" s="220"/>
      <c r="Y658" s="220"/>
      <c r="Z658" s="220"/>
      <c r="AA658" s="220"/>
      <c r="AB658" s="220"/>
      <c r="AC658" s="220"/>
      <c r="AD658" s="220"/>
      <c r="AE658" s="220"/>
      <c r="AF658" s="220"/>
      <c r="AG658" s="220"/>
      <c r="AH658" s="220"/>
      <c r="AI658" s="220"/>
      <c r="AJ658" s="220"/>
      <c r="AK658" s="220"/>
      <c r="AL658" s="220"/>
      <c r="AM658" s="220"/>
      <c r="AN658" s="220"/>
      <c r="AO658" s="220"/>
      <c r="AP658" s="220"/>
      <c r="AQ658" s="220"/>
      <c r="AR658" s="220"/>
      <c r="AS658" s="220"/>
      <c r="AT658" s="220"/>
      <c r="AU658" s="220"/>
    </row>
    <row r="659" ht="15.75" customHeight="1">
      <c r="A659" s="220"/>
      <c r="B659" s="220"/>
      <c r="C659" s="220"/>
      <c r="D659" s="220"/>
      <c r="E659" s="220"/>
      <c r="F659" s="220"/>
      <c r="G659" s="220"/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  <c r="W659" s="220"/>
      <c r="X659" s="220"/>
      <c r="Y659" s="220"/>
      <c r="Z659" s="220"/>
      <c r="AA659" s="220"/>
      <c r="AB659" s="220"/>
      <c r="AC659" s="220"/>
      <c r="AD659" s="220"/>
      <c r="AE659" s="220"/>
      <c r="AF659" s="220"/>
      <c r="AG659" s="220"/>
      <c r="AH659" s="220"/>
      <c r="AI659" s="220"/>
      <c r="AJ659" s="220"/>
      <c r="AK659" s="220"/>
      <c r="AL659" s="220"/>
      <c r="AM659" s="220"/>
      <c r="AN659" s="220"/>
      <c r="AO659" s="220"/>
      <c r="AP659" s="220"/>
      <c r="AQ659" s="220"/>
      <c r="AR659" s="220"/>
      <c r="AS659" s="220"/>
      <c r="AT659" s="220"/>
      <c r="AU659" s="220"/>
    </row>
    <row r="660" ht="15.75" customHeight="1">
      <c r="A660" s="220"/>
      <c r="B660" s="220"/>
      <c r="C660" s="220"/>
      <c r="D660" s="220"/>
      <c r="E660" s="220"/>
      <c r="F660" s="220"/>
      <c r="G660" s="220"/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  <c r="W660" s="220"/>
      <c r="X660" s="220"/>
      <c r="Y660" s="220"/>
      <c r="Z660" s="220"/>
      <c r="AA660" s="220"/>
      <c r="AB660" s="220"/>
      <c r="AC660" s="220"/>
      <c r="AD660" s="220"/>
      <c r="AE660" s="220"/>
      <c r="AF660" s="220"/>
      <c r="AG660" s="220"/>
      <c r="AH660" s="220"/>
      <c r="AI660" s="220"/>
      <c r="AJ660" s="220"/>
      <c r="AK660" s="220"/>
      <c r="AL660" s="220"/>
      <c r="AM660" s="220"/>
      <c r="AN660" s="220"/>
      <c r="AO660" s="220"/>
      <c r="AP660" s="220"/>
      <c r="AQ660" s="220"/>
      <c r="AR660" s="220"/>
      <c r="AS660" s="220"/>
      <c r="AT660" s="220"/>
      <c r="AU660" s="220"/>
    </row>
    <row r="661" ht="15.75" customHeight="1">
      <c r="A661" s="220"/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  <c r="W661" s="220"/>
      <c r="X661" s="220"/>
      <c r="Y661" s="220"/>
      <c r="Z661" s="220"/>
      <c r="AA661" s="220"/>
      <c r="AB661" s="220"/>
      <c r="AC661" s="220"/>
      <c r="AD661" s="220"/>
      <c r="AE661" s="220"/>
      <c r="AF661" s="220"/>
      <c r="AG661" s="220"/>
      <c r="AH661" s="220"/>
      <c r="AI661" s="220"/>
      <c r="AJ661" s="220"/>
      <c r="AK661" s="220"/>
      <c r="AL661" s="220"/>
      <c r="AM661" s="220"/>
      <c r="AN661" s="220"/>
      <c r="AO661" s="220"/>
      <c r="AP661" s="220"/>
      <c r="AQ661" s="220"/>
      <c r="AR661" s="220"/>
      <c r="AS661" s="220"/>
      <c r="AT661" s="220"/>
      <c r="AU661" s="220"/>
    </row>
    <row r="662" ht="15.75" customHeight="1">
      <c r="A662" s="220"/>
      <c r="B662" s="220"/>
      <c r="C662" s="220"/>
      <c r="D662" s="220"/>
      <c r="E662" s="220"/>
      <c r="F662" s="220"/>
      <c r="G662" s="220"/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  <c r="W662" s="220"/>
      <c r="X662" s="220"/>
      <c r="Y662" s="220"/>
      <c r="Z662" s="220"/>
      <c r="AA662" s="220"/>
      <c r="AB662" s="220"/>
      <c r="AC662" s="220"/>
      <c r="AD662" s="220"/>
      <c r="AE662" s="220"/>
      <c r="AF662" s="220"/>
      <c r="AG662" s="220"/>
      <c r="AH662" s="220"/>
      <c r="AI662" s="220"/>
      <c r="AJ662" s="220"/>
      <c r="AK662" s="220"/>
      <c r="AL662" s="220"/>
      <c r="AM662" s="220"/>
      <c r="AN662" s="220"/>
      <c r="AO662" s="220"/>
      <c r="AP662" s="220"/>
      <c r="AQ662" s="220"/>
      <c r="AR662" s="220"/>
      <c r="AS662" s="220"/>
      <c r="AT662" s="220"/>
      <c r="AU662" s="220"/>
    </row>
    <row r="663" ht="15.75" customHeight="1">
      <c r="A663" s="220"/>
      <c r="B663" s="220"/>
      <c r="C663" s="220"/>
      <c r="D663" s="220"/>
      <c r="E663" s="220"/>
      <c r="F663" s="220"/>
      <c r="G663" s="220"/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  <c r="W663" s="220"/>
      <c r="X663" s="220"/>
      <c r="Y663" s="220"/>
      <c r="Z663" s="220"/>
      <c r="AA663" s="220"/>
      <c r="AB663" s="220"/>
      <c r="AC663" s="220"/>
      <c r="AD663" s="220"/>
      <c r="AE663" s="220"/>
      <c r="AF663" s="220"/>
      <c r="AG663" s="220"/>
      <c r="AH663" s="220"/>
      <c r="AI663" s="220"/>
      <c r="AJ663" s="220"/>
      <c r="AK663" s="220"/>
      <c r="AL663" s="220"/>
      <c r="AM663" s="220"/>
      <c r="AN663" s="220"/>
      <c r="AO663" s="220"/>
      <c r="AP663" s="220"/>
      <c r="AQ663" s="220"/>
      <c r="AR663" s="220"/>
      <c r="AS663" s="220"/>
      <c r="AT663" s="220"/>
      <c r="AU663" s="220"/>
    </row>
    <row r="664" ht="15.75" customHeight="1">
      <c r="A664" s="220"/>
      <c r="B664" s="220"/>
      <c r="C664" s="220"/>
      <c r="D664" s="220"/>
      <c r="E664" s="220"/>
      <c r="F664" s="220"/>
      <c r="G664" s="220"/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  <c r="W664" s="220"/>
      <c r="X664" s="220"/>
      <c r="Y664" s="220"/>
      <c r="Z664" s="220"/>
      <c r="AA664" s="220"/>
      <c r="AB664" s="220"/>
      <c r="AC664" s="220"/>
      <c r="AD664" s="220"/>
      <c r="AE664" s="220"/>
      <c r="AF664" s="220"/>
      <c r="AG664" s="220"/>
      <c r="AH664" s="220"/>
      <c r="AI664" s="220"/>
      <c r="AJ664" s="220"/>
      <c r="AK664" s="220"/>
      <c r="AL664" s="220"/>
      <c r="AM664" s="220"/>
      <c r="AN664" s="220"/>
      <c r="AO664" s="220"/>
      <c r="AP664" s="220"/>
      <c r="AQ664" s="220"/>
      <c r="AR664" s="220"/>
      <c r="AS664" s="220"/>
      <c r="AT664" s="220"/>
      <c r="AU664" s="220"/>
    </row>
    <row r="665" ht="15.75" customHeight="1">
      <c r="A665" s="220"/>
      <c r="B665" s="220"/>
      <c r="C665" s="220"/>
      <c r="D665" s="220"/>
      <c r="E665" s="220"/>
      <c r="F665" s="220"/>
      <c r="G665" s="220"/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  <c r="W665" s="220"/>
      <c r="X665" s="220"/>
      <c r="Y665" s="220"/>
      <c r="Z665" s="220"/>
      <c r="AA665" s="220"/>
      <c r="AB665" s="220"/>
      <c r="AC665" s="220"/>
      <c r="AD665" s="220"/>
      <c r="AE665" s="220"/>
      <c r="AF665" s="220"/>
      <c r="AG665" s="220"/>
      <c r="AH665" s="220"/>
      <c r="AI665" s="220"/>
      <c r="AJ665" s="220"/>
      <c r="AK665" s="220"/>
      <c r="AL665" s="220"/>
      <c r="AM665" s="220"/>
      <c r="AN665" s="220"/>
      <c r="AO665" s="220"/>
      <c r="AP665" s="220"/>
      <c r="AQ665" s="220"/>
      <c r="AR665" s="220"/>
      <c r="AS665" s="220"/>
      <c r="AT665" s="220"/>
      <c r="AU665" s="220"/>
    </row>
    <row r="666" ht="15.75" customHeight="1">
      <c r="A666" s="220"/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  <c r="W666" s="220"/>
      <c r="X666" s="220"/>
      <c r="Y666" s="220"/>
      <c r="Z666" s="220"/>
      <c r="AA666" s="220"/>
      <c r="AB666" s="220"/>
      <c r="AC666" s="220"/>
      <c r="AD666" s="220"/>
      <c r="AE666" s="220"/>
      <c r="AF666" s="220"/>
      <c r="AG666" s="220"/>
      <c r="AH666" s="220"/>
      <c r="AI666" s="220"/>
      <c r="AJ666" s="220"/>
      <c r="AK666" s="220"/>
      <c r="AL666" s="220"/>
      <c r="AM666" s="220"/>
      <c r="AN666" s="220"/>
      <c r="AO666" s="220"/>
      <c r="AP666" s="220"/>
      <c r="AQ666" s="220"/>
      <c r="AR666" s="220"/>
      <c r="AS666" s="220"/>
      <c r="AT666" s="220"/>
      <c r="AU666" s="220"/>
    </row>
    <row r="667" ht="15.75" customHeight="1">
      <c r="A667" s="220"/>
      <c r="B667" s="220"/>
      <c r="C667" s="220"/>
      <c r="D667" s="220"/>
      <c r="E667" s="220"/>
      <c r="F667" s="220"/>
      <c r="G667" s="220"/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  <c r="W667" s="220"/>
      <c r="X667" s="220"/>
      <c r="Y667" s="220"/>
      <c r="Z667" s="220"/>
      <c r="AA667" s="220"/>
      <c r="AB667" s="220"/>
      <c r="AC667" s="220"/>
      <c r="AD667" s="220"/>
      <c r="AE667" s="220"/>
      <c r="AF667" s="220"/>
      <c r="AG667" s="220"/>
      <c r="AH667" s="220"/>
      <c r="AI667" s="220"/>
      <c r="AJ667" s="220"/>
      <c r="AK667" s="220"/>
      <c r="AL667" s="220"/>
      <c r="AM667" s="220"/>
      <c r="AN667" s="220"/>
      <c r="AO667" s="220"/>
      <c r="AP667" s="220"/>
      <c r="AQ667" s="220"/>
      <c r="AR667" s="220"/>
      <c r="AS667" s="220"/>
      <c r="AT667" s="220"/>
      <c r="AU667" s="220"/>
    </row>
    <row r="668" ht="15.75" customHeight="1">
      <c r="A668" s="220"/>
      <c r="B668" s="220"/>
      <c r="C668" s="220"/>
      <c r="D668" s="220"/>
      <c r="E668" s="220"/>
      <c r="F668" s="220"/>
      <c r="G668" s="220"/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  <c r="W668" s="220"/>
      <c r="X668" s="220"/>
      <c r="Y668" s="220"/>
      <c r="Z668" s="220"/>
      <c r="AA668" s="220"/>
      <c r="AB668" s="220"/>
      <c r="AC668" s="220"/>
      <c r="AD668" s="220"/>
      <c r="AE668" s="220"/>
      <c r="AF668" s="220"/>
      <c r="AG668" s="220"/>
      <c r="AH668" s="220"/>
      <c r="AI668" s="220"/>
      <c r="AJ668" s="220"/>
      <c r="AK668" s="220"/>
      <c r="AL668" s="220"/>
      <c r="AM668" s="220"/>
      <c r="AN668" s="220"/>
      <c r="AO668" s="220"/>
      <c r="AP668" s="220"/>
      <c r="AQ668" s="220"/>
      <c r="AR668" s="220"/>
      <c r="AS668" s="220"/>
      <c r="AT668" s="220"/>
      <c r="AU668" s="220"/>
    </row>
    <row r="669" ht="15.75" customHeight="1">
      <c r="A669" s="220"/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  <c r="W669" s="220"/>
      <c r="X669" s="220"/>
      <c r="Y669" s="220"/>
      <c r="Z669" s="220"/>
      <c r="AA669" s="220"/>
      <c r="AB669" s="220"/>
      <c r="AC669" s="220"/>
      <c r="AD669" s="220"/>
      <c r="AE669" s="220"/>
      <c r="AF669" s="220"/>
      <c r="AG669" s="220"/>
      <c r="AH669" s="220"/>
      <c r="AI669" s="220"/>
      <c r="AJ669" s="220"/>
      <c r="AK669" s="220"/>
      <c r="AL669" s="220"/>
      <c r="AM669" s="220"/>
      <c r="AN669" s="220"/>
      <c r="AO669" s="220"/>
      <c r="AP669" s="220"/>
      <c r="AQ669" s="220"/>
      <c r="AR669" s="220"/>
      <c r="AS669" s="220"/>
      <c r="AT669" s="220"/>
      <c r="AU669" s="220"/>
    </row>
    <row r="670" ht="15.75" customHeight="1">
      <c r="A670" s="220"/>
      <c r="B670" s="220"/>
      <c r="C670" s="220"/>
      <c r="D670" s="220"/>
      <c r="E670" s="220"/>
      <c r="F670" s="220"/>
      <c r="G670" s="220"/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  <c r="W670" s="220"/>
      <c r="X670" s="220"/>
      <c r="Y670" s="220"/>
      <c r="Z670" s="220"/>
      <c r="AA670" s="220"/>
      <c r="AB670" s="220"/>
      <c r="AC670" s="220"/>
      <c r="AD670" s="220"/>
      <c r="AE670" s="220"/>
      <c r="AF670" s="220"/>
      <c r="AG670" s="220"/>
      <c r="AH670" s="220"/>
      <c r="AI670" s="220"/>
      <c r="AJ670" s="220"/>
      <c r="AK670" s="220"/>
      <c r="AL670" s="220"/>
      <c r="AM670" s="220"/>
      <c r="AN670" s="220"/>
      <c r="AO670" s="220"/>
      <c r="AP670" s="220"/>
      <c r="AQ670" s="220"/>
      <c r="AR670" s="220"/>
      <c r="AS670" s="220"/>
      <c r="AT670" s="220"/>
      <c r="AU670" s="220"/>
    </row>
    <row r="671" ht="15.75" customHeight="1">
      <c r="A671" s="220"/>
      <c r="B671" s="220"/>
      <c r="C671" s="220"/>
      <c r="D671" s="220"/>
      <c r="E671" s="220"/>
      <c r="F671" s="220"/>
      <c r="G671" s="220"/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  <c r="W671" s="220"/>
      <c r="X671" s="220"/>
      <c r="Y671" s="220"/>
      <c r="Z671" s="220"/>
      <c r="AA671" s="220"/>
      <c r="AB671" s="220"/>
      <c r="AC671" s="220"/>
      <c r="AD671" s="220"/>
      <c r="AE671" s="220"/>
      <c r="AF671" s="220"/>
      <c r="AG671" s="220"/>
      <c r="AH671" s="220"/>
      <c r="AI671" s="220"/>
      <c r="AJ671" s="220"/>
      <c r="AK671" s="220"/>
      <c r="AL671" s="220"/>
      <c r="AM671" s="220"/>
      <c r="AN671" s="220"/>
      <c r="AO671" s="220"/>
      <c r="AP671" s="220"/>
      <c r="AQ671" s="220"/>
      <c r="AR671" s="220"/>
      <c r="AS671" s="220"/>
      <c r="AT671" s="220"/>
      <c r="AU671" s="220"/>
    </row>
    <row r="672" ht="15.75" customHeight="1">
      <c r="A672" s="220"/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  <c r="W672" s="220"/>
      <c r="X672" s="220"/>
      <c r="Y672" s="220"/>
      <c r="Z672" s="220"/>
      <c r="AA672" s="220"/>
      <c r="AB672" s="220"/>
      <c r="AC672" s="220"/>
      <c r="AD672" s="220"/>
      <c r="AE672" s="220"/>
      <c r="AF672" s="220"/>
      <c r="AG672" s="220"/>
      <c r="AH672" s="220"/>
      <c r="AI672" s="220"/>
      <c r="AJ672" s="220"/>
      <c r="AK672" s="220"/>
      <c r="AL672" s="220"/>
      <c r="AM672" s="220"/>
      <c r="AN672" s="220"/>
      <c r="AO672" s="220"/>
      <c r="AP672" s="220"/>
      <c r="AQ672" s="220"/>
      <c r="AR672" s="220"/>
      <c r="AS672" s="220"/>
      <c r="AT672" s="220"/>
      <c r="AU672" s="220"/>
    </row>
    <row r="673" ht="15.75" customHeight="1">
      <c r="A673" s="220"/>
      <c r="B673" s="220"/>
      <c r="C673" s="220"/>
      <c r="D673" s="220"/>
      <c r="E673" s="220"/>
      <c r="F673" s="220"/>
      <c r="G673" s="220"/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  <c r="W673" s="220"/>
      <c r="X673" s="220"/>
      <c r="Y673" s="220"/>
      <c r="Z673" s="220"/>
      <c r="AA673" s="220"/>
      <c r="AB673" s="220"/>
      <c r="AC673" s="220"/>
      <c r="AD673" s="220"/>
      <c r="AE673" s="220"/>
      <c r="AF673" s="220"/>
      <c r="AG673" s="220"/>
      <c r="AH673" s="220"/>
      <c r="AI673" s="220"/>
      <c r="AJ673" s="220"/>
      <c r="AK673" s="220"/>
      <c r="AL673" s="220"/>
      <c r="AM673" s="220"/>
      <c r="AN673" s="220"/>
      <c r="AO673" s="220"/>
      <c r="AP673" s="220"/>
      <c r="AQ673" s="220"/>
      <c r="AR673" s="220"/>
      <c r="AS673" s="220"/>
      <c r="AT673" s="220"/>
      <c r="AU673" s="220"/>
    </row>
    <row r="674" ht="15.75" customHeight="1">
      <c r="A674" s="220"/>
      <c r="B674" s="220"/>
      <c r="C674" s="220"/>
      <c r="D674" s="220"/>
      <c r="E674" s="220"/>
      <c r="F674" s="220"/>
      <c r="G674" s="220"/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  <c r="W674" s="220"/>
      <c r="X674" s="220"/>
      <c r="Y674" s="220"/>
      <c r="Z674" s="220"/>
      <c r="AA674" s="220"/>
      <c r="AB674" s="220"/>
      <c r="AC674" s="220"/>
      <c r="AD674" s="220"/>
      <c r="AE674" s="220"/>
      <c r="AF674" s="220"/>
      <c r="AG674" s="220"/>
      <c r="AH674" s="220"/>
      <c r="AI674" s="220"/>
      <c r="AJ674" s="220"/>
      <c r="AK674" s="220"/>
      <c r="AL674" s="220"/>
      <c r="AM674" s="220"/>
      <c r="AN674" s="220"/>
      <c r="AO674" s="220"/>
      <c r="AP674" s="220"/>
      <c r="AQ674" s="220"/>
      <c r="AR674" s="220"/>
      <c r="AS674" s="220"/>
      <c r="AT674" s="220"/>
      <c r="AU674" s="220"/>
    </row>
    <row r="675" ht="15.75" customHeight="1">
      <c r="A675" s="220"/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  <c r="W675" s="220"/>
      <c r="X675" s="220"/>
      <c r="Y675" s="220"/>
      <c r="Z675" s="220"/>
      <c r="AA675" s="220"/>
      <c r="AB675" s="220"/>
      <c r="AC675" s="220"/>
      <c r="AD675" s="220"/>
      <c r="AE675" s="220"/>
      <c r="AF675" s="220"/>
      <c r="AG675" s="220"/>
      <c r="AH675" s="220"/>
      <c r="AI675" s="220"/>
      <c r="AJ675" s="220"/>
      <c r="AK675" s="220"/>
      <c r="AL675" s="220"/>
      <c r="AM675" s="220"/>
      <c r="AN675" s="220"/>
      <c r="AO675" s="220"/>
      <c r="AP675" s="220"/>
      <c r="AQ675" s="220"/>
      <c r="AR675" s="220"/>
      <c r="AS675" s="220"/>
      <c r="AT675" s="220"/>
      <c r="AU675" s="220"/>
    </row>
    <row r="676" ht="15.75" customHeight="1">
      <c r="A676" s="220"/>
      <c r="B676" s="220"/>
      <c r="C676" s="220"/>
      <c r="D676" s="220"/>
      <c r="E676" s="220"/>
      <c r="F676" s="220"/>
      <c r="G676" s="220"/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  <c r="W676" s="220"/>
      <c r="X676" s="220"/>
      <c r="Y676" s="220"/>
      <c r="Z676" s="220"/>
      <c r="AA676" s="220"/>
      <c r="AB676" s="220"/>
      <c r="AC676" s="220"/>
      <c r="AD676" s="220"/>
      <c r="AE676" s="220"/>
      <c r="AF676" s="220"/>
      <c r="AG676" s="220"/>
      <c r="AH676" s="220"/>
      <c r="AI676" s="220"/>
      <c r="AJ676" s="220"/>
      <c r="AK676" s="220"/>
      <c r="AL676" s="220"/>
      <c r="AM676" s="220"/>
      <c r="AN676" s="220"/>
      <c r="AO676" s="220"/>
      <c r="AP676" s="220"/>
      <c r="AQ676" s="220"/>
      <c r="AR676" s="220"/>
      <c r="AS676" s="220"/>
      <c r="AT676" s="220"/>
      <c r="AU676" s="220"/>
    </row>
    <row r="677" ht="15.75" customHeight="1">
      <c r="A677" s="220"/>
      <c r="B677" s="220"/>
      <c r="C677" s="220"/>
      <c r="D677" s="220"/>
      <c r="E677" s="220"/>
      <c r="F677" s="220"/>
      <c r="G677" s="220"/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  <c r="W677" s="220"/>
      <c r="X677" s="220"/>
      <c r="Y677" s="220"/>
      <c r="Z677" s="220"/>
      <c r="AA677" s="220"/>
      <c r="AB677" s="220"/>
      <c r="AC677" s="220"/>
      <c r="AD677" s="220"/>
      <c r="AE677" s="220"/>
      <c r="AF677" s="220"/>
      <c r="AG677" s="220"/>
      <c r="AH677" s="220"/>
      <c r="AI677" s="220"/>
      <c r="AJ677" s="220"/>
      <c r="AK677" s="220"/>
      <c r="AL677" s="220"/>
      <c r="AM677" s="220"/>
      <c r="AN677" s="220"/>
      <c r="AO677" s="220"/>
      <c r="AP677" s="220"/>
      <c r="AQ677" s="220"/>
      <c r="AR677" s="220"/>
      <c r="AS677" s="220"/>
      <c r="AT677" s="220"/>
      <c r="AU677" s="220"/>
    </row>
    <row r="678" ht="15.75" customHeight="1">
      <c r="A678" s="220"/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  <c r="W678" s="220"/>
      <c r="X678" s="220"/>
      <c r="Y678" s="220"/>
      <c r="Z678" s="220"/>
      <c r="AA678" s="220"/>
      <c r="AB678" s="220"/>
      <c r="AC678" s="220"/>
      <c r="AD678" s="220"/>
      <c r="AE678" s="220"/>
      <c r="AF678" s="220"/>
      <c r="AG678" s="220"/>
      <c r="AH678" s="220"/>
      <c r="AI678" s="220"/>
      <c r="AJ678" s="220"/>
      <c r="AK678" s="220"/>
      <c r="AL678" s="220"/>
      <c r="AM678" s="220"/>
      <c r="AN678" s="220"/>
      <c r="AO678" s="220"/>
      <c r="AP678" s="220"/>
      <c r="AQ678" s="220"/>
      <c r="AR678" s="220"/>
      <c r="AS678" s="220"/>
      <c r="AT678" s="220"/>
      <c r="AU678" s="220"/>
    </row>
    <row r="679" ht="15.75" customHeight="1">
      <c r="A679" s="220"/>
      <c r="B679" s="220"/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  <c r="W679" s="220"/>
      <c r="X679" s="220"/>
      <c r="Y679" s="220"/>
      <c r="Z679" s="220"/>
      <c r="AA679" s="220"/>
      <c r="AB679" s="220"/>
      <c r="AC679" s="220"/>
      <c r="AD679" s="220"/>
      <c r="AE679" s="220"/>
      <c r="AF679" s="220"/>
      <c r="AG679" s="220"/>
      <c r="AH679" s="220"/>
      <c r="AI679" s="220"/>
      <c r="AJ679" s="220"/>
      <c r="AK679" s="220"/>
      <c r="AL679" s="220"/>
      <c r="AM679" s="220"/>
      <c r="AN679" s="220"/>
      <c r="AO679" s="220"/>
      <c r="AP679" s="220"/>
      <c r="AQ679" s="220"/>
      <c r="AR679" s="220"/>
      <c r="AS679" s="220"/>
      <c r="AT679" s="220"/>
      <c r="AU679" s="220"/>
    </row>
    <row r="680" ht="15.75" customHeight="1">
      <c r="A680" s="220"/>
      <c r="B680" s="220"/>
      <c r="C680" s="220"/>
      <c r="D680" s="220"/>
      <c r="E680" s="220"/>
      <c r="F680" s="220"/>
      <c r="G680" s="220"/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  <c r="W680" s="220"/>
      <c r="X680" s="220"/>
      <c r="Y680" s="220"/>
      <c r="Z680" s="220"/>
      <c r="AA680" s="220"/>
      <c r="AB680" s="220"/>
      <c r="AC680" s="220"/>
      <c r="AD680" s="220"/>
      <c r="AE680" s="220"/>
      <c r="AF680" s="220"/>
      <c r="AG680" s="220"/>
      <c r="AH680" s="220"/>
      <c r="AI680" s="220"/>
      <c r="AJ680" s="220"/>
      <c r="AK680" s="220"/>
      <c r="AL680" s="220"/>
      <c r="AM680" s="220"/>
      <c r="AN680" s="220"/>
      <c r="AO680" s="220"/>
      <c r="AP680" s="220"/>
      <c r="AQ680" s="220"/>
      <c r="AR680" s="220"/>
      <c r="AS680" s="220"/>
      <c r="AT680" s="220"/>
      <c r="AU680" s="220"/>
    </row>
    <row r="681" ht="15.75" customHeight="1">
      <c r="A681" s="220"/>
      <c r="B681" s="220"/>
      <c r="C681" s="220"/>
      <c r="D681" s="220"/>
      <c r="E681" s="220"/>
      <c r="F681" s="220"/>
      <c r="G681" s="220"/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  <c r="W681" s="220"/>
      <c r="X681" s="220"/>
      <c r="Y681" s="220"/>
      <c r="Z681" s="220"/>
      <c r="AA681" s="220"/>
      <c r="AB681" s="220"/>
      <c r="AC681" s="220"/>
      <c r="AD681" s="220"/>
      <c r="AE681" s="220"/>
      <c r="AF681" s="220"/>
      <c r="AG681" s="220"/>
      <c r="AH681" s="220"/>
      <c r="AI681" s="220"/>
      <c r="AJ681" s="220"/>
      <c r="AK681" s="220"/>
      <c r="AL681" s="220"/>
      <c r="AM681" s="220"/>
      <c r="AN681" s="220"/>
      <c r="AO681" s="220"/>
      <c r="AP681" s="220"/>
      <c r="AQ681" s="220"/>
      <c r="AR681" s="220"/>
      <c r="AS681" s="220"/>
      <c r="AT681" s="220"/>
      <c r="AU681" s="220"/>
    </row>
    <row r="682" ht="15.75" customHeight="1">
      <c r="A682" s="220"/>
      <c r="B682" s="220"/>
      <c r="C682" s="220"/>
      <c r="D682" s="220"/>
      <c r="E682" s="220"/>
      <c r="F682" s="220"/>
      <c r="G682" s="220"/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  <c r="W682" s="220"/>
      <c r="X682" s="220"/>
      <c r="Y682" s="220"/>
      <c r="Z682" s="220"/>
      <c r="AA682" s="220"/>
      <c r="AB682" s="220"/>
      <c r="AC682" s="220"/>
      <c r="AD682" s="220"/>
      <c r="AE682" s="220"/>
      <c r="AF682" s="220"/>
      <c r="AG682" s="220"/>
      <c r="AH682" s="220"/>
      <c r="AI682" s="220"/>
      <c r="AJ682" s="220"/>
      <c r="AK682" s="220"/>
      <c r="AL682" s="220"/>
      <c r="AM682" s="220"/>
      <c r="AN682" s="220"/>
      <c r="AO682" s="220"/>
      <c r="AP682" s="220"/>
      <c r="AQ682" s="220"/>
      <c r="AR682" s="220"/>
      <c r="AS682" s="220"/>
      <c r="AT682" s="220"/>
      <c r="AU682" s="220"/>
    </row>
    <row r="683" ht="15.75" customHeight="1">
      <c r="A683" s="220"/>
      <c r="B683" s="220"/>
      <c r="C683" s="220"/>
      <c r="D683" s="220"/>
      <c r="E683" s="220"/>
      <c r="F683" s="220"/>
      <c r="G683" s="220"/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  <c r="W683" s="220"/>
      <c r="X683" s="220"/>
      <c r="Y683" s="220"/>
      <c r="Z683" s="220"/>
      <c r="AA683" s="220"/>
      <c r="AB683" s="220"/>
      <c r="AC683" s="220"/>
      <c r="AD683" s="220"/>
      <c r="AE683" s="220"/>
      <c r="AF683" s="220"/>
      <c r="AG683" s="220"/>
      <c r="AH683" s="220"/>
      <c r="AI683" s="220"/>
      <c r="AJ683" s="220"/>
      <c r="AK683" s="220"/>
      <c r="AL683" s="220"/>
      <c r="AM683" s="220"/>
      <c r="AN683" s="220"/>
      <c r="AO683" s="220"/>
      <c r="AP683" s="220"/>
      <c r="AQ683" s="220"/>
      <c r="AR683" s="220"/>
      <c r="AS683" s="220"/>
      <c r="AT683" s="220"/>
      <c r="AU683" s="220"/>
    </row>
    <row r="684" ht="15.75" customHeight="1">
      <c r="A684" s="220"/>
      <c r="B684" s="220"/>
      <c r="C684" s="220"/>
      <c r="D684" s="220"/>
      <c r="E684" s="220"/>
      <c r="F684" s="220"/>
      <c r="G684" s="220"/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  <c r="W684" s="220"/>
      <c r="X684" s="220"/>
      <c r="Y684" s="220"/>
      <c r="Z684" s="220"/>
      <c r="AA684" s="220"/>
      <c r="AB684" s="220"/>
      <c r="AC684" s="220"/>
      <c r="AD684" s="220"/>
      <c r="AE684" s="220"/>
      <c r="AF684" s="220"/>
      <c r="AG684" s="220"/>
      <c r="AH684" s="220"/>
      <c r="AI684" s="220"/>
      <c r="AJ684" s="220"/>
      <c r="AK684" s="220"/>
      <c r="AL684" s="220"/>
      <c r="AM684" s="220"/>
      <c r="AN684" s="220"/>
      <c r="AO684" s="220"/>
      <c r="AP684" s="220"/>
      <c r="AQ684" s="220"/>
      <c r="AR684" s="220"/>
      <c r="AS684" s="220"/>
      <c r="AT684" s="220"/>
      <c r="AU684" s="220"/>
    </row>
    <row r="685" ht="15.75" customHeight="1">
      <c r="A685" s="220"/>
      <c r="B685" s="220"/>
      <c r="C685" s="220"/>
      <c r="D685" s="220"/>
      <c r="E685" s="220"/>
      <c r="F685" s="220"/>
      <c r="G685" s="220"/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  <c r="W685" s="220"/>
      <c r="X685" s="220"/>
      <c r="Y685" s="220"/>
      <c r="Z685" s="220"/>
      <c r="AA685" s="220"/>
      <c r="AB685" s="220"/>
      <c r="AC685" s="220"/>
      <c r="AD685" s="220"/>
      <c r="AE685" s="220"/>
      <c r="AF685" s="220"/>
      <c r="AG685" s="220"/>
      <c r="AH685" s="220"/>
      <c r="AI685" s="220"/>
      <c r="AJ685" s="220"/>
      <c r="AK685" s="220"/>
      <c r="AL685" s="220"/>
      <c r="AM685" s="220"/>
      <c r="AN685" s="220"/>
      <c r="AO685" s="220"/>
      <c r="AP685" s="220"/>
      <c r="AQ685" s="220"/>
      <c r="AR685" s="220"/>
      <c r="AS685" s="220"/>
      <c r="AT685" s="220"/>
      <c r="AU685" s="220"/>
    </row>
    <row r="686" ht="15.75" customHeight="1">
      <c r="A686" s="220"/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  <c r="W686" s="220"/>
      <c r="X686" s="220"/>
      <c r="Y686" s="220"/>
      <c r="Z686" s="220"/>
      <c r="AA686" s="220"/>
      <c r="AB686" s="220"/>
      <c r="AC686" s="220"/>
      <c r="AD686" s="220"/>
      <c r="AE686" s="220"/>
      <c r="AF686" s="220"/>
      <c r="AG686" s="220"/>
      <c r="AH686" s="220"/>
      <c r="AI686" s="220"/>
      <c r="AJ686" s="220"/>
      <c r="AK686" s="220"/>
      <c r="AL686" s="220"/>
      <c r="AM686" s="220"/>
      <c r="AN686" s="220"/>
      <c r="AO686" s="220"/>
      <c r="AP686" s="220"/>
      <c r="AQ686" s="220"/>
      <c r="AR686" s="220"/>
      <c r="AS686" s="220"/>
      <c r="AT686" s="220"/>
      <c r="AU686" s="220"/>
    </row>
    <row r="687" ht="15.75" customHeight="1">
      <c r="A687" s="220"/>
      <c r="B687" s="220"/>
      <c r="C687" s="220"/>
      <c r="D687" s="220"/>
      <c r="E687" s="220"/>
      <c r="F687" s="220"/>
      <c r="G687" s="220"/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  <c r="W687" s="220"/>
      <c r="X687" s="220"/>
      <c r="Y687" s="220"/>
      <c r="Z687" s="220"/>
      <c r="AA687" s="220"/>
      <c r="AB687" s="220"/>
      <c r="AC687" s="220"/>
      <c r="AD687" s="220"/>
      <c r="AE687" s="220"/>
      <c r="AF687" s="220"/>
      <c r="AG687" s="220"/>
      <c r="AH687" s="220"/>
      <c r="AI687" s="220"/>
      <c r="AJ687" s="220"/>
      <c r="AK687" s="220"/>
      <c r="AL687" s="220"/>
      <c r="AM687" s="220"/>
      <c r="AN687" s="220"/>
      <c r="AO687" s="220"/>
      <c r="AP687" s="220"/>
      <c r="AQ687" s="220"/>
      <c r="AR687" s="220"/>
      <c r="AS687" s="220"/>
      <c r="AT687" s="220"/>
      <c r="AU687" s="220"/>
    </row>
    <row r="688" ht="15.75" customHeight="1">
      <c r="A688" s="220"/>
      <c r="B688" s="220"/>
      <c r="C688" s="220"/>
      <c r="D688" s="220"/>
      <c r="E688" s="220"/>
      <c r="F688" s="220"/>
      <c r="G688" s="220"/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  <c r="W688" s="220"/>
      <c r="X688" s="220"/>
      <c r="Y688" s="220"/>
      <c r="Z688" s="220"/>
      <c r="AA688" s="220"/>
      <c r="AB688" s="220"/>
      <c r="AC688" s="220"/>
      <c r="AD688" s="220"/>
      <c r="AE688" s="220"/>
      <c r="AF688" s="220"/>
      <c r="AG688" s="220"/>
      <c r="AH688" s="220"/>
      <c r="AI688" s="220"/>
      <c r="AJ688" s="220"/>
      <c r="AK688" s="220"/>
      <c r="AL688" s="220"/>
      <c r="AM688" s="220"/>
      <c r="AN688" s="220"/>
      <c r="AO688" s="220"/>
      <c r="AP688" s="220"/>
      <c r="AQ688" s="220"/>
      <c r="AR688" s="220"/>
      <c r="AS688" s="220"/>
      <c r="AT688" s="220"/>
      <c r="AU688" s="220"/>
    </row>
    <row r="689" ht="15.75" customHeight="1">
      <c r="A689" s="220"/>
      <c r="B689" s="220"/>
      <c r="C689" s="220"/>
      <c r="D689" s="220"/>
      <c r="E689" s="220"/>
      <c r="F689" s="220"/>
      <c r="G689" s="220"/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  <c r="W689" s="220"/>
      <c r="X689" s="220"/>
      <c r="Y689" s="220"/>
      <c r="Z689" s="220"/>
      <c r="AA689" s="220"/>
      <c r="AB689" s="220"/>
      <c r="AC689" s="220"/>
      <c r="AD689" s="220"/>
      <c r="AE689" s="220"/>
      <c r="AF689" s="220"/>
      <c r="AG689" s="220"/>
      <c r="AH689" s="220"/>
      <c r="AI689" s="220"/>
      <c r="AJ689" s="220"/>
      <c r="AK689" s="220"/>
      <c r="AL689" s="220"/>
      <c r="AM689" s="220"/>
      <c r="AN689" s="220"/>
      <c r="AO689" s="220"/>
      <c r="AP689" s="220"/>
      <c r="AQ689" s="220"/>
      <c r="AR689" s="220"/>
      <c r="AS689" s="220"/>
      <c r="AT689" s="220"/>
      <c r="AU689" s="220"/>
    </row>
    <row r="690" ht="15.75" customHeight="1">
      <c r="A690" s="220"/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  <c r="W690" s="220"/>
      <c r="X690" s="220"/>
      <c r="Y690" s="220"/>
      <c r="Z690" s="220"/>
      <c r="AA690" s="220"/>
      <c r="AB690" s="220"/>
      <c r="AC690" s="220"/>
      <c r="AD690" s="220"/>
      <c r="AE690" s="220"/>
      <c r="AF690" s="220"/>
      <c r="AG690" s="220"/>
      <c r="AH690" s="220"/>
      <c r="AI690" s="220"/>
      <c r="AJ690" s="220"/>
      <c r="AK690" s="220"/>
      <c r="AL690" s="220"/>
      <c r="AM690" s="220"/>
      <c r="AN690" s="220"/>
      <c r="AO690" s="220"/>
      <c r="AP690" s="220"/>
      <c r="AQ690" s="220"/>
      <c r="AR690" s="220"/>
      <c r="AS690" s="220"/>
      <c r="AT690" s="220"/>
      <c r="AU690" s="220"/>
    </row>
    <row r="691" ht="15.75" customHeight="1">
      <c r="A691" s="220"/>
      <c r="B691" s="220"/>
      <c r="C691" s="220"/>
      <c r="D691" s="220"/>
      <c r="E691" s="220"/>
      <c r="F691" s="220"/>
      <c r="G691" s="220"/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  <c r="W691" s="220"/>
      <c r="X691" s="220"/>
      <c r="Y691" s="220"/>
      <c r="Z691" s="220"/>
      <c r="AA691" s="220"/>
      <c r="AB691" s="220"/>
      <c r="AC691" s="220"/>
      <c r="AD691" s="220"/>
      <c r="AE691" s="220"/>
      <c r="AF691" s="220"/>
      <c r="AG691" s="220"/>
      <c r="AH691" s="220"/>
      <c r="AI691" s="220"/>
      <c r="AJ691" s="220"/>
      <c r="AK691" s="220"/>
      <c r="AL691" s="220"/>
      <c r="AM691" s="220"/>
      <c r="AN691" s="220"/>
      <c r="AO691" s="220"/>
      <c r="AP691" s="220"/>
      <c r="AQ691" s="220"/>
      <c r="AR691" s="220"/>
      <c r="AS691" s="220"/>
      <c r="AT691" s="220"/>
      <c r="AU691" s="220"/>
    </row>
    <row r="692" ht="15.75" customHeight="1">
      <c r="A692" s="220"/>
      <c r="B692" s="220"/>
      <c r="C692" s="220"/>
      <c r="D692" s="220"/>
      <c r="E692" s="220"/>
      <c r="F692" s="220"/>
      <c r="G692" s="220"/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  <c r="W692" s="220"/>
      <c r="X692" s="220"/>
      <c r="Y692" s="220"/>
      <c r="Z692" s="220"/>
      <c r="AA692" s="220"/>
      <c r="AB692" s="220"/>
      <c r="AC692" s="220"/>
      <c r="AD692" s="220"/>
      <c r="AE692" s="220"/>
      <c r="AF692" s="220"/>
      <c r="AG692" s="220"/>
      <c r="AH692" s="220"/>
      <c r="AI692" s="220"/>
      <c r="AJ692" s="220"/>
      <c r="AK692" s="220"/>
      <c r="AL692" s="220"/>
      <c r="AM692" s="220"/>
      <c r="AN692" s="220"/>
      <c r="AO692" s="220"/>
      <c r="AP692" s="220"/>
      <c r="AQ692" s="220"/>
      <c r="AR692" s="220"/>
      <c r="AS692" s="220"/>
      <c r="AT692" s="220"/>
      <c r="AU692" s="220"/>
    </row>
    <row r="693" ht="15.75" customHeight="1">
      <c r="A693" s="220"/>
      <c r="B693" s="220"/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  <c r="W693" s="220"/>
      <c r="X693" s="220"/>
      <c r="Y693" s="220"/>
      <c r="Z693" s="220"/>
      <c r="AA693" s="220"/>
      <c r="AB693" s="220"/>
      <c r="AC693" s="220"/>
      <c r="AD693" s="220"/>
      <c r="AE693" s="220"/>
      <c r="AF693" s="220"/>
      <c r="AG693" s="220"/>
      <c r="AH693" s="220"/>
      <c r="AI693" s="220"/>
      <c r="AJ693" s="220"/>
      <c r="AK693" s="220"/>
      <c r="AL693" s="220"/>
      <c r="AM693" s="220"/>
      <c r="AN693" s="220"/>
      <c r="AO693" s="220"/>
      <c r="AP693" s="220"/>
      <c r="AQ693" s="220"/>
      <c r="AR693" s="220"/>
      <c r="AS693" s="220"/>
      <c r="AT693" s="220"/>
      <c r="AU693" s="220"/>
    </row>
    <row r="694" ht="15.75" customHeight="1">
      <c r="A694" s="220"/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  <c r="W694" s="220"/>
      <c r="X694" s="220"/>
      <c r="Y694" s="220"/>
      <c r="Z694" s="220"/>
      <c r="AA694" s="220"/>
      <c r="AB694" s="220"/>
      <c r="AC694" s="220"/>
      <c r="AD694" s="220"/>
      <c r="AE694" s="220"/>
      <c r="AF694" s="220"/>
      <c r="AG694" s="220"/>
      <c r="AH694" s="220"/>
      <c r="AI694" s="220"/>
      <c r="AJ694" s="220"/>
      <c r="AK694" s="220"/>
      <c r="AL694" s="220"/>
      <c r="AM694" s="220"/>
      <c r="AN694" s="220"/>
      <c r="AO694" s="220"/>
      <c r="AP694" s="220"/>
      <c r="AQ694" s="220"/>
      <c r="AR694" s="220"/>
      <c r="AS694" s="220"/>
      <c r="AT694" s="220"/>
      <c r="AU694" s="220"/>
    </row>
    <row r="695" ht="15.75" customHeight="1">
      <c r="A695" s="220"/>
      <c r="B695" s="220"/>
      <c r="C695" s="220"/>
      <c r="D695" s="220"/>
      <c r="E695" s="220"/>
      <c r="F695" s="220"/>
      <c r="G695" s="220"/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  <c r="W695" s="220"/>
      <c r="X695" s="220"/>
      <c r="Y695" s="220"/>
      <c r="Z695" s="220"/>
      <c r="AA695" s="220"/>
      <c r="AB695" s="220"/>
      <c r="AC695" s="220"/>
      <c r="AD695" s="220"/>
      <c r="AE695" s="220"/>
      <c r="AF695" s="220"/>
      <c r="AG695" s="220"/>
      <c r="AH695" s="220"/>
      <c r="AI695" s="220"/>
      <c r="AJ695" s="220"/>
      <c r="AK695" s="220"/>
      <c r="AL695" s="220"/>
      <c r="AM695" s="220"/>
      <c r="AN695" s="220"/>
      <c r="AO695" s="220"/>
      <c r="AP695" s="220"/>
      <c r="AQ695" s="220"/>
      <c r="AR695" s="220"/>
      <c r="AS695" s="220"/>
      <c r="AT695" s="220"/>
      <c r="AU695" s="220"/>
    </row>
    <row r="696" ht="15.75" customHeight="1">
      <c r="A696" s="220"/>
      <c r="B696" s="220"/>
      <c r="C696" s="220"/>
      <c r="D696" s="220"/>
      <c r="E696" s="220"/>
      <c r="F696" s="220"/>
      <c r="G696" s="220"/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  <c r="W696" s="220"/>
      <c r="X696" s="220"/>
      <c r="Y696" s="220"/>
      <c r="Z696" s="220"/>
      <c r="AA696" s="220"/>
      <c r="AB696" s="220"/>
      <c r="AC696" s="220"/>
      <c r="AD696" s="220"/>
      <c r="AE696" s="220"/>
      <c r="AF696" s="220"/>
      <c r="AG696" s="220"/>
      <c r="AH696" s="220"/>
      <c r="AI696" s="220"/>
      <c r="AJ696" s="220"/>
      <c r="AK696" s="220"/>
      <c r="AL696" s="220"/>
      <c r="AM696" s="220"/>
      <c r="AN696" s="220"/>
      <c r="AO696" s="220"/>
      <c r="AP696" s="220"/>
      <c r="AQ696" s="220"/>
      <c r="AR696" s="220"/>
      <c r="AS696" s="220"/>
      <c r="AT696" s="220"/>
      <c r="AU696" s="220"/>
    </row>
    <row r="697" ht="15.75" customHeight="1">
      <c r="A697" s="220"/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  <c r="W697" s="220"/>
      <c r="X697" s="220"/>
      <c r="Y697" s="220"/>
      <c r="Z697" s="220"/>
      <c r="AA697" s="220"/>
      <c r="AB697" s="220"/>
      <c r="AC697" s="220"/>
      <c r="AD697" s="220"/>
      <c r="AE697" s="220"/>
      <c r="AF697" s="220"/>
      <c r="AG697" s="220"/>
      <c r="AH697" s="220"/>
      <c r="AI697" s="220"/>
      <c r="AJ697" s="220"/>
      <c r="AK697" s="220"/>
      <c r="AL697" s="220"/>
      <c r="AM697" s="220"/>
      <c r="AN697" s="220"/>
      <c r="AO697" s="220"/>
      <c r="AP697" s="220"/>
      <c r="AQ697" s="220"/>
      <c r="AR697" s="220"/>
      <c r="AS697" s="220"/>
      <c r="AT697" s="220"/>
      <c r="AU697" s="220"/>
    </row>
    <row r="698" ht="15.75" customHeight="1">
      <c r="A698" s="220"/>
      <c r="B698" s="220"/>
      <c r="C698" s="220"/>
      <c r="D698" s="220"/>
      <c r="E698" s="220"/>
      <c r="F698" s="220"/>
      <c r="G698" s="220"/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  <c r="W698" s="220"/>
      <c r="X698" s="220"/>
      <c r="Y698" s="220"/>
      <c r="Z698" s="220"/>
      <c r="AA698" s="220"/>
      <c r="AB698" s="220"/>
      <c r="AC698" s="220"/>
      <c r="AD698" s="220"/>
      <c r="AE698" s="220"/>
      <c r="AF698" s="220"/>
      <c r="AG698" s="220"/>
      <c r="AH698" s="220"/>
      <c r="AI698" s="220"/>
      <c r="AJ698" s="220"/>
      <c r="AK698" s="220"/>
      <c r="AL698" s="220"/>
      <c r="AM698" s="220"/>
      <c r="AN698" s="220"/>
      <c r="AO698" s="220"/>
      <c r="AP698" s="220"/>
      <c r="AQ698" s="220"/>
      <c r="AR698" s="220"/>
      <c r="AS698" s="220"/>
      <c r="AT698" s="220"/>
      <c r="AU698" s="220"/>
    </row>
    <row r="699" ht="15.75" customHeight="1">
      <c r="A699" s="220"/>
      <c r="B699" s="220"/>
      <c r="C699" s="220"/>
      <c r="D699" s="220"/>
      <c r="E699" s="220"/>
      <c r="F699" s="220"/>
      <c r="G699" s="220"/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  <c r="W699" s="220"/>
      <c r="X699" s="220"/>
      <c r="Y699" s="220"/>
      <c r="Z699" s="220"/>
      <c r="AA699" s="220"/>
      <c r="AB699" s="220"/>
      <c r="AC699" s="220"/>
      <c r="AD699" s="220"/>
      <c r="AE699" s="220"/>
      <c r="AF699" s="220"/>
      <c r="AG699" s="220"/>
      <c r="AH699" s="220"/>
      <c r="AI699" s="220"/>
      <c r="AJ699" s="220"/>
      <c r="AK699" s="220"/>
      <c r="AL699" s="220"/>
      <c r="AM699" s="220"/>
      <c r="AN699" s="220"/>
      <c r="AO699" s="220"/>
      <c r="AP699" s="220"/>
      <c r="AQ699" s="220"/>
      <c r="AR699" s="220"/>
      <c r="AS699" s="220"/>
      <c r="AT699" s="220"/>
      <c r="AU699" s="220"/>
    </row>
    <row r="700" ht="15.75" customHeight="1">
      <c r="A700" s="220"/>
      <c r="B700" s="220"/>
      <c r="C700" s="220"/>
      <c r="D700" s="220"/>
      <c r="E700" s="220"/>
      <c r="F700" s="220"/>
      <c r="G700" s="220"/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  <c r="W700" s="220"/>
      <c r="X700" s="220"/>
      <c r="Y700" s="220"/>
      <c r="Z700" s="220"/>
      <c r="AA700" s="220"/>
      <c r="AB700" s="220"/>
      <c r="AC700" s="220"/>
      <c r="AD700" s="220"/>
      <c r="AE700" s="220"/>
      <c r="AF700" s="220"/>
      <c r="AG700" s="220"/>
      <c r="AH700" s="220"/>
      <c r="AI700" s="220"/>
      <c r="AJ700" s="220"/>
      <c r="AK700" s="220"/>
      <c r="AL700" s="220"/>
      <c r="AM700" s="220"/>
      <c r="AN700" s="220"/>
      <c r="AO700" s="220"/>
      <c r="AP700" s="220"/>
      <c r="AQ700" s="220"/>
      <c r="AR700" s="220"/>
      <c r="AS700" s="220"/>
      <c r="AT700" s="220"/>
      <c r="AU700" s="220"/>
    </row>
    <row r="701" ht="15.75" customHeight="1">
      <c r="A701" s="220"/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  <c r="W701" s="220"/>
      <c r="X701" s="220"/>
      <c r="Y701" s="220"/>
      <c r="Z701" s="220"/>
      <c r="AA701" s="220"/>
      <c r="AB701" s="220"/>
      <c r="AC701" s="220"/>
      <c r="AD701" s="220"/>
      <c r="AE701" s="220"/>
      <c r="AF701" s="220"/>
      <c r="AG701" s="220"/>
      <c r="AH701" s="220"/>
      <c r="AI701" s="220"/>
      <c r="AJ701" s="220"/>
      <c r="AK701" s="220"/>
      <c r="AL701" s="220"/>
      <c r="AM701" s="220"/>
      <c r="AN701" s="220"/>
      <c r="AO701" s="220"/>
      <c r="AP701" s="220"/>
      <c r="AQ701" s="220"/>
      <c r="AR701" s="220"/>
      <c r="AS701" s="220"/>
      <c r="AT701" s="220"/>
      <c r="AU701" s="220"/>
    </row>
    <row r="702" ht="15.75" customHeight="1">
      <c r="A702" s="220"/>
      <c r="B702" s="220"/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  <c r="W702" s="220"/>
      <c r="X702" s="220"/>
      <c r="Y702" s="220"/>
      <c r="Z702" s="220"/>
      <c r="AA702" s="220"/>
      <c r="AB702" s="220"/>
      <c r="AC702" s="220"/>
      <c r="AD702" s="220"/>
      <c r="AE702" s="220"/>
      <c r="AF702" s="220"/>
      <c r="AG702" s="220"/>
      <c r="AH702" s="220"/>
      <c r="AI702" s="220"/>
      <c r="AJ702" s="220"/>
      <c r="AK702" s="220"/>
      <c r="AL702" s="220"/>
      <c r="AM702" s="220"/>
      <c r="AN702" s="220"/>
      <c r="AO702" s="220"/>
      <c r="AP702" s="220"/>
      <c r="AQ702" s="220"/>
      <c r="AR702" s="220"/>
      <c r="AS702" s="220"/>
      <c r="AT702" s="220"/>
      <c r="AU702" s="220"/>
    </row>
    <row r="703" ht="15.75" customHeight="1">
      <c r="A703" s="220"/>
      <c r="B703" s="220"/>
      <c r="C703" s="220"/>
      <c r="D703" s="220"/>
      <c r="E703" s="220"/>
      <c r="F703" s="220"/>
      <c r="G703" s="220"/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  <c r="W703" s="220"/>
      <c r="X703" s="220"/>
      <c r="Y703" s="220"/>
      <c r="Z703" s="220"/>
      <c r="AA703" s="220"/>
      <c r="AB703" s="220"/>
      <c r="AC703" s="220"/>
      <c r="AD703" s="220"/>
      <c r="AE703" s="220"/>
      <c r="AF703" s="220"/>
      <c r="AG703" s="220"/>
      <c r="AH703" s="220"/>
      <c r="AI703" s="220"/>
      <c r="AJ703" s="220"/>
      <c r="AK703" s="220"/>
      <c r="AL703" s="220"/>
      <c r="AM703" s="220"/>
      <c r="AN703" s="220"/>
      <c r="AO703" s="220"/>
      <c r="AP703" s="220"/>
      <c r="AQ703" s="220"/>
      <c r="AR703" s="220"/>
      <c r="AS703" s="220"/>
      <c r="AT703" s="220"/>
      <c r="AU703" s="220"/>
    </row>
    <row r="704" ht="15.75" customHeight="1">
      <c r="A704" s="220"/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  <c r="W704" s="220"/>
      <c r="X704" s="220"/>
      <c r="Y704" s="220"/>
      <c r="Z704" s="220"/>
      <c r="AA704" s="220"/>
      <c r="AB704" s="220"/>
      <c r="AC704" s="220"/>
      <c r="AD704" s="220"/>
      <c r="AE704" s="220"/>
      <c r="AF704" s="220"/>
      <c r="AG704" s="220"/>
      <c r="AH704" s="220"/>
      <c r="AI704" s="220"/>
      <c r="AJ704" s="220"/>
      <c r="AK704" s="220"/>
      <c r="AL704" s="220"/>
      <c r="AM704" s="220"/>
      <c r="AN704" s="220"/>
      <c r="AO704" s="220"/>
      <c r="AP704" s="220"/>
      <c r="AQ704" s="220"/>
      <c r="AR704" s="220"/>
      <c r="AS704" s="220"/>
      <c r="AT704" s="220"/>
      <c r="AU704" s="220"/>
    </row>
    <row r="705" ht="15.75" customHeight="1">
      <c r="A705" s="220"/>
      <c r="B705" s="220"/>
      <c r="C705" s="220"/>
      <c r="D705" s="220"/>
      <c r="E705" s="220"/>
      <c r="F705" s="220"/>
      <c r="G705" s="220"/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  <c r="W705" s="220"/>
      <c r="X705" s="220"/>
      <c r="Y705" s="220"/>
      <c r="Z705" s="220"/>
      <c r="AA705" s="220"/>
      <c r="AB705" s="220"/>
      <c r="AC705" s="220"/>
      <c r="AD705" s="220"/>
      <c r="AE705" s="220"/>
      <c r="AF705" s="220"/>
      <c r="AG705" s="220"/>
      <c r="AH705" s="220"/>
      <c r="AI705" s="220"/>
      <c r="AJ705" s="220"/>
      <c r="AK705" s="220"/>
      <c r="AL705" s="220"/>
      <c r="AM705" s="220"/>
      <c r="AN705" s="220"/>
      <c r="AO705" s="220"/>
      <c r="AP705" s="220"/>
      <c r="AQ705" s="220"/>
      <c r="AR705" s="220"/>
      <c r="AS705" s="220"/>
      <c r="AT705" s="220"/>
      <c r="AU705" s="220"/>
    </row>
    <row r="706" ht="15.75" customHeight="1">
      <c r="A706" s="220"/>
      <c r="B706" s="220"/>
      <c r="C706" s="220"/>
      <c r="D706" s="220"/>
      <c r="E706" s="220"/>
      <c r="F706" s="220"/>
      <c r="G706" s="220"/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  <c r="W706" s="220"/>
      <c r="X706" s="220"/>
      <c r="Y706" s="220"/>
      <c r="Z706" s="220"/>
      <c r="AA706" s="220"/>
      <c r="AB706" s="220"/>
      <c r="AC706" s="220"/>
      <c r="AD706" s="220"/>
      <c r="AE706" s="220"/>
      <c r="AF706" s="220"/>
      <c r="AG706" s="220"/>
      <c r="AH706" s="220"/>
      <c r="AI706" s="220"/>
      <c r="AJ706" s="220"/>
      <c r="AK706" s="220"/>
      <c r="AL706" s="220"/>
      <c r="AM706" s="220"/>
      <c r="AN706" s="220"/>
      <c r="AO706" s="220"/>
      <c r="AP706" s="220"/>
      <c r="AQ706" s="220"/>
      <c r="AR706" s="220"/>
      <c r="AS706" s="220"/>
      <c r="AT706" s="220"/>
      <c r="AU706" s="220"/>
    </row>
    <row r="707" ht="15.75" customHeight="1">
      <c r="A707" s="220"/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  <c r="W707" s="220"/>
      <c r="X707" s="220"/>
      <c r="Y707" s="220"/>
      <c r="Z707" s="220"/>
      <c r="AA707" s="220"/>
      <c r="AB707" s="220"/>
      <c r="AC707" s="220"/>
      <c r="AD707" s="220"/>
      <c r="AE707" s="220"/>
      <c r="AF707" s="220"/>
      <c r="AG707" s="220"/>
      <c r="AH707" s="220"/>
      <c r="AI707" s="220"/>
      <c r="AJ707" s="220"/>
      <c r="AK707" s="220"/>
      <c r="AL707" s="220"/>
      <c r="AM707" s="220"/>
      <c r="AN707" s="220"/>
      <c r="AO707" s="220"/>
      <c r="AP707" s="220"/>
      <c r="AQ707" s="220"/>
      <c r="AR707" s="220"/>
      <c r="AS707" s="220"/>
      <c r="AT707" s="220"/>
      <c r="AU707" s="220"/>
    </row>
    <row r="708" ht="15.75" customHeight="1">
      <c r="A708" s="220"/>
      <c r="B708" s="220"/>
      <c r="C708" s="220"/>
      <c r="D708" s="220"/>
      <c r="E708" s="220"/>
      <c r="F708" s="220"/>
      <c r="G708" s="220"/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  <c r="W708" s="220"/>
      <c r="X708" s="220"/>
      <c r="Y708" s="220"/>
      <c r="Z708" s="220"/>
      <c r="AA708" s="220"/>
      <c r="AB708" s="220"/>
      <c r="AC708" s="220"/>
      <c r="AD708" s="220"/>
      <c r="AE708" s="220"/>
      <c r="AF708" s="220"/>
      <c r="AG708" s="220"/>
      <c r="AH708" s="220"/>
      <c r="AI708" s="220"/>
      <c r="AJ708" s="220"/>
      <c r="AK708" s="220"/>
      <c r="AL708" s="220"/>
      <c r="AM708" s="220"/>
      <c r="AN708" s="220"/>
      <c r="AO708" s="220"/>
      <c r="AP708" s="220"/>
      <c r="AQ708" s="220"/>
      <c r="AR708" s="220"/>
      <c r="AS708" s="220"/>
      <c r="AT708" s="220"/>
      <c r="AU708" s="220"/>
    </row>
    <row r="709" ht="15.75" customHeight="1">
      <c r="A709" s="220"/>
      <c r="B709" s="220"/>
      <c r="C709" s="220"/>
      <c r="D709" s="220"/>
      <c r="E709" s="220"/>
      <c r="F709" s="220"/>
      <c r="G709" s="220"/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  <c r="W709" s="220"/>
      <c r="X709" s="220"/>
      <c r="Y709" s="220"/>
      <c r="Z709" s="220"/>
      <c r="AA709" s="220"/>
      <c r="AB709" s="220"/>
      <c r="AC709" s="220"/>
      <c r="AD709" s="220"/>
      <c r="AE709" s="220"/>
      <c r="AF709" s="220"/>
      <c r="AG709" s="220"/>
      <c r="AH709" s="220"/>
      <c r="AI709" s="220"/>
      <c r="AJ709" s="220"/>
      <c r="AK709" s="220"/>
      <c r="AL709" s="220"/>
      <c r="AM709" s="220"/>
      <c r="AN709" s="220"/>
      <c r="AO709" s="220"/>
      <c r="AP709" s="220"/>
      <c r="AQ709" s="220"/>
      <c r="AR709" s="220"/>
      <c r="AS709" s="220"/>
      <c r="AT709" s="220"/>
      <c r="AU709" s="220"/>
    </row>
    <row r="710" ht="15.75" customHeight="1">
      <c r="A710" s="220"/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  <c r="W710" s="220"/>
      <c r="X710" s="220"/>
      <c r="Y710" s="220"/>
      <c r="Z710" s="220"/>
      <c r="AA710" s="220"/>
      <c r="AB710" s="220"/>
      <c r="AC710" s="220"/>
      <c r="AD710" s="220"/>
      <c r="AE710" s="220"/>
      <c r="AF710" s="220"/>
      <c r="AG710" s="220"/>
      <c r="AH710" s="220"/>
      <c r="AI710" s="220"/>
      <c r="AJ710" s="220"/>
      <c r="AK710" s="220"/>
      <c r="AL710" s="220"/>
      <c r="AM710" s="220"/>
      <c r="AN710" s="220"/>
      <c r="AO710" s="220"/>
      <c r="AP710" s="220"/>
      <c r="AQ710" s="220"/>
      <c r="AR710" s="220"/>
      <c r="AS710" s="220"/>
      <c r="AT710" s="220"/>
      <c r="AU710" s="220"/>
    </row>
    <row r="711" ht="15.75" customHeight="1">
      <c r="A711" s="220"/>
      <c r="B711" s="220"/>
      <c r="C711" s="220"/>
      <c r="D711" s="220"/>
      <c r="E711" s="220"/>
      <c r="F711" s="220"/>
      <c r="G711" s="220"/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  <c r="W711" s="220"/>
      <c r="X711" s="220"/>
      <c r="Y711" s="220"/>
      <c r="Z711" s="220"/>
      <c r="AA711" s="220"/>
      <c r="AB711" s="220"/>
      <c r="AC711" s="220"/>
      <c r="AD711" s="220"/>
      <c r="AE711" s="220"/>
      <c r="AF711" s="220"/>
      <c r="AG711" s="220"/>
      <c r="AH711" s="220"/>
      <c r="AI711" s="220"/>
      <c r="AJ711" s="220"/>
      <c r="AK711" s="220"/>
      <c r="AL711" s="220"/>
      <c r="AM711" s="220"/>
      <c r="AN711" s="220"/>
      <c r="AO711" s="220"/>
      <c r="AP711" s="220"/>
      <c r="AQ711" s="220"/>
      <c r="AR711" s="220"/>
      <c r="AS711" s="220"/>
      <c r="AT711" s="220"/>
      <c r="AU711" s="220"/>
    </row>
    <row r="712" ht="15.75" customHeight="1">
      <c r="A712" s="220"/>
      <c r="B712" s="220"/>
      <c r="C712" s="220"/>
      <c r="D712" s="220"/>
      <c r="E712" s="220"/>
      <c r="F712" s="220"/>
      <c r="G712" s="220"/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  <c r="W712" s="220"/>
      <c r="X712" s="220"/>
      <c r="Y712" s="220"/>
      <c r="Z712" s="220"/>
      <c r="AA712" s="220"/>
      <c r="AB712" s="220"/>
      <c r="AC712" s="220"/>
      <c r="AD712" s="220"/>
      <c r="AE712" s="220"/>
      <c r="AF712" s="220"/>
      <c r="AG712" s="220"/>
      <c r="AH712" s="220"/>
      <c r="AI712" s="220"/>
      <c r="AJ712" s="220"/>
      <c r="AK712" s="220"/>
      <c r="AL712" s="220"/>
      <c r="AM712" s="220"/>
      <c r="AN712" s="220"/>
      <c r="AO712" s="220"/>
      <c r="AP712" s="220"/>
      <c r="AQ712" s="220"/>
      <c r="AR712" s="220"/>
      <c r="AS712" s="220"/>
      <c r="AT712" s="220"/>
      <c r="AU712" s="220"/>
    </row>
    <row r="713" ht="15.75" customHeight="1">
      <c r="A713" s="220"/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  <c r="W713" s="220"/>
      <c r="X713" s="220"/>
      <c r="Y713" s="220"/>
      <c r="Z713" s="220"/>
      <c r="AA713" s="220"/>
      <c r="AB713" s="220"/>
      <c r="AC713" s="220"/>
      <c r="AD713" s="220"/>
      <c r="AE713" s="220"/>
      <c r="AF713" s="220"/>
      <c r="AG713" s="220"/>
      <c r="AH713" s="220"/>
      <c r="AI713" s="220"/>
      <c r="AJ713" s="220"/>
      <c r="AK713" s="220"/>
      <c r="AL713" s="220"/>
      <c r="AM713" s="220"/>
      <c r="AN713" s="220"/>
      <c r="AO713" s="220"/>
      <c r="AP713" s="220"/>
      <c r="AQ713" s="220"/>
      <c r="AR713" s="220"/>
      <c r="AS713" s="220"/>
      <c r="AT713" s="220"/>
      <c r="AU713" s="220"/>
    </row>
    <row r="714" ht="15.75" customHeight="1">
      <c r="A714" s="220"/>
      <c r="B714" s="220"/>
      <c r="C714" s="220"/>
      <c r="D714" s="220"/>
      <c r="E714" s="220"/>
      <c r="F714" s="220"/>
      <c r="G714" s="220"/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  <c r="W714" s="220"/>
      <c r="X714" s="220"/>
      <c r="Y714" s="220"/>
      <c r="Z714" s="220"/>
      <c r="AA714" s="220"/>
      <c r="AB714" s="220"/>
      <c r="AC714" s="220"/>
      <c r="AD714" s="220"/>
      <c r="AE714" s="220"/>
      <c r="AF714" s="220"/>
      <c r="AG714" s="220"/>
      <c r="AH714" s="220"/>
      <c r="AI714" s="220"/>
      <c r="AJ714" s="220"/>
      <c r="AK714" s="220"/>
      <c r="AL714" s="220"/>
      <c r="AM714" s="220"/>
      <c r="AN714" s="220"/>
      <c r="AO714" s="220"/>
      <c r="AP714" s="220"/>
      <c r="AQ714" s="220"/>
      <c r="AR714" s="220"/>
      <c r="AS714" s="220"/>
      <c r="AT714" s="220"/>
      <c r="AU714" s="220"/>
    </row>
    <row r="715" ht="15.75" customHeight="1">
      <c r="A715" s="220"/>
      <c r="B715" s="220"/>
      <c r="C715" s="220"/>
      <c r="D715" s="220"/>
      <c r="E715" s="220"/>
      <c r="F715" s="220"/>
      <c r="G715" s="220"/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  <c r="W715" s="220"/>
      <c r="X715" s="220"/>
      <c r="Y715" s="220"/>
      <c r="Z715" s="220"/>
      <c r="AA715" s="220"/>
      <c r="AB715" s="220"/>
      <c r="AC715" s="220"/>
      <c r="AD715" s="220"/>
      <c r="AE715" s="220"/>
      <c r="AF715" s="220"/>
      <c r="AG715" s="220"/>
      <c r="AH715" s="220"/>
      <c r="AI715" s="220"/>
      <c r="AJ715" s="220"/>
      <c r="AK715" s="220"/>
      <c r="AL715" s="220"/>
      <c r="AM715" s="220"/>
      <c r="AN715" s="220"/>
      <c r="AO715" s="220"/>
      <c r="AP715" s="220"/>
      <c r="AQ715" s="220"/>
      <c r="AR715" s="220"/>
      <c r="AS715" s="220"/>
      <c r="AT715" s="220"/>
      <c r="AU715" s="220"/>
    </row>
    <row r="716" ht="15.75" customHeight="1">
      <c r="A716" s="220"/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  <c r="W716" s="220"/>
      <c r="X716" s="220"/>
      <c r="Y716" s="220"/>
      <c r="Z716" s="220"/>
      <c r="AA716" s="220"/>
      <c r="AB716" s="220"/>
      <c r="AC716" s="220"/>
      <c r="AD716" s="220"/>
      <c r="AE716" s="220"/>
      <c r="AF716" s="220"/>
      <c r="AG716" s="220"/>
      <c r="AH716" s="220"/>
      <c r="AI716" s="220"/>
      <c r="AJ716" s="220"/>
      <c r="AK716" s="220"/>
      <c r="AL716" s="220"/>
      <c r="AM716" s="220"/>
      <c r="AN716" s="220"/>
      <c r="AO716" s="220"/>
      <c r="AP716" s="220"/>
      <c r="AQ716" s="220"/>
      <c r="AR716" s="220"/>
      <c r="AS716" s="220"/>
      <c r="AT716" s="220"/>
      <c r="AU716" s="220"/>
    </row>
    <row r="717" ht="15.75" customHeight="1">
      <c r="A717" s="220"/>
      <c r="B717" s="220"/>
      <c r="C717" s="220"/>
      <c r="D717" s="220"/>
      <c r="E717" s="220"/>
      <c r="F717" s="220"/>
      <c r="G717" s="220"/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  <c r="W717" s="220"/>
      <c r="X717" s="220"/>
      <c r="Y717" s="220"/>
      <c r="Z717" s="220"/>
      <c r="AA717" s="220"/>
      <c r="AB717" s="220"/>
      <c r="AC717" s="220"/>
      <c r="AD717" s="220"/>
      <c r="AE717" s="220"/>
      <c r="AF717" s="220"/>
      <c r="AG717" s="220"/>
      <c r="AH717" s="220"/>
      <c r="AI717" s="220"/>
      <c r="AJ717" s="220"/>
      <c r="AK717" s="220"/>
      <c r="AL717" s="220"/>
      <c r="AM717" s="220"/>
      <c r="AN717" s="220"/>
      <c r="AO717" s="220"/>
      <c r="AP717" s="220"/>
      <c r="AQ717" s="220"/>
      <c r="AR717" s="220"/>
      <c r="AS717" s="220"/>
      <c r="AT717" s="220"/>
      <c r="AU717" s="220"/>
    </row>
    <row r="718" ht="15.75" customHeight="1">
      <c r="A718" s="220"/>
      <c r="B718" s="220"/>
      <c r="C718" s="220"/>
      <c r="D718" s="220"/>
      <c r="E718" s="220"/>
      <c r="F718" s="220"/>
      <c r="G718" s="220"/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  <c r="W718" s="220"/>
      <c r="X718" s="220"/>
      <c r="Y718" s="220"/>
      <c r="Z718" s="220"/>
      <c r="AA718" s="220"/>
      <c r="AB718" s="220"/>
      <c r="AC718" s="220"/>
      <c r="AD718" s="220"/>
      <c r="AE718" s="220"/>
      <c r="AF718" s="220"/>
      <c r="AG718" s="220"/>
      <c r="AH718" s="220"/>
      <c r="AI718" s="220"/>
      <c r="AJ718" s="220"/>
      <c r="AK718" s="220"/>
      <c r="AL718" s="220"/>
      <c r="AM718" s="220"/>
      <c r="AN718" s="220"/>
      <c r="AO718" s="220"/>
      <c r="AP718" s="220"/>
      <c r="AQ718" s="220"/>
      <c r="AR718" s="220"/>
      <c r="AS718" s="220"/>
      <c r="AT718" s="220"/>
      <c r="AU718" s="220"/>
    </row>
    <row r="719" ht="15.75" customHeight="1">
      <c r="A719" s="220"/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  <c r="W719" s="220"/>
      <c r="X719" s="220"/>
      <c r="Y719" s="220"/>
      <c r="Z719" s="220"/>
      <c r="AA719" s="220"/>
      <c r="AB719" s="220"/>
      <c r="AC719" s="220"/>
      <c r="AD719" s="220"/>
      <c r="AE719" s="220"/>
      <c r="AF719" s="220"/>
      <c r="AG719" s="220"/>
      <c r="AH719" s="220"/>
      <c r="AI719" s="220"/>
      <c r="AJ719" s="220"/>
      <c r="AK719" s="220"/>
      <c r="AL719" s="220"/>
      <c r="AM719" s="220"/>
      <c r="AN719" s="220"/>
      <c r="AO719" s="220"/>
      <c r="AP719" s="220"/>
      <c r="AQ719" s="220"/>
      <c r="AR719" s="220"/>
      <c r="AS719" s="220"/>
      <c r="AT719" s="220"/>
      <c r="AU719" s="220"/>
    </row>
    <row r="720" ht="15.75" customHeight="1">
      <c r="A720" s="220"/>
      <c r="B720" s="220"/>
      <c r="C720" s="220"/>
      <c r="D720" s="220"/>
      <c r="E720" s="220"/>
      <c r="F720" s="220"/>
      <c r="G720" s="220"/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  <c r="W720" s="220"/>
      <c r="X720" s="220"/>
      <c r="Y720" s="220"/>
      <c r="Z720" s="220"/>
      <c r="AA720" s="220"/>
      <c r="AB720" s="220"/>
      <c r="AC720" s="220"/>
      <c r="AD720" s="220"/>
      <c r="AE720" s="220"/>
      <c r="AF720" s="220"/>
      <c r="AG720" s="220"/>
      <c r="AH720" s="220"/>
      <c r="AI720" s="220"/>
      <c r="AJ720" s="220"/>
      <c r="AK720" s="220"/>
      <c r="AL720" s="220"/>
      <c r="AM720" s="220"/>
      <c r="AN720" s="220"/>
      <c r="AO720" s="220"/>
      <c r="AP720" s="220"/>
      <c r="AQ720" s="220"/>
      <c r="AR720" s="220"/>
      <c r="AS720" s="220"/>
      <c r="AT720" s="220"/>
      <c r="AU720" s="220"/>
    </row>
    <row r="721" ht="15.75" customHeight="1">
      <c r="A721" s="220"/>
      <c r="B721" s="220"/>
      <c r="C721" s="220"/>
      <c r="D721" s="220"/>
      <c r="E721" s="220"/>
      <c r="F721" s="220"/>
      <c r="G721" s="220"/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  <c r="W721" s="220"/>
      <c r="X721" s="220"/>
      <c r="Y721" s="220"/>
      <c r="Z721" s="220"/>
      <c r="AA721" s="220"/>
      <c r="AB721" s="220"/>
      <c r="AC721" s="220"/>
      <c r="AD721" s="220"/>
      <c r="AE721" s="220"/>
      <c r="AF721" s="220"/>
      <c r="AG721" s="220"/>
      <c r="AH721" s="220"/>
      <c r="AI721" s="220"/>
      <c r="AJ721" s="220"/>
      <c r="AK721" s="220"/>
      <c r="AL721" s="220"/>
      <c r="AM721" s="220"/>
      <c r="AN721" s="220"/>
      <c r="AO721" s="220"/>
      <c r="AP721" s="220"/>
      <c r="AQ721" s="220"/>
      <c r="AR721" s="220"/>
      <c r="AS721" s="220"/>
      <c r="AT721" s="220"/>
      <c r="AU721" s="220"/>
    </row>
    <row r="722" ht="15.75" customHeight="1">
      <c r="A722" s="220"/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  <c r="W722" s="220"/>
      <c r="X722" s="220"/>
      <c r="Y722" s="220"/>
      <c r="Z722" s="220"/>
      <c r="AA722" s="220"/>
      <c r="AB722" s="220"/>
      <c r="AC722" s="220"/>
      <c r="AD722" s="220"/>
      <c r="AE722" s="220"/>
      <c r="AF722" s="220"/>
      <c r="AG722" s="220"/>
      <c r="AH722" s="220"/>
      <c r="AI722" s="220"/>
      <c r="AJ722" s="220"/>
      <c r="AK722" s="220"/>
      <c r="AL722" s="220"/>
      <c r="AM722" s="220"/>
      <c r="AN722" s="220"/>
      <c r="AO722" s="220"/>
      <c r="AP722" s="220"/>
      <c r="AQ722" s="220"/>
      <c r="AR722" s="220"/>
      <c r="AS722" s="220"/>
      <c r="AT722" s="220"/>
      <c r="AU722" s="220"/>
    </row>
    <row r="723" ht="15.75" customHeight="1">
      <c r="A723" s="220"/>
      <c r="B723" s="220"/>
      <c r="C723" s="220"/>
      <c r="D723" s="220"/>
      <c r="E723" s="220"/>
      <c r="F723" s="220"/>
      <c r="G723" s="220"/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  <c r="W723" s="220"/>
      <c r="X723" s="220"/>
      <c r="Y723" s="220"/>
      <c r="Z723" s="220"/>
      <c r="AA723" s="220"/>
      <c r="AB723" s="220"/>
      <c r="AC723" s="220"/>
      <c r="AD723" s="220"/>
      <c r="AE723" s="220"/>
      <c r="AF723" s="220"/>
      <c r="AG723" s="220"/>
      <c r="AH723" s="220"/>
      <c r="AI723" s="220"/>
      <c r="AJ723" s="220"/>
      <c r="AK723" s="220"/>
      <c r="AL723" s="220"/>
      <c r="AM723" s="220"/>
      <c r="AN723" s="220"/>
      <c r="AO723" s="220"/>
      <c r="AP723" s="220"/>
      <c r="AQ723" s="220"/>
      <c r="AR723" s="220"/>
      <c r="AS723" s="220"/>
      <c r="AT723" s="220"/>
      <c r="AU723" s="220"/>
    </row>
    <row r="724" ht="15.75" customHeight="1">
      <c r="A724" s="220"/>
      <c r="B724" s="220"/>
      <c r="C724" s="220"/>
      <c r="D724" s="220"/>
      <c r="E724" s="220"/>
      <c r="F724" s="220"/>
      <c r="G724" s="220"/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  <c r="W724" s="220"/>
      <c r="X724" s="220"/>
      <c r="Y724" s="220"/>
      <c r="Z724" s="220"/>
      <c r="AA724" s="220"/>
      <c r="AB724" s="220"/>
      <c r="AC724" s="220"/>
      <c r="AD724" s="220"/>
      <c r="AE724" s="220"/>
      <c r="AF724" s="220"/>
      <c r="AG724" s="220"/>
      <c r="AH724" s="220"/>
      <c r="AI724" s="220"/>
      <c r="AJ724" s="220"/>
      <c r="AK724" s="220"/>
      <c r="AL724" s="220"/>
      <c r="AM724" s="220"/>
      <c r="AN724" s="220"/>
      <c r="AO724" s="220"/>
      <c r="AP724" s="220"/>
      <c r="AQ724" s="220"/>
      <c r="AR724" s="220"/>
      <c r="AS724" s="220"/>
      <c r="AT724" s="220"/>
      <c r="AU724" s="220"/>
    </row>
    <row r="725" ht="15.75" customHeight="1">
      <c r="A725" s="220"/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  <c r="W725" s="220"/>
      <c r="X725" s="220"/>
      <c r="Y725" s="220"/>
      <c r="Z725" s="220"/>
      <c r="AA725" s="220"/>
      <c r="AB725" s="220"/>
      <c r="AC725" s="220"/>
      <c r="AD725" s="220"/>
      <c r="AE725" s="220"/>
      <c r="AF725" s="220"/>
      <c r="AG725" s="220"/>
      <c r="AH725" s="220"/>
      <c r="AI725" s="220"/>
      <c r="AJ725" s="220"/>
      <c r="AK725" s="220"/>
      <c r="AL725" s="220"/>
      <c r="AM725" s="220"/>
      <c r="AN725" s="220"/>
      <c r="AO725" s="220"/>
      <c r="AP725" s="220"/>
      <c r="AQ725" s="220"/>
      <c r="AR725" s="220"/>
      <c r="AS725" s="220"/>
      <c r="AT725" s="220"/>
      <c r="AU725" s="220"/>
    </row>
    <row r="726" ht="15.75" customHeight="1">
      <c r="A726" s="220"/>
      <c r="B726" s="220"/>
      <c r="C726" s="220"/>
      <c r="D726" s="220"/>
      <c r="E726" s="220"/>
      <c r="F726" s="220"/>
      <c r="G726" s="220"/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  <c r="W726" s="220"/>
      <c r="X726" s="220"/>
      <c r="Y726" s="220"/>
      <c r="Z726" s="220"/>
      <c r="AA726" s="220"/>
      <c r="AB726" s="220"/>
      <c r="AC726" s="220"/>
      <c r="AD726" s="220"/>
      <c r="AE726" s="220"/>
      <c r="AF726" s="220"/>
      <c r="AG726" s="220"/>
      <c r="AH726" s="220"/>
      <c r="AI726" s="220"/>
      <c r="AJ726" s="220"/>
      <c r="AK726" s="220"/>
      <c r="AL726" s="220"/>
      <c r="AM726" s="220"/>
      <c r="AN726" s="220"/>
      <c r="AO726" s="220"/>
      <c r="AP726" s="220"/>
      <c r="AQ726" s="220"/>
      <c r="AR726" s="220"/>
      <c r="AS726" s="220"/>
      <c r="AT726" s="220"/>
      <c r="AU726" s="220"/>
    </row>
    <row r="727" ht="15.75" customHeight="1">
      <c r="A727" s="220"/>
      <c r="B727" s="220"/>
      <c r="C727" s="220"/>
      <c r="D727" s="220"/>
      <c r="E727" s="220"/>
      <c r="F727" s="220"/>
      <c r="G727" s="220"/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  <c r="W727" s="220"/>
      <c r="X727" s="220"/>
      <c r="Y727" s="220"/>
      <c r="Z727" s="220"/>
      <c r="AA727" s="220"/>
      <c r="AB727" s="220"/>
      <c r="AC727" s="220"/>
      <c r="AD727" s="220"/>
      <c r="AE727" s="220"/>
      <c r="AF727" s="220"/>
      <c r="AG727" s="220"/>
      <c r="AH727" s="220"/>
      <c r="AI727" s="220"/>
      <c r="AJ727" s="220"/>
      <c r="AK727" s="220"/>
      <c r="AL727" s="220"/>
      <c r="AM727" s="220"/>
      <c r="AN727" s="220"/>
      <c r="AO727" s="220"/>
      <c r="AP727" s="220"/>
      <c r="AQ727" s="220"/>
      <c r="AR727" s="220"/>
      <c r="AS727" s="220"/>
      <c r="AT727" s="220"/>
      <c r="AU727" s="220"/>
    </row>
    <row r="728" ht="15.75" customHeight="1">
      <c r="A728" s="220"/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  <c r="W728" s="220"/>
      <c r="X728" s="220"/>
      <c r="Y728" s="220"/>
      <c r="Z728" s="220"/>
      <c r="AA728" s="220"/>
      <c r="AB728" s="220"/>
      <c r="AC728" s="220"/>
      <c r="AD728" s="220"/>
      <c r="AE728" s="220"/>
      <c r="AF728" s="220"/>
      <c r="AG728" s="220"/>
      <c r="AH728" s="220"/>
      <c r="AI728" s="220"/>
      <c r="AJ728" s="220"/>
      <c r="AK728" s="220"/>
      <c r="AL728" s="220"/>
      <c r="AM728" s="220"/>
      <c r="AN728" s="220"/>
      <c r="AO728" s="220"/>
      <c r="AP728" s="220"/>
      <c r="AQ728" s="220"/>
      <c r="AR728" s="220"/>
      <c r="AS728" s="220"/>
      <c r="AT728" s="220"/>
      <c r="AU728" s="220"/>
    </row>
    <row r="729" ht="15.75" customHeight="1">
      <c r="A729" s="220"/>
      <c r="B729" s="220"/>
      <c r="C729" s="220"/>
      <c r="D729" s="220"/>
      <c r="E729" s="220"/>
      <c r="F729" s="220"/>
      <c r="G729" s="220"/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  <c r="W729" s="220"/>
      <c r="X729" s="220"/>
      <c r="Y729" s="220"/>
      <c r="Z729" s="220"/>
      <c r="AA729" s="220"/>
      <c r="AB729" s="220"/>
      <c r="AC729" s="220"/>
      <c r="AD729" s="220"/>
      <c r="AE729" s="220"/>
      <c r="AF729" s="220"/>
      <c r="AG729" s="220"/>
      <c r="AH729" s="220"/>
      <c r="AI729" s="220"/>
      <c r="AJ729" s="220"/>
      <c r="AK729" s="220"/>
      <c r="AL729" s="220"/>
      <c r="AM729" s="220"/>
      <c r="AN729" s="220"/>
      <c r="AO729" s="220"/>
      <c r="AP729" s="220"/>
      <c r="AQ729" s="220"/>
      <c r="AR729" s="220"/>
      <c r="AS729" s="220"/>
      <c r="AT729" s="220"/>
      <c r="AU729" s="220"/>
    </row>
    <row r="730" ht="15.75" customHeight="1">
      <c r="A730" s="220"/>
      <c r="B730" s="220"/>
      <c r="C730" s="220"/>
      <c r="D730" s="220"/>
      <c r="E730" s="220"/>
      <c r="F730" s="220"/>
      <c r="G730" s="220"/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  <c r="W730" s="220"/>
      <c r="X730" s="220"/>
      <c r="Y730" s="220"/>
      <c r="Z730" s="220"/>
      <c r="AA730" s="220"/>
      <c r="AB730" s="220"/>
      <c r="AC730" s="220"/>
      <c r="AD730" s="220"/>
      <c r="AE730" s="220"/>
      <c r="AF730" s="220"/>
      <c r="AG730" s="220"/>
      <c r="AH730" s="220"/>
      <c r="AI730" s="220"/>
      <c r="AJ730" s="220"/>
      <c r="AK730" s="220"/>
      <c r="AL730" s="220"/>
      <c r="AM730" s="220"/>
      <c r="AN730" s="220"/>
      <c r="AO730" s="220"/>
      <c r="AP730" s="220"/>
      <c r="AQ730" s="220"/>
      <c r="AR730" s="220"/>
      <c r="AS730" s="220"/>
      <c r="AT730" s="220"/>
      <c r="AU730" s="220"/>
    </row>
    <row r="731" ht="15.75" customHeight="1">
      <c r="A731" s="220"/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  <c r="W731" s="220"/>
      <c r="X731" s="220"/>
      <c r="Y731" s="220"/>
      <c r="Z731" s="220"/>
      <c r="AA731" s="220"/>
      <c r="AB731" s="220"/>
      <c r="AC731" s="220"/>
      <c r="AD731" s="220"/>
      <c r="AE731" s="220"/>
      <c r="AF731" s="220"/>
      <c r="AG731" s="220"/>
      <c r="AH731" s="220"/>
      <c r="AI731" s="220"/>
      <c r="AJ731" s="220"/>
      <c r="AK731" s="220"/>
      <c r="AL731" s="220"/>
      <c r="AM731" s="220"/>
      <c r="AN731" s="220"/>
      <c r="AO731" s="220"/>
      <c r="AP731" s="220"/>
      <c r="AQ731" s="220"/>
      <c r="AR731" s="220"/>
      <c r="AS731" s="220"/>
      <c r="AT731" s="220"/>
      <c r="AU731" s="220"/>
    </row>
    <row r="732" ht="15.75" customHeight="1">
      <c r="A732" s="220"/>
      <c r="B732" s="220"/>
      <c r="C732" s="220"/>
      <c r="D732" s="220"/>
      <c r="E732" s="220"/>
      <c r="F732" s="220"/>
      <c r="G732" s="220"/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  <c r="W732" s="220"/>
      <c r="X732" s="220"/>
      <c r="Y732" s="220"/>
      <c r="Z732" s="220"/>
      <c r="AA732" s="220"/>
      <c r="AB732" s="220"/>
      <c r="AC732" s="220"/>
      <c r="AD732" s="220"/>
      <c r="AE732" s="220"/>
      <c r="AF732" s="220"/>
      <c r="AG732" s="220"/>
      <c r="AH732" s="220"/>
      <c r="AI732" s="220"/>
      <c r="AJ732" s="220"/>
      <c r="AK732" s="220"/>
      <c r="AL732" s="220"/>
      <c r="AM732" s="220"/>
      <c r="AN732" s="220"/>
      <c r="AO732" s="220"/>
      <c r="AP732" s="220"/>
      <c r="AQ732" s="220"/>
      <c r="AR732" s="220"/>
      <c r="AS732" s="220"/>
      <c r="AT732" s="220"/>
      <c r="AU732" s="220"/>
    </row>
    <row r="733" ht="15.75" customHeight="1">
      <c r="A733" s="220"/>
      <c r="B733" s="220"/>
      <c r="C733" s="220"/>
      <c r="D733" s="220"/>
      <c r="E733" s="220"/>
      <c r="F733" s="220"/>
      <c r="G733" s="220"/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  <c r="W733" s="220"/>
      <c r="X733" s="220"/>
      <c r="Y733" s="220"/>
      <c r="Z733" s="220"/>
      <c r="AA733" s="220"/>
      <c r="AB733" s="220"/>
      <c r="AC733" s="220"/>
      <c r="AD733" s="220"/>
      <c r="AE733" s="220"/>
      <c r="AF733" s="220"/>
      <c r="AG733" s="220"/>
      <c r="AH733" s="220"/>
      <c r="AI733" s="220"/>
      <c r="AJ733" s="220"/>
      <c r="AK733" s="220"/>
      <c r="AL733" s="220"/>
      <c r="AM733" s="220"/>
      <c r="AN733" s="220"/>
      <c r="AO733" s="220"/>
      <c r="AP733" s="220"/>
      <c r="AQ733" s="220"/>
      <c r="AR733" s="220"/>
      <c r="AS733" s="220"/>
      <c r="AT733" s="220"/>
      <c r="AU733" s="220"/>
    </row>
    <row r="734" ht="15.75" customHeight="1">
      <c r="A734" s="220"/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  <c r="W734" s="220"/>
      <c r="X734" s="220"/>
      <c r="Y734" s="220"/>
      <c r="Z734" s="220"/>
      <c r="AA734" s="220"/>
      <c r="AB734" s="220"/>
      <c r="AC734" s="220"/>
      <c r="AD734" s="220"/>
      <c r="AE734" s="220"/>
      <c r="AF734" s="220"/>
      <c r="AG734" s="220"/>
      <c r="AH734" s="220"/>
      <c r="AI734" s="220"/>
      <c r="AJ734" s="220"/>
      <c r="AK734" s="220"/>
      <c r="AL734" s="220"/>
      <c r="AM734" s="220"/>
      <c r="AN734" s="220"/>
      <c r="AO734" s="220"/>
      <c r="AP734" s="220"/>
      <c r="AQ734" s="220"/>
      <c r="AR734" s="220"/>
      <c r="AS734" s="220"/>
      <c r="AT734" s="220"/>
      <c r="AU734" s="220"/>
    </row>
    <row r="735" ht="15.75" customHeight="1">
      <c r="A735" s="220"/>
      <c r="B735" s="220"/>
      <c r="C735" s="220"/>
      <c r="D735" s="220"/>
      <c r="E735" s="220"/>
      <c r="F735" s="220"/>
      <c r="G735" s="220"/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  <c r="W735" s="220"/>
      <c r="X735" s="220"/>
      <c r="Y735" s="220"/>
      <c r="Z735" s="220"/>
      <c r="AA735" s="220"/>
      <c r="AB735" s="220"/>
      <c r="AC735" s="220"/>
      <c r="AD735" s="220"/>
      <c r="AE735" s="220"/>
      <c r="AF735" s="220"/>
      <c r="AG735" s="220"/>
      <c r="AH735" s="220"/>
      <c r="AI735" s="220"/>
      <c r="AJ735" s="220"/>
      <c r="AK735" s="220"/>
      <c r="AL735" s="220"/>
      <c r="AM735" s="220"/>
      <c r="AN735" s="220"/>
      <c r="AO735" s="220"/>
      <c r="AP735" s="220"/>
      <c r="AQ735" s="220"/>
      <c r="AR735" s="220"/>
      <c r="AS735" s="220"/>
      <c r="AT735" s="220"/>
      <c r="AU735" s="220"/>
    </row>
    <row r="736" ht="15.75" customHeight="1">
      <c r="A736" s="220"/>
      <c r="B736" s="220"/>
      <c r="C736" s="220"/>
      <c r="D736" s="220"/>
      <c r="E736" s="220"/>
      <c r="F736" s="220"/>
      <c r="G736" s="220"/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  <c r="W736" s="220"/>
      <c r="X736" s="220"/>
      <c r="Y736" s="220"/>
      <c r="Z736" s="220"/>
      <c r="AA736" s="220"/>
      <c r="AB736" s="220"/>
      <c r="AC736" s="220"/>
      <c r="AD736" s="220"/>
      <c r="AE736" s="220"/>
      <c r="AF736" s="220"/>
      <c r="AG736" s="220"/>
      <c r="AH736" s="220"/>
      <c r="AI736" s="220"/>
      <c r="AJ736" s="220"/>
      <c r="AK736" s="220"/>
      <c r="AL736" s="220"/>
      <c r="AM736" s="220"/>
      <c r="AN736" s="220"/>
      <c r="AO736" s="220"/>
      <c r="AP736" s="220"/>
      <c r="AQ736" s="220"/>
      <c r="AR736" s="220"/>
      <c r="AS736" s="220"/>
      <c r="AT736" s="220"/>
      <c r="AU736" s="220"/>
    </row>
    <row r="737" ht="15.75" customHeight="1">
      <c r="A737" s="220"/>
      <c r="B737" s="220"/>
      <c r="C737" s="220"/>
      <c r="D737" s="220"/>
      <c r="E737" s="220"/>
      <c r="F737" s="220"/>
      <c r="G737" s="220"/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  <c r="W737" s="220"/>
      <c r="X737" s="220"/>
      <c r="Y737" s="220"/>
      <c r="Z737" s="220"/>
      <c r="AA737" s="220"/>
      <c r="AB737" s="220"/>
      <c r="AC737" s="220"/>
      <c r="AD737" s="220"/>
      <c r="AE737" s="220"/>
      <c r="AF737" s="220"/>
      <c r="AG737" s="220"/>
      <c r="AH737" s="220"/>
      <c r="AI737" s="220"/>
      <c r="AJ737" s="220"/>
      <c r="AK737" s="220"/>
      <c r="AL737" s="220"/>
      <c r="AM737" s="220"/>
      <c r="AN737" s="220"/>
      <c r="AO737" s="220"/>
      <c r="AP737" s="220"/>
      <c r="AQ737" s="220"/>
      <c r="AR737" s="220"/>
      <c r="AS737" s="220"/>
      <c r="AT737" s="220"/>
      <c r="AU737" s="220"/>
    </row>
    <row r="738" ht="15.75" customHeight="1">
      <c r="A738" s="220"/>
      <c r="B738" s="220"/>
      <c r="C738" s="220"/>
      <c r="D738" s="220"/>
      <c r="E738" s="220"/>
      <c r="F738" s="220"/>
      <c r="G738" s="220"/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  <c r="W738" s="220"/>
      <c r="X738" s="220"/>
      <c r="Y738" s="220"/>
      <c r="Z738" s="220"/>
      <c r="AA738" s="220"/>
      <c r="AB738" s="220"/>
      <c r="AC738" s="220"/>
      <c r="AD738" s="220"/>
      <c r="AE738" s="220"/>
      <c r="AF738" s="220"/>
      <c r="AG738" s="220"/>
      <c r="AH738" s="220"/>
      <c r="AI738" s="220"/>
      <c r="AJ738" s="220"/>
      <c r="AK738" s="220"/>
      <c r="AL738" s="220"/>
      <c r="AM738" s="220"/>
      <c r="AN738" s="220"/>
      <c r="AO738" s="220"/>
      <c r="AP738" s="220"/>
      <c r="AQ738" s="220"/>
      <c r="AR738" s="220"/>
      <c r="AS738" s="220"/>
      <c r="AT738" s="220"/>
      <c r="AU738" s="220"/>
    </row>
    <row r="739" ht="15.75" customHeight="1">
      <c r="A739" s="220"/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  <c r="W739" s="220"/>
      <c r="X739" s="220"/>
      <c r="Y739" s="220"/>
      <c r="Z739" s="220"/>
      <c r="AA739" s="220"/>
      <c r="AB739" s="220"/>
      <c r="AC739" s="220"/>
      <c r="AD739" s="220"/>
      <c r="AE739" s="220"/>
      <c r="AF739" s="220"/>
      <c r="AG739" s="220"/>
      <c r="AH739" s="220"/>
      <c r="AI739" s="220"/>
      <c r="AJ739" s="220"/>
      <c r="AK739" s="220"/>
      <c r="AL739" s="220"/>
      <c r="AM739" s="220"/>
      <c r="AN739" s="220"/>
      <c r="AO739" s="220"/>
      <c r="AP739" s="220"/>
      <c r="AQ739" s="220"/>
      <c r="AR739" s="220"/>
      <c r="AS739" s="220"/>
      <c r="AT739" s="220"/>
      <c r="AU739" s="220"/>
    </row>
    <row r="740" ht="15.75" customHeight="1">
      <c r="A740" s="220"/>
      <c r="B740" s="220"/>
      <c r="C740" s="220"/>
      <c r="D740" s="220"/>
      <c r="E740" s="220"/>
      <c r="F740" s="220"/>
      <c r="G740" s="220"/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  <c r="W740" s="220"/>
      <c r="X740" s="220"/>
      <c r="Y740" s="220"/>
      <c r="Z740" s="220"/>
      <c r="AA740" s="220"/>
      <c r="AB740" s="220"/>
      <c r="AC740" s="220"/>
      <c r="AD740" s="220"/>
      <c r="AE740" s="220"/>
      <c r="AF740" s="220"/>
      <c r="AG740" s="220"/>
      <c r="AH740" s="220"/>
      <c r="AI740" s="220"/>
      <c r="AJ740" s="220"/>
      <c r="AK740" s="220"/>
      <c r="AL740" s="220"/>
      <c r="AM740" s="220"/>
      <c r="AN740" s="220"/>
      <c r="AO740" s="220"/>
      <c r="AP740" s="220"/>
      <c r="AQ740" s="220"/>
      <c r="AR740" s="220"/>
      <c r="AS740" s="220"/>
      <c r="AT740" s="220"/>
      <c r="AU740" s="220"/>
    </row>
    <row r="741" ht="15.75" customHeight="1">
      <c r="A741" s="220"/>
      <c r="B741" s="220"/>
      <c r="C741" s="220"/>
      <c r="D741" s="220"/>
      <c r="E741" s="220"/>
      <c r="F741" s="220"/>
      <c r="G741" s="220"/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  <c r="W741" s="220"/>
      <c r="X741" s="220"/>
      <c r="Y741" s="220"/>
      <c r="Z741" s="220"/>
      <c r="AA741" s="220"/>
      <c r="AB741" s="220"/>
      <c r="AC741" s="220"/>
      <c r="AD741" s="220"/>
      <c r="AE741" s="220"/>
      <c r="AF741" s="220"/>
      <c r="AG741" s="220"/>
      <c r="AH741" s="220"/>
      <c r="AI741" s="220"/>
      <c r="AJ741" s="220"/>
      <c r="AK741" s="220"/>
      <c r="AL741" s="220"/>
      <c r="AM741" s="220"/>
      <c r="AN741" s="220"/>
      <c r="AO741" s="220"/>
      <c r="AP741" s="220"/>
      <c r="AQ741" s="220"/>
      <c r="AR741" s="220"/>
      <c r="AS741" s="220"/>
      <c r="AT741" s="220"/>
      <c r="AU741" s="220"/>
    </row>
    <row r="742" ht="15.75" customHeight="1">
      <c r="A742" s="220"/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  <c r="W742" s="220"/>
      <c r="X742" s="220"/>
      <c r="Y742" s="220"/>
      <c r="Z742" s="220"/>
      <c r="AA742" s="220"/>
      <c r="AB742" s="220"/>
      <c r="AC742" s="220"/>
      <c r="AD742" s="220"/>
      <c r="AE742" s="220"/>
      <c r="AF742" s="220"/>
      <c r="AG742" s="220"/>
      <c r="AH742" s="220"/>
      <c r="AI742" s="220"/>
      <c r="AJ742" s="220"/>
      <c r="AK742" s="220"/>
      <c r="AL742" s="220"/>
      <c r="AM742" s="220"/>
      <c r="AN742" s="220"/>
      <c r="AO742" s="220"/>
      <c r="AP742" s="220"/>
      <c r="AQ742" s="220"/>
      <c r="AR742" s="220"/>
      <c r="AS742" s="220"/>
      <c r="AT742" s="220"/>
      <c r="AU742" s="220"/>
    </row>
    <row r="743" ht="15.75" customHeight="1">
      <c r="A743" s="220"/>
      <c r="B743" s="220"/>
      <c r="C743" s="220"/>
      <c r="D743" s="220"/>
      <c r="E743" s="220"/>
      <c r="F743" s="220"/>
      <c r="G743" s="220"/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  <c r="W743" s="220"/>
      <c r="X743" s="220"/>
      <c r="Y743" s="220"/>
      <c r="Z743" s="220"/>
      <c r="AA743" s="220"/>
      <c r="AB743" s="220"/>
      <c r="AC743" s="220"/>
      <c r="AD743" s="220"/>
      <c r="AE743" s="220"/>
      <c r="AF743" s="220"/>
      <c r="AG743" s="220"/>
      <c r="AH743" s="220"/>
      <c r="AI743" s="220"/>
      <c r="AJ743" s="220"/>
      <c r="AK743" s="220"/>
      <c r="AL743" s="220"/>
      <c r="AM743" s="220"/>
      <c r="AN743" s="220"/>
      <c r="AO743" s="220"/>
      <c r="AP743" s="220"/>
      <c r="AQ743" s="220"/>
      <c r="AR743" s="220"/>
      <c r="AS743" s="220"/>
      <c r="AT743" s="220"/>
      <c r="AU743" s="220"/>
    </row>
    <row r="744" ht="15.75" customHeight="1">
      <c r="A744" s="220"/>
      <c r="B744" s="220"/>
      <c r="C744" s="220"/>
      <c r="D744" s="220"/>
      <c r="E744" s="220"/>
      <c r="F744" s="220"/>
      <c r="G744" s="220"/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  <c r="W744" s="220"/>
      <c r="X744" s="220"/>
      <c r="Y744" s="220"/>
      <c r="Z744" s="220"/>
      <c r="AA744" s="220"/>
      <c r="AB744" s="220"/>
      <c r="AC744" s="220"/>
      <c r="AD744" s="220"/>
      <c r="AE744" s="220"/>
      <c r="AF744" s="220"/>
      <c r="AG744" s="220"/>
      <c r="AH744" s="220"/>
      <c r="AI744" s="220"/>
      <c r="AJ744" s="220"/>
      <c r="AK744" s="220"/>
      <c r="AL744" s="220"/>
      <c r="AM744" s="220"/>
      <c r="AN744" s="220"/>
      <c r="AO744" s="220"/>
      <c r="AP744" s="220"/>
      <c r="AQ744" s="220"/>
      <c r="AR744" s="220"/>
      <c r="AS744" s="220"/>
      <c r="AT744" s="220"/>
      <c r="AU744" s="220"/>
    </row>
    <row r="745" ht="15.75" customHeight="1">
      <c r="A745" s="220"/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  <c r="W745" s="220"/>
      <c r="X745" s="220"/>
      <c r="Y745" s="220"/>
      <c r="Z745" s="220"/>
      <c r="AA745" s="220"/>
      <c r="AB745" s="220"/>
      <c r="AC745" s="220"/>
      <c r="AD745" s="220"/>
      <c r="AE745" s="220"/>
      <c r="AF745" s="220"/>
      <c r="AG745" s="220"/>
      <c r="AH745" s="220"/>
      <c r="AI745" s="220"/>
      <c r="AJ745" s="220"/>
      <c r="AK745" s="220"/>
      <c r="AL745" s="220"/>
      <c r="AM745" s="220"/>
      <c r="AN745" s="220"/>
      <c r="AO745" s="220"/>
      <c r="AP745" s="220"/>
      <c r="AQ745" s="220"/>
      <c r="AR745" s="220"/>
      <c r="AS745" s="220"/>
      <c r="AT745" s="220"/>
      <c r="AU745" s="220"/>
    </row>
    <row r="746" ht="15.75" customHeight="1">
      <c r="A746" s="220"/>
      <c r="B746" s="220"/>
      <c r="C746" s="220"/>
      <c r="D746" s="220"/>
      <c r="E746" s="220"/>
      <c r="F746" s="220"/>
      <c r="G746" s="220"/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  <c r="W746" s="220"/>
      <c r="X746" s="220"/>
      <c r="Y746" s="220"/>
      <c r="Z746" s="220"/>
      <c r="AA746" s="220"/>
      <c r="AB746" s="220"/>
      <c r="AC746" s="220"/>
      <c r="AD746" s="220"/>
      <c r="AE746" s="220"/>
      <c r="AF746" s="220"/>
      <c r="AG746" s="220"/>
      <c r="AH746" s="220"/>
      <c r="AI746" s="220"/>
      <c r="AJ746" s="220"/>
      <c r="AK746" s="220"/>
      <c r="AL746" s="220"/>
      <c r="AM746" s="220"/>
      <c r="AN746" s="220"/>
      <c r="AO746" s="220"/>
      <c r="AP746" s="220"/>
      <c r="AQ746" s="220"/>
      <c r="AR746" s="220"/>
      <c r="AS746" s="220"/>
      <c r="AT746" s="220"/>
      <c r="AU746" s="220"/>
    </row>
    <row r="747" ht="15.75" customHeight="1">
      <c r="A747" s="220"/>
      <c r="B747" s="220"/>
      <c r="C747" s="220"/>
      <c r="D747" s="220"/>
      <c r="E747" s="220"/>
      <c r="F747" s="220"/>
      <c r="G747" s="220"/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  <c r="W747" s="220"/>
      <c r="X747" s="220"/>
      <c r="Y747" s="220"/>
      <c r="Z747" s="220"/>
      <c r="AA747" s="220"/>
      <c r="AB747" s="220"/>
      <c r="AC747" s="220"/>
      <c r="AD747" s="220"/>
      <c r="AE747" s="220"/>
      <c r="AF747" s="220"/>
      <c r="AG747" s="220"/>
      <c r="AH747" s="220"/>
      <c r="AI747" s="220"/>
      <c r="AJ747" s="220"/>
      <c r="AK747" s="220"/>
      <c r="AL747" s="220"/>
      <c r="AM747" s="220"/>
      <c r="AN747" s="220"/>
      <c r="AO747" s="220"/>
      <c r="AP747" s="220"/>
      <c r="AQ747" s="220"/>
      <c r="AR747" s="220"/>
      <c r="AS747" s="220"/>
      <c r="AT747" s="220"/>
      <c r="AU747" s="220"/>
    </row>
    <row r="748" ht="15.75" customHeight="1">
      <c r="A748" s="220"/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220"/>
      <c r="Y748" s="220"/>
      <c r="Z748" s="220"/>
      <c r="AA748" s="220"/>
      <c r="AB748" s="220"/>
      <c r="AC748" s="220"/>
      <c r="AD748" s="220"/>
      <c r="AE748" s="220"/>
      <c r="AF748" s="220"/>
      <c r="AG748" s="220"/>
      <c r="AH748" s="220"/>
      <c r="AI748" s="220"/>
      <c r="AJ748" s="220"/>
      <c r="AK748" s="220"/>
      <c r="AL748" s="220"/>
      <c r="AM748" s="220"/>
      <c r="AN748" s="220"/>
      <c r="AO748" s="220"/>
      <c r="AP748" s="220"/>
      <c r="AQ748" s="220"/>
      <c r="AR748" s="220"/>
      <c r="AS748" s="220"/>
      <c r="AT748" s="220"/>
      <c r="AU748" s="220"/>
    </row>
    <row r="749" ht="15.75" customHeight="1">
      <c r="A749" s="220"/>
      <c r="B749" s="220"/>
      <c r="C749" s="220"/>
      <c r="D749" s="220"/>
      <c r="E749" s="220"/>
      <c r="F749" s="220"/>
      <c r="G749" s="220"/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  <c r="W749" s="220"/>
      <c r="X749" s="220"/>
      <c r="Y749" s="220"/>
      <c r="Z749" s="220"/>
      <c r="AA749" s="220"/>
      <c r="AB749" s="220"/>
      <c r="AC749" s="220"/>
      <c r="AD749" s="220"/>
      <c r="AE749" s="220"/>
      <c r="AF749" s="220"/>
      <c r="AG749" s="220"/>
      <c r="AH749" s="220"/>
      <c r="AI749" s="220"/>
      <c r="AJ749" s="220"/>
      <c r="AK749" s="220"/>
      <c r="AL749" s="220"/>
      <c r="AM749" s="220"/>
      <c r="AN749" s="220"/>
      <c r="AO749" s="220"/>
      <c r="AP749" s="220"/>
      <c r="AQ749" s="220"/>
      <c r="AR749" s="220"/>
      <c r="AS749" s="220"/>
      <c r="AT749" s="220"/>
      <c r="AU749" s="220"/>
    </row>
    <row r="750" ht="15.75" customHeight="1">
      <c r="A750" s="220"/>
      <c r="B750" s="220"/>
      <c r="C750" s="220"/>
      <c r="D750" s="220"/>
      <c r="E750" s="220"/>
      <c r="F750" s="220"/>
      <c r="G750" s="220"/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  <c r="W750" s="220"/>
      <c r="X750" s="220"/>
      <c r="Y750" s="220"/>
      <c r="Z750" s="220"/>
      <c r="AA750" s="220"/>
      <c r="AB750" s="220"/>
      <c r="AC750" s="220"/>
      <c r="AD750" s="220"/>
      <c r="AE750" s="220"/>
      <c r="AF750" s="220"/>
      <c r="AG750" s="220"/>
      <c r="AH750" s="220"/>
      <c r="AI750" s="220"/>
      <c r="AJ750" s="220"/>
      <c r="AK750" s="220"/>
      <c r="AL750" s="220"/>
      <c r="AM750" s="220"/>
      <c r="AN750" s="220"/>
      <c r="AO750" s="220"/>
      <c r="AP750" s="220"/>
      <c r="AQ750" s="220"/>
      <c r="AR750" s="220"/>
      <c r="AS750" s="220"/>
      <c r="AT750" s="220"/>
      <c r="AU750" s="220"/>
    </row>
    <row r="751" ht="15.75" customHeight="1">
      <c r="A751" s="220"/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  <c r="W751" s="220"/>
      <c r="X751" s="220"/>
      <c r="Y751" s="220"/>
      <c r="Z751" s="220"/>
      <c r="AA751" s="220"/>
      <c r="AB751" s="220"/>
      <c r="AC751" s="220"/>
      <c r="AD751" s="220"/>
      <c r="AE751" s="220"/>
      <c r="AF751" s="220"/>
      <c r="AG751" s="220"/>
      <c r="AH751" s="220"/>
      <c r="AI751" s="220"/>
      <c r="AJ751" s="220"/>
      <c r="AK751" s="220"/>
      <c r="AL751" s="220"/>
      <c r="AM751" s="220"/>
      <c r="AN751" s="220"/>
      <c r="AO751" s="220"/>
      <c r="AP751" s="220"/>
      <c r="AQ751" s="220"/>
      <c r="AR751" s="220"/>
      <c r="AS751" s="220"/>
      <c r="AT751" s="220"/>
      <c r="AU751" s="220"/>
    </row>
    <row r="752" ht="15.75" customHeight="1">
      <c r="A752" s="220"/>
      <c r="B752" s="220"/>
      <c r="C752" s="220"/>
      <c r="D752" s="220"/>
      <c r="E752" s="220"/>
      <c r="F752" s="220"/>
      <c r="G752" s="220"/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  <c r="W752" s="220"/>
      <c r="X752" s="220"/>
      <c r="Y752" s="220"/>
      <c r="Z752" s="220"/>
      <c r="AA752" s="220"/>
      <c r="AB752" s="220"/>
      <c r="AC752" s="220"/>
      <c r="AD752" s="220"/>
      <c r="AE752" s="220"/>
      <c r="AF752" s="220"/>
      <c r="AG752" s="220"/>
      <c r="AH752" s="220"/>
      <c r="AI752" s="220"/>
      <c r="AJ752" s="220"/>
      <c r="AK752" s="220"/>
      <c r="AL752" s="220"/>
      <c r="AM752" s="220"/>
      <c r="AN752" s="220"/>
      <c r="AO752" s="220"/>
      <c r="AP752" s="220"/>
      <c r="AQ752" s="220"/>
      <c r="AR752" s="220"/>
      <c r="AS752" s="220"/>
      <c r="AT752" s="220"/>
      <c r="AU752" s="220"/>
    </row>
    <row r="753" ht="15.75" customHeight="1">
      <c r="A753" s="220"/>
      <c r="B753" s="220"/>
      <c r="C753" s="220"/>
      <c r="D753" s="220"/>
      <c r="E753" s="220"/>
      <c r="F753" s="220"/>
      <c r="G753" s="220"/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  <c r="W753" s="220"/>
      <c r="X753" s="220"/>
      <c r="Y753" s="220"/>
      <c r="Z753" s="220"/>
      <c r="AA753" s="220"/>
      <c r="AB753" s="220"/>
      <c r="AC753" s="220"/>
      <c r="AD753" s="220"/>
      <c r="AE753" s="220"/>
      <c r="AF753" s="220"/>
      <c r="AG753" s="220"/>
      <c r="AH753" s="220"/>
      <c r="AI753" s="220"/>
      <c r="AJ753" s="220"/>
      <c r="AK753" s="220"/>
      <c r="AL753" s="220"/>
      <c r="AM753" s="220"/>
      <c r="AN753" s="220"/>
      <c r="AO753" s="220"/>
      <c r="AP753" s="220"/>
      <c r="AQ753" s="220"/>
      <c r="AR753" s="220"/>
      <c r="AS753" s="220"/>
      <c r="AT753" s="220"/>
      <c r="AU753" s="220"/>
    </row>
    <row r="754" ht="15.75" customHeight="1">
      <c r="A754" s="220"/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  <c r="W754" s="220"/>
      <c r="X754" s="220"/>
      <c r="Y754" s="220"/>
      <c r="Z754" s="220"/>
      <c r="AA754" s="220"/>
      <c r="AB754" s="220"/>
      <c r="AC754" s="220"/>
      <c r="AD754" s="220"/>
      <c r="AE754" s="220"/>
      <c r="AF754" s="220"/>
      <c r="AG754" s="220"/>
      <c r="AH754" s="220"/>
      <c r="AI754" s="220"/>
      <c r="AJ754" s="220"/>
      <c r="AK754" s="220"/>
      <c r="AL754" s="220"/>
      <c r="AM754" s="220"/>
      <c r="AN754" s="220"/>
      <c r="AO754" s="220"/>
      <c r="AP754" s="220"/>
      <c r="AQ754" s="220"/>
      <c r="AR754" s="220"/>
      <c r="AS754" s="220"/>
      <c r="AT754" s="220"/>
      <c r="AU754" s="220"/>
    </row>
    <row r="755" ht="15.75" customHeight="1">
      <c r="A755" s="220"/>
      <c r="B755" s="220"/>
      <c r="C755" s="220"/>
      <c r="D755" s="220"/>
      <c r="E755" s="220"/>
      <c r="F755" s="220"/>
      <c r="G755" s="220"/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  <c r="W755" s="220"/>
      <c r="X755" s="220"/>
      <c r="Y755" s="220"/>
      <c r="Z755" s="220"/>
      <c r="AA755" s="220"/>
      <c r="AB755" s="220"/>
      <c r="AC755" s="220"/>
      <c r="AD755" s="220"/>
      <c r="AE755" s="220"/>
      <c r="AF755" s="220"/>
      <c r="AG755" s="220"/>
      <c r="AH755" s="220"/>
      <c r="AI755" s="220"/>
      <c r="AJ755" s="220"/>
      <c r="AK755" s="220"/>
      <c r="AL755" s="220"/>
      <c r="AM755" s="220"/>
      <c r="AN755" s="220"/>
      <c r="AO755" s="220"/>
      <c r="AP755" s="220"/>
      <c r="AQ755" s="220"/>
      <c r="AR755" s="220"/>
      <c r="AS755" s="220"/>
      <c r="AT755" s="220"/>
      <c r="AU755" s="220"/>
    </row>
    <row r="756" ht="15.75" customHeight="1">
      <c r="A756" s="220"/>
      <c r="B756" s="220"/>
      <c r="C756" s="220"/>
      <c r="D756" s="220"/>
      <c r="E756" s="220"/>
      <c r="F756" s="220"/>
      <c r="G756" s="220"/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  <c r="W756" s="220"/>
      <c r="X756" s="220"/>
      <c r="Y756" s="220"/>
      <c r="Z756" s="220"/>
      <c r="AA756" s="220"/>
      <c r="AB756" s="220"/>
      <c r="AC756" s="220"/>
      <c r="AD756" s="220"/>
      <c r="AE756" s="220"/>
      <c r="AF756" s="220"/>
      <c r="AG756" s="220"/>
      <c r="AH756" s="220"/>
      <c r="AI756" s="220"/>
      <c r="AJ756" s="220"/>
      <c r="AK756" s="220"/>
      <c r="AL756" s="220"/>
      <c r="AM756" s="220"/>
      <c r="AN756" s="220"/>
      <c r="AO756" s="220"/>
      <c r="AP756" s="220"/>
      <c r="AQ756" s="220"/>
      <c r="AR756" s="220"/>
      <c r="AS756" s="220"/>
      <c r="AT756" s="220"/>
      <c r="AU756" s="220"/>
    </row>
    <row r="757" ht="15.75" customHeight="1">
      <c r="A757" s="220"/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  <c r="W757" s="220"/>
      <c r="X757" s="220"/>
      <c r="Y757" s="220"/>
      <c r="Z757" s="220"/>
      <c r="AA757" s="220"/>
      <c r="AB757" s="220"/>
      <c r="AC757" s="220"/>
      <c r="AD757" s="220"/>
      <c r="AE757" s="220"/>
      <c r="AF757" s="220"/>
      <c r="AG757" s="220"/>
      <c r="AH757" s="220"/>
      <c r="AI757" s="220"/>
      <c r="AJ757" s="220"/>
      <c r="AK757" s="220"/>
      <c r="AL757" s="220"/>
      <c r="AM757" s="220"/>
      <c r="AN757" s="220"/>
      <c r="AO757" s="220"/>
      <c r="AP757" s="220"/>
      <c r="AQ757" s="220"/>
      <c r="AR757" s="220"/>
      <c r="AS757" s="220"/>
      <c r="AT757" s="220"/>
      <c r="AU757" s="220"/>
    </row>
    <row r="758" ht="15.75" customHeight="1">
      <c r="A758" s="220"/>
      <c r="B758" s="220"/>
      <c r="C758" s="220"/>
      <c r="D758" s="220"/>
      <c r="E758" s="220"/>
      <c r="F758" s="220"/>
      <c r="G758" s="220"/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  <c r="W758" s="220"/>
      <c r="X758" s="220"/>
      <c r="Y758" s="220"/>
      <c r="Z758" s="220"/>
      <c r="AA758" s="220"/>
      <c r="AB758" s="220"/>
      <c r="AC758" s="220"/>
      <c r="AD758" s="220"/>
      <c r="AE758" s="220"/>
      <c r="AF758" s="220"/>
      <c r="AG758" s="220"/>
      <c r="AH758" s="220"/>
      <c r="AI758" s="220"/>
      <c r="AJ758" s="220"/>
      <c r="AK758" s="220"/>
      <c r="AL758" s="220"/>
      <c r="AM758" s="220"/>
      <c r="AN758" s="220"/>
      <c r="AO758" s="220"/>
      <c r="AP758" s="220"/>
      <c r="AQ758" s="220"/>
      <c r="AR758" s="220"/>
      <c r="AS758" s="220"/>
      <c r="AT758" s="220"/>
      <c r="AU758" s="220"/>
    </row>
    <row r="759" ht="15.75" customHeight="1">
      <c r="A759" s="220"/>
      <c r="B759" s="220"/>
      <c r="C759" s="220"/>
      <c r="D759" s="220"/>
      <c r="E759" s="220"/>
      <c r="F759" s="220"/>
      <c r="G759" s="220"/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  <c r="W759" s="220"/>
      <c r="X759" s="220"/>
      <c r="Y759" s="220"/>
      <c r="Z759" s="220"/>
      <c r="AA759" s="220"/>
      <c r="AB759" s="220"/>
      <c r="AC759" s="220"/>
      <c r="AD759" s="220"/>
      <c r="AE759" s="220"/>
      <c r="AF759" s="220"/>
      <c r="AG759" s="220"/>
      <c r="AH759" s="220"/>
      <c r="AI759" s="220"/>
      <c r="AJ759" s="220"/>
      <c r="AK759" s="220"/>
      <c r="AL759" s="220"/>
      <c r="AM759" s="220"/>
      <c r="AN759" s="220"/>
      <c r="AO759" s="220"/>
      <c r="AP759" s="220"/>
      <c r="AQ759" s="220"/>
      <c r="AR759" s="220"/>
      <c r="AS759" s="220"/>
      <c r="AT759" s="220"/>
      <c r="AU759" s="220"/>
    </row>
    <row r="760" ht="15.75" customHeight="1">
      <c r="A760" s="220"/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  <c r="W760" s="220"/>
      <c r="X760" s="220"/>
      <c r="Y760" s="220"/>
      <c r="Z760" s="220"/>
      <c r="AA760" s="220"/>
      <c r="AB760" s="220"/>
      <c r="AC760" s="220"/>
      <c r="AD760" s="220"/>
      <c r="AE760" s="220"/>
      <c r="AF760" s="220"/>
      <c r="AG760" s="220"/>
      <c r="AH760" s="220"/>
      <c r="AI760" s="220"/>
      <c r="AJ760" s="220"/>
      <c r="AK760" s="220"/>
      <c r="AL760" s="220"/>
      <c r="AM760" s="220"/>
      <c r="AN760" s="220"/>
      <c r="AO760" s="220"/>
      <c r="AP760" s="220"/>
      <c r="AQ760" s="220"/>
      <c r="AR760" s="220"/>
      <c r="AS760" s="220"/>
      <c r="AT760" s="220"/>
      <c r="AU760" s="220"/>
    </row>
    <row r="761" ht="15.75" customHeight="1">
      <c r="A761" s="220"/>
      <c r="B761" s="220"/>
      <c r="C761" s="220"/>
      <c r="D761" s="220"/>
      <c r="E761" s="220"/>
      <c r="F761" s="220"/>
      <c r="G761" s="220"/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  <c r="W761" s="220"/>
      <c r="X761" s="220"/>
      <c r="Y761" s="220"/>
      <c r="Z761" s="220"/>
      <c r="AA761" s="220"/>
      <c r="AB761" s="220"/>
      <c r="AC761" s="220"/>
      <c r="AD761" s="220"/>
      <c r="AE761" s="220"/>
      <c r="AF761" s="220"/>
      <c r="AG761" s="220"/>
      <c r="AH761" s="220"/>
      <c r="AI761" s="220"/>
      <c r="AJ761" s="220"/>
      <c r="AK761" s="220"/>
      <c r="AL761" s="220"/>
      <c r="AM761" s="220"/>
      <c r="AN761" s="220"/>
      <c r="AO761" s="220"/>
      <c r="AP761" s="220"/>
      <c r="AQ761" s="220"/>
      <c r="AR761" s="220"/>
      <c r="AS761" s="220"/>
      <c r="AT761" s="220"/>
      <c r="AU761" s="220"/>
    </row>
    <row r="762" ht="15.75" customHeight="1">
      <c r="A762" s="220"/>
      <c r="B762" s="220"/>
      <c r="C762" s="220"/>
      <c r="D762" s="220"/>
      <c r="E762" s="220"/>
      <c r="F762" s="220"/>
      <c r="G762" s="220"/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  <c r="W762" s="220"/>
      <c r="X762" s="220"/>
      <c r="Y762" s="220"/>
      <c r="Z762" s="220"/>
      <c r="AA762" s="220"/>
      <c r="AB762" s="220"/>
      <c r="AC762" s="220"/>
      <c r="AD762" s="220"/>
      <c r="AE762" s="220"/>
      <c r="AF762" s="220"/>
      <c r="AG762" s="220"/>
      <c r="AH762" s="220"/>
      <c r="AI762" s="220"/>
      <c r="AJ762" s="220"/>
      <c r="AK762" s="220"/>
      <c r="AL762" s="220"/>
      <c r="AM762" s="220"/>
      <c r="AN762" s="220"/>
      <c r="AO762" s="220"/>
      <c r="AP762" s="220"/>
      <c r="AQ762" s="220"/>
      <c r="AR762" s="220"/>
      <c r="AS762" s="220"/>
      <c r="AT762" s="220"/>
      <c r="AU762" s="220"/>
    </row>
    <row r="763" ht="15.75" customHeight="1">
      <c r="A763" s="220"/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  <c r="W763" s="220"/>
      <c r="X763" s="220"/>
      <c r="Y763" s="220"/>
      <c r="Z763" s="220"/>
      <c r="AA763" s="220"/>
      <c r="AB763" s="220"/>
      <c r="AC763" s="220"/>
      <c r="AD763" s="220"/>
      <c r="AE763" s="220"/>
      <c r="AF763" s="220"/>
      <c r="AG763" s="220"/>
      <c r="AH763" s="220"/>
      <c r="AI763" s="220"/>
      <c r="AJ763" s="220"/>
      <c r="AK763" s="220"/>
      <c r="AL763" s="220"/>
      <c r="AM763" s="220"/>
      <c r="AN763" s="220"/>
      <c r="AO763" s="220"/>
      <c r="AP763" s="220"/>
      <c r="AQ763" s="220"/>
      <c r="AR763" s="220"/>
      <c r="AS763" s="220"/>
      <c r="AT763" s="220"/>
      <c r="AU763" s="220"/>
    </row>
    <row r="764" ht="15.75" customHeight="1">
      <c r="A764" s="220"/>
      <c r="B764" s="220"/>
      <c r="C764" s="220"/>
      <c r="D764" s="220"/>
      <c r="E764" s="220"/>
      <c r="F764" s="220"/>
      <c r="G764" s="220"/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220"/>
      <c r="Y764" s="220"/>
      <c r="Z764" s="220"/>
      <c r="AA764" s="220"/>
      <c r="AB764" s="220"/>
      <c r="AC764" s="220"/>
      <c r="AD764" s="220"/>
      <c r="AE764" s="220"/>
      <c r="AF764" s="220"/>
      <c r="AG764" s="220"/>
      <c r="AH764" s="220"/>
      <c r="AI764" s="220"/>
      <c r="AJ764" s="220"/>
      <c r="AK764" s="220"/>
      <c r="AL764" s="220"/>
      <c r="AM764" s="220"/>
      <c r="AN764" s="220"/>
      <c r="AO764" s="220"/>
      <c r="AP764" s="220"/>
      <c r="AQ764" s="220"/>
      <c r="AR764" s="220"/>
      <c r="AS764" s="220"/>
      <c r="AT764" s="220"/>
      <c r="AU764" s="220"/>
    </row>
    <row r="765" ht="15.75" customHeight="1">
      <c r="A765" s="220"/>
      <c r="B765" s="220"/>
      <c r="C765" s="220"/>
      <c r="D765" s="220"/>
      <c r="E765" s="220"/>
      <c r="F765" s="220"/>
      <c r="G765" s="220"/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  <c r="W765" s="220"/>
      <c r="X765" s="220"/>
      <c r="Y765" s="220"/>
      <c r="Z765" s="220"/>
      <c r="AA765" s="220"/>
      <c r="AB765" s="220"/>
      <c r="AC765" s="220"/>
      <c r="AD765" s="220"/>
      <c r="AE765" s="220"/>
      <c r="AF765" s="220"/>
      <c r="AG765" s="220"/>
      <c r="AH765" s="220"/>
      <c r="AI765" s="220"/>
      <c r="AJ765" s="220"/>
      <c r="AK765" s="220"/>
      <c r="AL765" s="220"/>
      <c r="AM765" s="220"/>
      <c r="AN765" s="220"/>
      <c r="AO765" s="220"/>
      <c r="AP765" s="220"/>
      <c r="AQ765" s="220"/>
      <c r="AR765" s="220"/>
      <c r="AS765" s="220"/>
      <c r="AT765" s="220"/>
      <c r="AU765" s="220"/>
    </row>
    <row r="766" ht="15.75" customHeight="1">
      <c r="A766" s="220"/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220"/>
      <c r="Y766" s="220"/>
      <c r="Z766" s="220"/>
      <c r="AA766" s="220"/>
      <c r="AB766" s="220"/>
      <c r="AC766" s="220"/>
      <c r="AD766" s="220"/>
      <c r="AE766" s="220"/>
      <c r="AF766" s="220"/>
      <c r="AG766" s="220"/>
      <c r="AH766" s="220"/>
      <c r="AI766" s="220"/>
      <c r="AJ766" s="220"/>
      <c r="AK766" s="220"/>
      <c r="AL766" s="220"/>
      <c r="AM766" s="220"/>
      <c r="AN766" s="220"/>
      <c r="AO766" s="220"/>
      <c r="AP766" s="220"/>
      <c r="AQ766" s="220"/>
      <c r="AR766" s="220"/>
      <c r="AS766" s="220"/>
      <c r="AT766" s="220"/>
      <c r="AU766" s="220"/>
    </row>
    <row r="767" ht="15.75" customHeight="1">
      <c r="A767" s="220"/>
      <c r="B767" s="220"/>
      <c r="C767" s="220"/>
      <c r="D767" s="220"/>
      <c r="E767" s="220"/>
      <c r="F767" s="220"/>
      <c r="G767" s="220"/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  <c r="W767" s="220"/>
      <c r="X767" s="220"/>
      <c r="Y767" s="220"/>
      <c r="Z767" s="220"/>
      <c r="AA767" s="220"/>
      <c r="AB767" s="220"/>
      <c r="AC767" s="220"/>
      <c r="AD767" s="220"/>
      <c r="AE767" s="220"/>
      <c r="AF767" s="220"/>
      <c r="AG767" s="220"/>
      <c r="AH767" s="220"/>
      <c r="AI767" s="220"/>
      <c r="AJ767" s="220"/>
      <c r="AK767" s="220"/>
      <c r="AL767" s="220"/>
      <c r="AM767" s="220"/>
      <c r="AN767" s="220"/>
      <c r="AO767" s="220"/>
      <c r="AP767" s="220"/>
      <c r="AQ767" s="220"/>
      <c r="AR767" s="220"/>
      <c r="AS767" s="220"/>
      <c r="AT767" s="220"/>
      <c r="AU767" s="220"/>
    </row>
    <row r="768" ht="15.75" customHeight="1">
      <c r="A768" s="220"/>
      <c r="B768" s="220"/>
      <c r="C768" s="220"/>
      <c r="D768" s="220"/>
      <c r="E768" s="220"/>
      <c r="F768" s="220"/>
      <c r="G768" s="220"/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  <c r="W768" s="220"/>
      <c r="X768" s="220"/>
      <c r="Y768" s="220"/>
      <c r="Z768" s="220"/>
      <c r="AA768" s="220"/>
      <c r="AB768" s="220"/>
      <c r="AC768" s="220"/>
      <c r="AD768" s="220"/>
      <c r="AE768" s="220"/>
      <c r="AF768" s="220"/>
      <c r="AG768" s="220"/>
      <c r="AH768" s="220"/>
      <c r="AI768" s="220"/>
      <c r="AJ768" s="220"/>
      <c r="AK768" s="220"/>
      <c r="AL768" s="220"/>
      <c r="AM768" s="220"/>
      <c r="AN768" s="220"/>
      <c r="AO768" s="220"/>
      <c r="AP768" s="220"/>
      <c r="AQ768" s="220"/>
      <c r="AR768" s="220"/>
      <c r="AS768" s="220"/>
      <c r="AT768" s="220"/>
      <c r="AU768" s="220"/>
    </row>
    <row r="769" ht="15.75" customHeight="1">
      <c r="A769" s="220"/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  <c r="W769" s="220"/>
      <c r="X769" s="220"/>
      <c r="Y769" s="220"/>
      <c r="Z769" s="220"/>
      <c r="AA769" s="220"/>
      <c r="AB769" s="220"/>
      <c r="AC769" s="220"/>
      <c r="AD769" s="220"/>
      <c r="AE769" s="220"/>
      <c r="AF769" s="220"/>
      <c r="AG769" s="220"/>
      <c r="AH769" s="220"/>
      <c r="AI769" s="220"/>
      <c r="AJ769" s="220"/>
      <c r="AK769" s="220"/>
      <c r="AL769" s="220"/>
      <c r="AM769" s="220"/>
      <c r="AN769" s="220"/>
      <c r="AO769" s="220"/>
      <c r="AP769" s="220"/>
      <c r="AQ769" s="220"/>
      <c r="AR769" s="220"/>
      <c r="AS769" s="220"/>
      <c r="AT769" s="220"/>
      <c r="AU769" s="220"/>
    </row>
    <row r="770" ht="15.75" customHeight="1">
      <c r="A770" s="220"/>
      <c r="B770" s="220"/>
      <c r="C770" s="220"/>
      <c r="D770" s="220"/>
      <c r="E770" s="220"/>
      <c r="F770" s="220"/>
      <c r="G770" s="220"/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  <c r="W770" s="220"/>
      <c r="X770" s="220"/>
      <c r="Y770" s="220"/>
      <c r="Z770" s="220"/>
      <c r="AA770" s="220"/>
      <c r="AB770" s="220"/>
      <c r="AC770" s="220"/>
      <c r="AD770" s="220"/>
      <c r="AE770" s="220"/>
      <c r="AF770" s="220"/>
      <c r="AG770" s="220"/>
      <c r="AH770" s="220"/>
      <c r="AI770" s="220"/>
      <c r="AJ770" s="220"/>
      <c r="AK770" s="220"/>
      <c r="AL770" s="220"/>
      <c r="AM770" s="220"/>
      <c r="AN770" s="220"/>
      <c r="AO770" s="220"/>
      <c r="AP770" s="220"/>
      <c r="AQ770" s="220"/>
      <c r="AR770" s="220"/>
      <c r="AS770" s="220"/>
      <c r="AT770" s="220"/>
      <c r="AU770" s="220"/>
    </row>
    <row r="771" ht="15.75" customHeight="1">
      <c r="A771" s="220"/>
      <c r="B771" s="220"/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  <c r="W771" s="220"/>
      <c r="X771" s="220"/>
      <c r="Y771" s="220"/>
      <c r="Z771" s="220"/>
      <c r="AA771" s="220"/>
      <c r="AB771" s="220"/>
      <c r="AC771" s="220"/>
      <c r="AD771" s="220"/>
      <c r="AE771" s="220"/>
      <c r="AF771" s="220"/>
      <c r="AG771" s="220"/>
      <c r="AH771" s="220"/>
      <c r="AI771" s="220"/>
      <c r="AJ771" s="220"/>
      <c r="AK771" s="220"/>
      <c r="AL771" s="220"/>
      <c r="AM771" s="220"/>
      <c r="AN771" s="220"/>
      <c r="AO771" s="220"/>
      <c r="AP771" s="220"/>
      <c r="AQ771" s="220"/>
      <c r="AR771" s="220"/>
      <c r="AS771" s="220"/>
      <c r="AT771" s="220"/>
      <c r="AU771" s="220"/>
    </row>
    <row r="772" ht="15.75" customHeight="1">
      <c r="A772" s="220"/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  <c r="W772" s="220"/>
      <c r="X772" s="220"/>
      <c r="Y772" s="220"/>
      <c r="Z772" s="220"/>
      <c r="AA772" s="220"/>
      <c r="AB772" s="220"/>
      <c r="AC772" s="220"/>
      <c r="AD772" s="220"/>
      <c r="AE772" s="220"/>
      <c r="AF772" s="220"/>
      <c r="AG772" s="220"/>
      <c r="AH772" s="220"/>
      <c r="AI772" s="220"/>
      <c r="AJ772" s="220"/>
      <c r="AK772" s="220"/>
      <c r="AL772" s="220"/>
      <c r="AM772" s="220"/>
      <c r="AN772" s="220"/>
      <c r="AO772" s="220"/>
      <c r="AP772" s="220"/>
      <c r="AQ772" s="220"/>
      <c r="AR772" s="220"/>
      <c r="AS772" s="220"/>
      <c r="AT772" s="220"/>
      <c r="AU772" s="220"/>
    </row>
    <row r="773" ht="15.75" customHeight="1">
      <c r="A773" s="220"/>
      <c r="B773" s="220"/>
      <c r="C773" s="220"/>
      <c r="D773" s="220"/>
      <c r="E773" s="220"/>
      <c r="F773" s="220"/>
      <c r="G773" s="220"/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  <c r="W773" s="220"/>
      <c r="X773" s="220"/>
      <c r="Y773" s="220"/>
      <c r="Z773" s="220"/>
      <c r="AA773" s="220"/>
      <c r="AB773" s="220"/>
      <c r="AC773" s="220"/>
      <c r="AD773" s="220"/>
      <c r="AE773" s="220"/>
      <c r="AF773" s="220"/>
      <c r="AG773" s="220"/>
      <c r="AH773" s="220"/>
      <c r="AI773" s="220"/>
      <c r="AJ773" s="220"/>
      <c r="AK773" s="220"/>
      <c r="AL773" s="220"/>
      <c r="AM773" s="220"/>
      <c r="AN773" s="220"/>
      <c r="AO773" s="220"/>
      <c r="AP773" s="220"/>
      <c r="AQ773" s="220"/>
      <c r="AR773" s="220"/>
      <c r="AS773" s="220"/>
      <c r="AT773" s="220"/>
      <c r="AU773" s="220"/>
    </row>
    <row r="774" ht="15.75" customHeight="1">
      <c r="A774" s="220"/>
      <c r="B774" s="220"/>
      <c r="C774" s="220"/>
      <c r="D774" s="220"/>
      <c r="E774" s="220"/>
      <c r="F774" s="220"/>
      <c r="G774" s="220"/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  <c r="W774" s="220"/>
      <c r="X774" s="220"/>
      <c r="Y774" s="220"/>
      <c r="Z774" s="220"/>
      <c r="AA774" s="220"/>
      <c r="AB774" s="220"/>
      <c r="AC774" s="220"/>
      <c r="AD774" s="220"/>
      <c r="AE774" s="220"/>
      <c r="AF774" s="220"/>
      <c r="AG774" s="220"/>
      <c r="AH774" s="220"/>
      <c r="AI774" s="220"/>
      <c r="AJ774" s="220"/>
      <c r="AK774" s="220"/>
      <c r="AL774" s="220"/>
      <c r="AM774" s="220"/>
      <c r="AN774" s="220"/>
      <c r="AO774" s="220"/>
      <c r="AP774" s="220"/>
      <c r="AQ774" s="220"/>
      <c r="AR774" s="220"/>
      <c r="AS774" s="220"/>
      <c r="AT774" s="220"/>
      <c r="AU774" s="220"/>
    </row>
    <row r="775" ht="15.75" customHeight="1">
      <c r="A775" s="220"/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  <c r="W775" s="220"/>
      <c r="X775" s="220"/>
      <c r="Y775" s="220"/>
      <c r="Z775" s="220"/>
      <c r="AA775" s="220"/>
      <c r="AB775" s="220"/>
      <c r="AC775" s="220"/>
      <c r="AD775" s="220"/>
      <c r="AE775" s="220"/>
      <c r="AF775" s="220"/>
      <c r="AG775" s="220"/>
      <c r="AH775" s="220"/>
      <c r="AI775" s="220"/>
      <c r="AJ775" s="220"/>
      <c r="AK775" s="220"/>
      <c r="AL775" s="220"/>
      <c r="AM775" s="220"/>
      <c r="AN775" s="220"/>
      <c r="AO775" s="220"/>
      <c r="AP775" s="220"/>
      <c r="AQ775" s="220"/>
      <c r="AR775" s="220"/>
      <c r="AS775" s="220"/>
      <c r="AT775" s="220"/>
      <c r="AU775" s="220"/>
    </row>
    <row r="776" ht="15.75" customHeight="1">
      <c r="A776" s="220"/>
      <c r="B776" s="220"/>
      <c r="C776" s="220"/>
      <c r="D776" s="220"/>
      <c r="E776" s="220"/>
      <c r="F776" s="220"/>
      <c r="G776" s="220"/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  <c r="W776" s="220"/>
      <c r="X776" s="220"/>
      <c r="Y776" s="220"/>
      <c r="Z776" s="220"/>
      <c r="AA776" s="220"/>
      <c r="AB776" s="220"/>
      <c r="AC776" s="220"/>
      <c r="AD776" s="220"/>
      <c r="AE776" s="220"/>
      <c r="AF776" s="220"/>
      <c r="AG776" s="220"/>
      <c r="AH776" s="220"/>
      <c r="AI776" s="220"/>
      <c r="AJ776" s="220"/>
      <c r="AK776" s="220"/>
      <c r="AL776" s="220"/>
      <c r="AM776" s="220"/>
      <c r="AN776" s="220"/>
      <c r="AO776" s="220"/>
      <c r="AP776" s="220"/>
      <c r="AQ776" s="220"/>
      <c r="AR776" s="220"/>
      <c r="AS776" s="220"/>
      <c r="AT776" s="220"/>
      <c r="AU776" s="220"/>
    </row>
    <row r="777" ht="15.75" customHeight="1">
      <c r="A777" s="220"/>
      <c r="B777" s="220"/>
      <c r="C777" s="220"/>
      <c r="D777" s="220"/>
      <c r="E777" s="220"/>
      <c r="F777" s="220"/>
      <c r="G777" s="220"/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  <c r="W777" s="220"/>
      <c r="X777" s="220"/>
      <c r="Y777" s="220"/>
      <c r="Z777" s="220"/>
      <c r="AA777" s="220"/>
      <c r="AB777" s="220"/>
      <c r="AC777" s="220"/>
      <c r="AD777" s="220"/>
      <c r="AE777" s="220"/>
      <c r="AF777" s="220"/>
      <c r="AG777" s="220"/>
      <c r="AH777" s="220"/>
      <c r="AI777" s="220"/>
      <c r="AJ777" s="220"/>
      <c r="AK777" s="220"/>
      <c r="AL777" s="220"/>
      <c r="AM777" s="220"/>
      <c r="AN777" s="220"/>
      <c r="AO777" s="220"/>
      <c r="AP777" s="220"/>
      <c r="AQ777" s="220"/>
      <c r="AR777" s="220"/>
      <c r="AS777" s="220"/>
      <c r="AT777" s="220"/>
      <c r="AU777" s="220"/>
    </row>
    <row r="778" ht="15.75" customHeight="1">
      <c r="A778" s="220"/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  <c r="W778" s="220"/>
      <c r="X778" s="220"/>
      <c r="Y778" s="220"/>
      <c r="Z778" s="220"/>
      <c r="AA778" s="220"/>
      <c r="AB778" s="220"/>
      <c r="AC778" s="220"/>
      <c r="AD778" s="220"/>
      <c r="AE778" s="220"/>
      <c r="AF778" s="220"/>
      <c r="AG778" s="220"/>
      <c r="AH778" s="220"/>
      <c r="AI778" s="220"/>
      <c r="AJ778" s="220"/>
      <c r="AK778" s="220"/>
      <c r="AL778" s="220"/>
      <c r="AM778" s="220"/>
      <c r="AN778" s="220"/>
      <c r="AO778" s="220"/>
      <c r="AP778" s="220"/>
      <c r="AQ778" s="220"/>
      <c r="AR778" s="220"/>
      <c r="AS778" s="220"/>
      <c r="AT778" s="220"/>
      <c r="AU778" s="220"/>
    </row>
    <row r="779" ht="15.75" customHeight="1">
      <c r="A779" s="220"/>
      <c r="B779" s="220"/>
      <c r="C779" s="220"/>
      <c r="D779" s="220"/>
      <c r="E779" s="220"/>
      <c r="F779" s="220"/>
      <c r="G779" s="220"/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  <c r="W779" s="220"/>
      <c r="X779" s="220"/>
      <c r="Y779" s="220"/>
      <c r="Z779" s="220"/>
      <c r="AA779" s="220"/>
      <c r="AB779" s="220"/>
      <c r="AC779" s="220"/>
      <c r="AD779" s="220"/>
      <c r="AE779" s="220"/>
      <c r="AF779" s="220"/>
      <c r="AG779" s="220"/>
      <c r="AH779" s="220"/>
      <c r="AI779" s="220"/>
      <c r="AJ779" s="220"/>
      <c r="AK779" s="220"/>
      <c r="AL779" s="220"/>
      <c r="AM779" s="220"/>
      <c r="AN779" s="220"/>
      <c r="AO779" s="220"/>
      <c r="AP779" s="220"/>
      <c r="AQ779" s="220"/>
      <c r="AR779" s="220"/>
      <c r="AS779" s="220"/>
      <c r="AT779" s="220"/>
      <c r="AU779" s="220"/>
    </row>
    <row r="780" ht="15.75" customHeight="1">
      <c r="A780" s="220"/>
      <c r="B780" s="220"/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  <c r="W780" s="220"/>
      <c r="X780" s="220"/>
      <c r="Y780" s="220"/>
      <c r="Z780" s="220"/>
      <c r="AA780" s="220"/>
      <c r="AB780" s="220"/>
      <c r="AC780" s="220"/>
      <c r="AD780" s="220"/>
      <c r="AE780" s="220"/>
      <c r="AF780" s="220"/>
      <c r="AG780" s="220"/>
      <c r="AH780" s="220"/>
      <c r="AI780" s="220"/>
      <c r="AJ780" s="220"/>
      <c r="AK780" s="220"/>
      <c r="AL780" s="220"/>
      <c r="AM780" s="220"/>
      <c r="AN780" s="220"/>
      <c r="AO780" s="220"/>
      <c r="AP780" s="220"/>
      <c r="AQ780" s="220"/>
      <c r="AR780" s="220"/>
      <c r="AS780" s="220"/>
      <c r="AT780" s="220"/>
      <c r="AU780" s="220"/>
    </row>
    <row r="781" ht="15.75" customHeight="1">
      <c r="A781" s="220"/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220"/>
      <c r="Y781" s="220"/>
      <c r="Z781" s="220"/>
      <c r="AA781" s="220"/>
      <c r="AB781" s="220"/>
      <c r="AC781" s="220"/>
      <c r="AD781" s="220"/>
      <c r="AE781" s="220"/>
      <c r="AF781" s="220"/>
      <c r="AG781" s="220"/>
      <c r="AH781" s="220"/>
      <c r="AI781" s="220"/>
      <c r="AJ781" s="220"/>
      <c r="AK781" s="220"/>
      <c r="AL781" s="220"/>
      <c r="AM781" s="220"/>
      <c r="AN781" s="220"/>
      <c r="AO781" s="220"/>
      <c r="AP781" s="220"/>
      <c r="AQ781" s="220"/>
      <c r="AR781" s="220"/>
      <c r="AS781" s="220"/>
      <c r="AT781" s="220"/>
      <c r="AU781" s="220"/>
    </row>
    <row r="782" ht="15.75" customHeight="1">
      <c r="A782" s="220"/>
      <c r="B782" s="220"/>
      <c r="C782" s="220"/>
      <c r="D782" s="220"/>
      <c r="E782" s="220"/>
      <c r="F782" s="220"/>
      <c r="G782" s="220"/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  <c r="W782" s="220"/>
      <c r="X782" s="220"/>
      <c r="Y782" s="220"/>
      <c r="Z782" s="220"/>
      <c r="AA782" s="220"/>
      <c r="AB782" s="220"/>
      <c r="AC782" s="220"/>
      <c r="AD782" s="220"/>
      <c r="AE782" s="220"/>
      <c r="AF782" s="220"/>
      <c r="AG782" s="220"/>
      <c r="AH782" s="220"/>
      <c r="AI782" s="220"/>
      <c r="AJ782" s="220"/>
      <c r="AK782" s="220"/>
      <c r="AL782" s="220"/>
      <c r="AM782" s="220"/>
      <c r="AN782" s="220"/>
      <c r="AO782" s="220"/>
      <c r="AP782" s="220"/>
      <c r="AQ782" s="220"/>
      <c r="AR782" s="220"/>
      <c r="AS782" s="220"/>
      <c r="AT782" s="220"/>
      <c r="AU782" s="220"/>
    </row>
    <row r="783" ht="15.75" customHeight="1">
      <c r="A783" s="220"/>
      <c r="B783" s="220"/>
      <c r="C783" s="220"/>
      <c r="D783" s="220"/>
      <c r="E783" s="220"/>
      <c r="F783" s="220"/>
      <c r="G783" s="220"/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  <c r="W783" s="220"/>
      <c r="X783" s="220"/>
      <c r="Y783" s="220"/>
      <c r="Z783" s="220"/>
      <c r="AA783" s="220"/>
      <c r="AB783" s="220"/>
      <c r="AC783" s="220"/>
      <c r="AD783" s="220"/>
      <c r="AE783" s="220"/>
      <c r="AF783" s="220"/>
      <c r="AG783" s="220"/>
      <c r="AH783" s="220"/>
      <c r="AI783" s="220"/>
      <c r="AJ783" s="220"/>
      <c r="AK783" s="220"/>
      <c r="AL783" s="220"/>
      <c r="AM783" s="220"/>
      <c r="AN783" s="220"/>
      <c r="AO783" s="220"/>
      <c r="AP783" s="220"/>
      <c r="AQ783" s="220"/>
      <c r="AR783" s="220"/>
      <c r="AS783" s="220"/>
      <c r="AT783" s="220"/>
      <c r="AU783" s="220"/>
    </row>
    <row r="784" ht="15.75" customHeight="1">
      <c r="A784" s="220"/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  <c r="W784" s="220"/>
      <c r="X784" s="220"/>
      <c r="Y784" s="220"/>
      <c r="Z784" s="220"/>
      <c r="AA784" s="220"/>
      <c r="AB784" s="220"/>
      <c r="AC784" s="220"/>
      <c r="AD784" s="220"/>
      <c r="AE784" s="220"/>
      <c r="AF784" s="220"/>
      <c r="AG784" s="220"/>
      <c r="AH784" s="220"/>
      <c r="AI784" s="220"/>
      <c r="AJ784" s="220"/>
      <c r="AK784" s="220"/>
      <c r="AL784" s="220"/>
      <c r="AM784" s="220"/>
      <c r="AN784" s="220"/>
      <c r="AO784" s="220"/>
      <c r="AP784" s="220"/>
      <c r="AQ784" s="220"/>
      <c r="AR784" s="220"/>
      <c r="AS784" s="220"/>
      <c r="AT784" s="220"/>
      <c r="AU784" s="220"/>
    </row>
    <row r="785" ht="15.75" customHeight="1">
      <c r="A785" s="220"/>
      <c r="B785" s="220"/>
      <c r="C785" s="220"/>
      <c r="D785" s="220"/>
      <c r="E785" s="220"/>
      <c r="F785" s="220"/>
      <c r="G785" s="220"/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  <c r="W785" s="220"/>
      <c r="X785" s="220"/>
      <c r="Y785" s="220"/>
      <c r="Z785" s="220"/>
      <c r="AA785" s="220"/>
      <c r="AB785" s="220"/>
      <c r="AC785" s="220"/>
      <c r="AD785" s="220"/>
      <c r="AE785" s="220"/>
      <c r="AF785" s="220"/>
      <c r="AG785" s="220"/>
      <c r="AH785" s="220"/>
      <c r="AI785" s="220"/>
      <c r="AJ785" s="220"/>
      <c r="AK785" s="220"/>
      <c r="AL785" s="220"/>
      <c r="AM785" s="220"/>
      <c r="AN785" s="220"/>
      <c r="AO785" s="220"/>
      <c r="AP785" s="220"/>
      <c r="AQ785" s="220"/>
      <c r="AR785" s="220"/>
      <c r="AS785" s="220"/>
      <c r="AT785" s="220"/>
      <c r="AU785" s="220"/>
    </row>
    <row r="786" ht="15.75" customHeight="1">
      <c r="A786" s="220"/>
      <c r="B786" s="220"/>
      <c r="C786" s="220"/>
      <c r="D786" s="220"/>
      <c r="E786" s="220"/>
      <c r="F786" s="220"/>
      <c r="G786" s="220"/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  <c r="W786" s="220"/>
      <c r="X786" s="220"/>
      <c r="Y786" s="220"/>
      <c r="Z786" s="220"/>
      <c r="AA786" s="220"/>
      <c r="AB786" s="220"/>
      <c r="AC786" s="220"/>
      <c r="AD786" s="220"/>
      <c r="AE786" s="220"/>
      <c r="AF786" s="220"/>
      <c r="AG786" s="220"/>
      <c r="AH786" s="220"/>
      <c r="AI786" s="220"/>
      <c r="AJ786" s="220"/>
      <c r="AK786" s="220"/>
      <c r="AL786" s="220"/>
      <c r="AM786" s="220"/>
      <c r="AN786" s="220"/>
      <c r="AO786" s="220"/>
      <c r="AP786" s="220"/>
      <c r="AQ786" s="220"/>
      <c r="AR786" s="220"/>
      <c r="AS786" s="220"/>
      <c r="AT786" s="220"/>
      <c r="AU786" s="220"/>
    </row>
    <row r="787" ht="15.75" customHeight="1">
      <c r="A787" s="220"/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  <c r="W787" s="220"/>
      <c r="X787" s="220"/>
      <c r="Y787" s="220"/>
      <c r="Z787" s="220"/>
      <c r="AA787" s="220"/>
      <c r="AB787" s="220"/>
      <c r="AC787" s="220"/>
      <c r="AD787" s="220"/>
      <c r="AE787" s="220"/>
      <c r="AF787" s="220"/>
      <c r="AG787" s="220"/>
      <c r="AH787" s="220"/>
      <c r="AI787" s="220"/>
      <c r="AJ787" s="220"/>
      <c r="AK787" s="220"/>
      <c r="AL787" s="220"/>
      <c r="AM787" s="220"/>
      <c r="AN787" s="220"/>
      <c r="AO787" s="220"/>
      <c r="AP787" s="220"/>
      <c r="AQ787" s="220"/>
      <c r="AR787" s="220"/>
      <c r="AS787" s="220"/>
      <c r="AT787" s="220"/>
      <c r="AU787" s="220"/>
    </row>
    <row r="788" ht="15.75" customHeight="1">
      <c r="A788" s="220"/>
      <c r="B788" s="220"/>
      <c r="C788" s="220"/>
      <c r="D788" s="220"/>
      <c r="E788" s="220"/>
      <c r="F788" s="220"/>
      <c r="G788" s="220"/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  <c r="W788" s="220"/>
      <c r="X788" s="220"/>
      <c r="Y788" s="220"/>
      <c r="Z788" s="220"/>
      <c r="AA788" s="220"/>
      <c r="AB788" s="220"/>
      <c r="AC788" s="220"/>
      <c r="AD788" s="220"/>
      <c r="AE788" s="220"/>
      <c r="AF788" s="220"/>
      <c r="AG788" s="220"/>
      <c r="AH788" s="220"/>
      <c r="AI788" s="220"/>
      <c r="AJ788" s="220"/>
      <c r="AK788" s="220"/>
      <c r="AL788" s="220"/>
      <c r="AM788" s="220"/>
      <c r="AN788" s="220"/>
      <c r="AO788" s="220"/>
      <c r="AP788" s="220"/>
      <c r="AQ788" s="220"/>
      <c r="AR788" s="220"/>
      <c r="AS788" s="220"/>
      <c r="AT788" s="220"/>
      <c r="AU788" s="220"/>
    </row>
    <row r="789" ht="15.75" customHeight="1">
      <c r="A789" s="220"/>
      <c r="B789" s="220"/>
      <c r="C789" s="220"/>
      <c r="D789" s="220"/>
      <c r="E789" s="220"/>
      <c r="F789" s="220"/>
      <c r="G789" s="220"/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  <c r="W789" s="220"/>
      <c r="X789" s="220"/>
      <c r="Y789" s="220"/>
      <c r="Z789" s="220"/>
      <c r="AA789" s="220"/>
      <c r="AB789" s="220"/>
      <c r="AC789" s="220"/>
      <c r="AD789" s="220"/>
      <c r="AE789" s="220"/>
      <c r="AF789" s="220"/>
      <c r="AG789" s="220"/>
      <c r="AH789" s="220"/>
      <c r="AI789" s="220"/>
      <c r="AJ789" s="220"/>
      <c r="AK789" s="220"/>
      <c r="AL789" s="220"/>
      <c r="AM789" s="220"/>
      <c r="AN789" s="220"/>
      <c r="AO789" s="220"/>
      <c r="AP789" s="220"/>
      <c r="AQ789" s="220"/>
      <c r="AR789" s="220"/>
      <c r="AS789" s="220"/>
      <c r="AT789" s="220"/>
      <c r="AU789" s="220"/>
    </row>
    <row r="790" ht="15.75" customHeight="1">
      <c r="A790" s="220"/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  <c r="W790" s="220"/>
      <c r="X790" s="220"/>
      <c r="Y790" s="220"/>
      <c r="Z790" s="220"/>
      <c r="AA790" s="220"/>
      <c r="AB790" s="220"/>
      <c r="AC790" s="220"/>
      <c r="AD790" s="220"/>
      <c r="AE790" s="220"/>
      <c r="AF790" s="220"/>
      <c r="AG790" s="220"/>
      <c r="AH790" s="220"/>
      <c r="AI790" s="220"/>
      <c r="AJ790" s="220"/>
      <c r="AK790" s="220"/>
      <c r="AL790" s="220"/>
      <c r="AM790" s="220"/>
      <c r="AN790" s="220"/>
      <c r="AO790" s="220"/>
      <c r="AP790" s="220"/>
      <c r="AQ790" s="220"/>
      <c r="AR790" s="220"/>
      <c r="AS790" s="220"/>
      <c r="AT790" s="220"/>
      <c r="AU790" s="220"/>
    </row>
    <row r="791" ht="15.75" customHeight="1">
      <c r="A791" s="220"/>
      <c r="B791" s="220"/>
      <c r="C791" s="220"/>
      <c r="D791" s="220"/>
      <c r="E791" s="220"/>
      <c r="F791" s="220"/>
      <c r="G791" s="220"/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  <c r="W791" s="220"/>
      <c r="X791" s="220"/>
      <c r="Y791" s="220"/>
      <c r="Z791" s="220"/>
      <c r="AA791" s="220"/>
      <c r="AB791" s="220"/>
      <c r="AC791" s="220"/>
      <c r="AD791" s="220"/>
      <c r="AE791" s="220"/>
      <c r="AF791" s="220"/>
      <c r="AG791" s="220"/>
      <c r="AH791" s="220"/>
      <c r="AI791" s="220"/>
      <c r="AJ791" s="220"/>
      <c r="AK791" s="220"/>
      <c r="AL791" s="220"/>
      <c r="AM791" s="220"/>
      <c r="AN791" s="220"/>
      <c r="AO791" s="220"/>
      <c r="AP791" s="220"/>
      <c r="AQ791" s="220"/>
      <c r="AR791" s="220"/>
      <c r="AS791" s="220"/>
      <c r="AT791" s="220"/>
      <c r="AU791" s="220"/>
    </row>
    <row r="792" ht="15.75" customHeight="1">
      <c r="A792" s="220"/>
      <c r="B792" s="220"/>
      <c r="C792" s="220"/>
      <c r="D792" s="220"/>
      <c r="E792" s="220"/>
      <c r="F792" s="220"/>
      <c r="G792" s="220"/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  <c r="W792" s="220"/>
      <c r="X792" s="220"/>
      <c r="Y792" s="220"/>
      <c r="Z792" s="220"/>
      <c r="AA792" s="220"/>
      <c r="AB792" s="220"/>
      <c r="AC792" s="220"/>
      <c r="AD792" s="220"/>
      <c r="AE792" s="220"/>
      <c r="AF792" s="220"/>
      <c r="AG792" s="220"/>
      <c r="AH792" s="220"/>
      <c r="AI792" s="220"/>
      <c r="AJ792" s="220"/>
      <c r="AK792" s="220"/>
      <c r="AL792" s="220"/>
      <c r="AM792" s="220"/>
      <c r="AN792" s="220"/>
      <c r="AO792" s="220"/>
      <c r="AP792" s="220"/>
      <c r="AQ792" s="220"/>
      <c r="AR792" s="220"/>
      <c r="AS792" s="220"/>
      <c r="AT792" s="220"/>
      <c r="AU792" s="220"/>
    </row>
    <row r="793" ht="15.75" customHeight="1">
      <c r="A793" s="220"/>
      <c r="B793" s="220"/>
      <c r="C793" s="220"/>
      <c r="D793" s="220"/>
      <c r="E793" s="220"/>
      <c r="F793" s="220"/>
      <c r="G793" s="220"/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  <c r="W793" s="220"/>
      <c r="X793" s="220"/>
      <c r="Y793" s="220"/>
      <c r="Z793" s="220"/>
      <c r="AA793" s="220"/>
      <c r="AB793" s="220"/>
      <c r="AC793" s="220"/>
      <c r="AD793" s="220"/>
      <c r="AE793" s="220"/>
      <c r="AF793" s="220"/>
      <c r="AG793" s="220"/>
      <c r="AH793" s="220"/>
      <c r="AI793" s="220"/>
      <c r="AJ793" s="220"/>
      <c r="AK793" s="220"/>
      <c r="AL793" s="220"/>
      <c r="AM793" s="220"/>
      <c r="AN793" s="220"/>
      <c r="AO793" s="220"/>
      <c r="AP793" s="220"/>
      <c r="AQ793" s="220"/>
      <c r="AR793" s="220"/>
      <c r="AS793" s="220"/>
      <c r="AT793" s="220"/>
      <c r="AU793" s="220"/>
    </row>
    <row r="794" ht="15.75" customHeight="1">
      <c r="A794" s="220"/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  <c r="W794" s="220"/>
      <c r="X794" s="220"/>
      <c r="Y794" s="220"/>
      <c r="Z794" s="220"/>
      <c r="AA794" s="220"/>
      <c r="AB794" s="220"/>
      <c r="AC794" s="220"/>
      <c r="AD794" s="220"/>
      <c r="AE794" s="220"/>
      <c r="AF794" s="220"/>
      <c r="AG794" s="220"/>
      <c r="AH794" s="220"/>
      <c r="AI794" s="220"/>
      <c r="AJ794" s="220"/>
      <c r="AK794" s="220"/>
      <c r="AL794" s="220"/>
      <c r="AM794" s="220"/>
      <c r="AN794" s="220"/>
      <c r="AO794" s="220"/>
      <c r="AP794" s="220"/>
      <c r="AQ794" s="220"/>
      <c r="AR794" s="220"/>
      <c r="AS794" s="220"/>
      <c r="AT794" s="220"/>
      <c r="AU794" s="220"/>
    </row>
    <row r="795" ht="15.75" customHeight="1">
      <c r="A795" s="220"/>
      <c r="B795" s="220"/>
      <c r="C795" s="220"/>
      <c r="D795" s="220"/>
      <c r="E795" s="220"/>
      <c r="F795" s="220"/>
      <c r="G795" s="220"/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  <c r="W795" s="220"/>
      <c r="X795" s="220"/>
      <c r="Y795" s="220"/>
      <c r="Z795" s="220"/>
      <c r="AA795" s="220"/>
      <c r="AB795" s="220"/>
      <c r="AC795" s="220"/>
      <c r="AD795" s="220"/>
      <c r="AE795" s="220"/>
      <c r="AF795" s="220"/>
      <c r="AG795" s="220"/>
      <c r="AH795" s="220"/>
      <c r="AI795" s="220"/>
      <c r="AJ795" s="220"/>
      <c r="AK795" s="220"/>
      <c r="AL795" s="220"/>
      <c r="AM795" s="220"/>
      <c r="AN795" s="220"/>
      <c r="AO795" s="220"/>
      <c r="AP795" s="220"/>
      <c r="AQ795" s="220"/>
      <c r="AR795" s="220"/>
      <c r="AS795" s="220"/>
      <c r="AT795" s="220"/>
      <c r="AU795" s="220"/>
    </row>
    <row r="796" ht="15.75" customHeight="1">
      <c r="A796" s="220"/>
      <c r="B796" s="220"/>
      <c r="C796" s="220"/>
      <c r="D796" s="220"/>
      <c r="E796" s="220"/>
      <c r="F796" s="220"/>
      <c r="G796" s="220"/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  <c r="W796" s="220"/>
      <c r="X796" s="220"/>
      <c r="Y796" s="220"/>
      <c r="Z796" s="220"/>
      <c r="AA796" s="220"/>
      <c r="AB796" s="220"/>
      <c r="AC796" s="220"/>
      <c r="AD796" s="220"/>
      <c r="AE796" s="220"/>
      <c r="AF796" s="220"/>
      <c r="AG796" s="220"/>
      <c r="AH796" s="220"/>
      <c r="AI796" s="220"/>
      <c r="AJ796" s="220"/>
      <c r="AK796" s="220"/>
      <c r="AL796" s="220"/>
      <c r="AM796" s="220"/>
      <c r="AN796" s="220"/>
      <c r="AO796" s="220"/>
      <c r="AP796" s="220"/>
      <c r="AQ796" s="220"/>
      <c r="AR796" s="220"/>
      <c r="AS796" s="220"/>
      <c r="AT796" s="220"/>
      <c r="AU796" s="220"/>
    </row>
    <row r="797" ht="15.75" customHeight="1">
      <c r="A797" s="220"/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  <c r="W797" s="220"/>
      <c r="X797" s="220"/>
      <c r="Y797" s="220"/>
      <c r="Z797" s="220"/>
      <c r="AA797" s="220"/>
      <c r="AB797" s="220"/>
      <c r="AC797" s="220"/>
      <c r="AD797" s="220"/>
      <c r="AE797" s="220"/>
      <c r="AF797" s="220"/>
      <c r="AG797" s="220"/>
      <c r="AH797" s="220"/>
      <c r="AI797" s="220"/>
      <c r="AJ797" s="220"/>
      <c r="AK797" s="220"/>
      <c r="AL797" s="220"/>
      <c r="AM797" s="220"/>
      <c r="AN797" s="220"/>
      <c r="AO797" s="220"/>
      <c r="AP797" s="220"/>
      <c r="AQ797" s="220"/>
      <c r="AR797" s="220"/>
      <c r="AS797" s="220"/>
      <c r="AT797" s="220"/>
      <c r="AU797" s="220"/>
    </row>
    <row r="798" ht="15.75" customHeight="1">
      <c r="A798" s="220"/>
      <c r="B798" s="220"/>
      <c r="C798" s="220"/>
      <c r="D798" s="220"/>
      <c r="E798" s="220"/>
      <c r="F798" s="220"/>
      <c r="G798" s="220"/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  <c r="W798" s="220"/>
      <c r="X798" s="220"/>
      <c r="Y798" s="220"/>
      <c r="Z798" s="220"/>
      <c r="AA798" s="220"/>
      <c r="AB798" s="220"/>
      <c r="AC798" s="220"/>
      <c r="AD798" s="220"/>
      <c r="AE798" s="220"/>
      <c r="AF798" s="220"/>
      <c r="AG798" s="220"/>
      <c r="AH798" s="220"/>
      <c r="AI798" s="220"/>
      <c r="AJ798" s="220"/>
      <c r="AK798" s="220"/>
      <c r="AL798" s="220"/>
      <c r="AM798" s="220"/>
      <c r="AN798" s="220"/>
      <c r="AO798" s="220"/>
      <c r="AP798" s="220"/>
      <c r="AQ798" s="220"/>
      <c r="AR798" s="220"/>
      <c r="AS798" s="220"/>
      <c r="AT798" s="220"/>
      <c r="AU798" s="220"/>
    </row>
    <row r="799" ht="15.75" customHeight="1">
      <c r="A799" s="220"/>
      <c r="B799" s="220"/>
      <c r="C799" s="220"/>
      <c r="D799" s="220"/>
      <c r="E799" s="220"/>
      <c r="F799" s="220"/>
      <c r="G799" s="220"/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  <c r="W799" s="220"/>
      <c r="X799" s="220"/>
      <c r="Y799" s="220"/>
      <c r="Z799" s="220"/>
      <c r="AA799" s="220"/>
      <c r="AB799" s="220"/>
      <c r="AC799" s="220"/>
      <c r="AD799" s="220"/>
      <c r="AE799" s="220"/>
      <c r="AF799" s="220"/>
      <c r="AG799" s="220"/>
      <c r="AH799" s="220"/>
      <c r="AI799" s="220"/>
      <c r="AJ799" s="220"/>
      <c r="AK799" s="220"/>
      <c r="AL799" s="220"/>
      <c r="AM799" s="220"/>
      <c r="AN799" s="220"/>
      <c r="AO799" s="220"/>
      <c r="AP799" s="220"/>
      <c r="AQ799" s="220"/>
      <c r="AR799" s="220"/>
      <c r="AS799" s="220"/>
      <c r="AT799" s="220"/>
      <c r="AU799" s="220"/>
    </row>
    <row r="800" ht="15.75" customHeight="1">
      <c r="A800" s="220"/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  <c r="W800" s="220"/>
      <c r="X800" s="220"/>
      <c r="Y800" s="220"/>
      <c r="Z800" s="220"/>
      <c r="AA800" s="220"/>
      <c r="AB800" s="220"/>
      <c r="AC800" s="220"/>
      <c r="AD800" s="220"/>
      <c r="AE800" s="220"/>
      <c r="AF800" s="220"/>
      <c r="AG800" s="220"/>
      <c r="AH800" s="220"/>
      <c r="AI800" s="220"/>
      <c r="AJ800" s="220"/>
      <c r="AK800" s="220"/>
      <c r="AL800" s="220"/>
      <c r="AM800" s="220"/>
      <c r="AN800" s="220"/>
      <c r="AO800" s="220"/>
      <c r="AP800" s="220"/>
      <c r="AQ800" s="220"/>
      <c r="AR800" s="220"/>
      <c r="AS800" s="220"/>
      <c r="AT800" s="220"/>
      <c r="AU800" s="220"/>
    </row>
    <row r="801" ht="15.75" customHeight="1">
      <c r="A801" s="220"/>
      <c r="B801" s="220"/>
      <c r="C801" s="220"/>
      <c r="D801" s="220"/>
      <c r="E801" s="220"/>
      <c r="F801" s="220"/>
      <c r="G801" s="220"/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  <c r="W801" s="220"/>
      <c r="X801" s="220"/>
      <c r="Y801" s="220"/>
      <c r="Z801" s="220"/>
      <c r="AA801" s="220"/>
      <c r="AB801" s="220"/>
      <c r="AC801" s="220"/>
      <c r="AD801" s="220"/>
      <c r="AE801" s="220"/>
      <c r="AF801" s="220"/>
      <c r="AG801" s="220"/>
      <c r="AH801" s="220"/>
      <c r="AI801" s="220"/>
      <c r="AJ801" s="220"/>
      <c r="AK801" s="220"/>
      <c r="AL801" s="220"/>
      <c r="AM801" s="220"/>
      <c r="AN801" s="220"/>
      <c r="AO801" s="220"/>
      <c r="AP801" s="220"/>
      <c r="AQ801" s="220"/>
      <c r="AR801" s="220"/>
      <c r="AS801" s="220"/>
      <c r="AT801" s="220"/>
      <c r="AU801" s="220"/>
    </row>
    <row r="802" ht="15.75" customHeight="1">
      <c r="A802" s="220"/>
      <c r="B802" s="220"/>
      <c r="C802" s="220"/>
      <c r="D802" s="220"/>
      <c r="E802" s="220"/>
      <c r="F802" s="220"/>
      <c r="G802" s="220"/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  <c r="W802" s="220"/>
      <c r="X802" s="220"/>
      <c r="Y802" s="220"/>
      <c r="Z802" s="220"/>
      <c r="AA802" s="220"/>
      <c r="AB802" s="220"/>
      <c r="AC802" s="220"/>
      <c r="AD802" s="220"/>
      <c r="AE802" s="220"/>
      <c r="AF802" s="220"/>
      <c r="AG802" s="220"/>
      <c r="AH802" s="220"/>
      <c r="AI802" s="220"/>
      <c r="AJ802" s="220"/>
      <c r="AK802" s="220"/>
      <c r="AL802" s="220"/>
      <c r="AM802" s="220"/>
      <c r="AN802" s="220"/>
      <c r="AO802" s="220"/>
      <c r="AP802" s="220"/>
      <c r="AQ802" s="220"/>
      <c r="AR802" s="220"/>
      <c r="AS802" s="220"/>
      <c r="AT802" s="220"/>
      <c r="AU802" s="220"/>
    </row>
    <row r="803" ht="15.75" customHeight="1">
      <c r="A803" s="220"/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  <c r="W803" s="220"/>
      <c r="X803" s="220"/>
      <c r="Y803" s="220"/>
      <c r="Z803" s="220"/>
      <c r="AA803" s="220"/>
      <c r="AB803" s="220"/>
      <c r="AC803" s="220"/>
      <c r="AD803" s="220"/>
      <c r="AE803" s="220"/>
      <c r="AF803" s="220"/>
      <c r="AG803" s="220"/>
      <c r="AH803" s="220"/>
      <c r="AI803" s="220"/>
      <c r="AJ803" s="220"/>
      <c r="AK803" s="220"/>
      <c r="AL803" s="220"/>
      <c r="AM803" s="220"/>
      <c r="AN803" s="220"/>
      <c r="AO803" s="220"/>
      <c r="AP803" s="220"/>
      <c r="AQ803" s="220"/>
      <c r="AR803" s="220"/>
      <c r="AS803" s="220"/>
      <c r="AT803" s="220"/>
      <c r="AU803" s="220"/>
    </row>
    <row r="804" ht="15.75" customHeight="1">
      <c r="A804" s="220"/>
      <c r="B804" s="220"/>
      <c r="C804" s="220"/>
      <c r="D804" s="220"/>
      <c r="E804" s="220"/>
      <c r="F804" s="220"/>
      <c r="G804" s="220"/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  <c r="W804" s="220"/>
      <c r="X804" s="220"/>
      <c r="Y804" s="220"/>
      <c r="Z804" s="220"/>
      <c r="AA804" s="220"/>
      <c r="AB804" s="220"/>
      <c r="AC804" s="220"/>
      <c r="AD804" s="220"/>
      <c r="AE804" s="220"/>
      <c r="AF804" s="220"/>
      <c r="AG804" s="220"/>
      <c r="AH804" s="220"/>
      <c r="AI804" s="220"/>
      <c r="AJ804" s="220"/>
      <c r="AK804" s="220"/>
      <c r="AL804" s="220"/>
      <c r="AM804" s="220"/>
      <c r="AN804" s="220"/>
      <c r="AO804" s="220"/>
      <c r="AP804" s="220"/>
      <c r="AQ804" s="220"/>
      <c r="AR804" s="220"/>
      <c r="AS804" s="220"/>
      <c r="AT804" s="220"/>
      <c r="AU804" s="220"/>
    </row>
    <row r="805" ht="15.75" customHeight="1">
      <c r="A805" s="220"/>
      <c r="B805" s="220"/>
      <c r="C805" s="220"/>
      <c r="D805" s="220"/>
      <c r="E805" s="220"/>
      <c r="F805" s="220"/>
      <c r="G805" s="220"/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  <c r="W805" s="220"/>
      <c r="X805" s="220"/>
      <c r="Y805" s="220"/>
      <c r="Z805" s="220"/>
      <c r="AA805" s="220"/>
      <c r="AB805" s="220"/>
      <c r="AC805" s="220"/>
      <c r="AD805" s="220"/>
      <c r="AE805" s="220"/>
      <c r="AF805" s="220"/>
      <c r="AG805" s="220"/>
      <c r="AH805" s="220"/>
      <c r="AI805" s="220"/>
      <c r="AJ805" s="220"/>
      <c r="AK805" s="220"/>
      <c r="AL805" s="220"/>
      <c r="AM805" s="220"/>
      <c r="AN805" s="220"/>
      <c r="AO805" s="220"/>
      <c r="AP805" s="220"/>
      <c r="AQ805" s="220"/>
      <c r="AR805" s="220"/>
      <c r="AS805" s="220"/>
      <c r="AT805" s="220"/>
      <c r="AU805" s="220"/>
    </row>
    <row r="806" ht="15.75" customHeight="1">
      <c r="A806" s="220"/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  <c r="W806" s="220"/>
      <c r="X806" s="220"/>
      <c r="Y806" s="220"/>
      <c r="Z806" s="220"/>
      <c r="AA806" s="220"/>
      <c r="AB806" s="220"/>
      <c r="AC806" s="220"/>
      <c r="AD806" s="220"/>
      <c r="AE806" s="220"/>
      <c r="AF806" s="220"/>
      <c r="AG806" s="220"/>
      <c r="AH806" s="220"/>
      <c r="AI806" s="220"/>
      <c r="AJ806" s="220"/>
      <c r="AK806" s="220"/>
      <c r="AL806" s="220"/>
      <c r="AM806" s="220"/>
      <c r="AN806" s="220"/>
      <c r="AO806" s="220"/>
      <c r="AP806" s="220"/>
      <c r="AQ806" s="220"/>
      <c r="AR806" s="220"/>
      <c r="AS806" s="220"/>
      <c r="AT806" s="220"/>
      <c r="AU806" s="220"/>
    </row>
    <row r="807" ht="15.75" customHeight="1">
      <c r="A807" s="220"/>
      <c r="B807" s="220"/>
      <c r="C807" s="220"/>
      <c r="D807" s="220"/>
      <c r="E807" s="220"/>
      <c r="F807" s="220"/>
      <c r="G807" s="220"/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  <c r="W807" s="220"/>
      <c r="X807" s="220"/>
      <c r="Y807" s="220"/>
      <c r="Z807" s="220"/>
      <c r="AA807" s="220"/>
      <c r="AB807" s="220"/>
      <c r="AC807" s="220"/>
      <c r="AD807" s="220"/>
      <c r="AE807" s="220"/>
      <c r="AF807" s="220"/>
      <c r="AG807" s="220"/>
      <c r="AH807" s="220"/>
      <c r="AI807" s="220"/>
      <c r="AJ807" s="220"/>
      <c r="AK807" s="220"/>
      <c r="AL807" s="220"/>
      <c r="AM807" s="220"/>
      <c r="AN807" s="220"/>
      <c r="AO807" s="220"/>
      <c r="AP807" s="220"/>
      <c r="AQ807" s="220"/>
      <c r="AR807" s="220"/>
      <c r="AS807" s="220"/>
      <c r="AT807" s="220"/>
      <c r="AU807" s="220"/>
    </row>
    <row r="808" ht="15.75" customHeight="1">
      <c r="A808" s="220"/>
      <c r="B808" s="220"/>
      <c r="C808" s="220"/>
      <c r="D808" s="220"/>
      <c r="E808" s="220"/>
      <c r="F808" s="220"/>
      <c r="G808" s="220"/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  <c r="W808" s="220"/>
      <c r="X808" s="220"/>
      <c r="Y808" s="220"/>
      <c r="Z808" s="220"/>
      <c r="AA808" s="220"/>
      <c r="AB808" s="220"/>
      <c r="AC808" s="220"/>
      <c r="AD808" s="220"/>
      <c r="AE808" s="220"/>
      <c r="AF808" s="220"/>
      <c r="AG808" s="220"/>
      <c r="AH808" s="220"/>
      <c r="AI808" s="220"/>
      <c r="AJ808" s="220"/>
      <c r="AK808" s="220"/>
      <c r="AL808" s="220"/>
      <c r="AM808" s="220"/>
      <c r="AN808" s="220"/>
      <c r="AO808" s="220"/>
      <c r="AP808" s="220"/>
      <c r="AQ808" s="220"/>
      <c r="AR808" s="220"/>
      <c r="AS808" s="220"/>
      <c r="AT808" s="220"/>
      <c r="AU808" s="220"/>
    </row>
    <row r="809" ht="15.75" customHeight="1">
      <c r="A809" s="220"/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  <c r="W809" s="220"/>
      <c r="X809" s="220"/>
      <c r="Y809" s="220"/>
      <c r="Z809" s="220"/>
      <c r="AA809" s="220"/>
      <c r="AB809" s="220"/>
      <c r="AC809" s="220"/>
      <c r="AD809" s="220"/>
      <c r="AE809" s="220"/>
      <c r="AF809" s="220"/>
      <c r="AG809" s="220"/>
      <c r="AH809" s="220"/>
      <c r="AI809" s="220"/>
      <c r="AJ809" s="220"/>
      <c r="AK809" s="220"/>
      <c r="AL809" s="220"/>
      <c r="AM809" s="220"/>
      <c r="AN809" s="220"/>
      <c r="AO809" s="220"/>
      <c r="AP809" s="220"/>
      <c r="AQ809" s="220"/>
      <c r="AR809" s="220"/>
      <c r="AS809" s="220"/>
      <c r="AT809" s="220"/>
      <c r="AU809" s="220"/>
    </row>
    <row r="810" ht="15.75" customHeight="1">
      <c r="A810" s="220"/>
      <c r="B810" s="220"/>
      <c r="C810" s="220"/>
      <c r="D810" s="220"/>
      <c r="E810" s="220"/>
      <c r="F810" s="220"/>
      <c r="G810" s="220"/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  <c r="W810" s="220"/>
      <c r="X810" s="220"/>
      <c r="Y810" s="220"/>
      <c r="Z810" s="220"/>
      <c r="AA810" s="220"/>
      <c r="AB810" s="220"/>
      <c r="AC810" s="220"/>
      <c r="AD810" s="220"/>
      <c r="AE810" s="220"/>
      <c r="AF810" s="220"/>
      <c r="AG810" s="220"/>
      <c r="AH810" s="220"/>
      <c r="AI810" s="220"/>
      <c r="AJ810" s="220"/>
      <c r="AK810" s="220"/>
      <c r="AL810" s="220"/>
      <c r="AM810" s="220"/>
      <c r="AN810" s="220"/>
      <c r="AO810" s="220"/>
      <c r="AP810" s="220"/>
      <c r="AQ810" s="220"/>
      <c r="AR810" s="220"/>
      <c r="AS810" s="220"/>
      <c r="AT810" s="220"/>
      <c r="AU810" s="220"/>
    </row>
    <row r="811" ht="15.75" customHeight="1">
      <c r="A811" s="220"/>
      <c r="B811" s="220"/>
      <c r="C811" s="220"/>
      <c r="D811" s="220"/>
      <c r="E811" s="220"/>
      <c r="F811" s="220"/>
      <c r="G811" s="220"/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  <c r="W811" s="220"/>
      <c r="X811" s="220"/>
      <c r="Y811" s="220"/>
      <c r="Z811" s="220"/>
      <c r="AA811" s="220"/>
      <c r="AB811" s="220"/>
      <c r="AC811" s="220"/>
      <c r="AD811" s="220"/>
      <c r="AE811" s="220"/>
      <c r="AF811" s="220"/>
      <c r="AG811" s="220"/>
      <c r="AH811" s="220"/>
      <c r="AI811" s="220"/>
      <c r="AJ811" s="220"/>
      <c r="AK811" s="220"/>
      <c r="AL811" s="220"/>
      <c r="AM811" s="220"/>
      <c r="AN811" s="220"/>
      <c r="AO811" s="220"/>
      <c r="AP811" s="220"/>
      <c r="AQ811" s="220"/>
      <c r="AR811" s="220"/>
      <c r="AS811" s="220"/>
      <c r="AT811" s="220"/>
      <c r="AU811" s="220"/>
    </row>
    <row r="812" ht="15.75" customHeight="1">
      <c r="A812" s="220"/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  <c r="W812" s="220"/>
      <c r="X812" s="220"/>
      <c r="Y812" s="220"/>
      <c r="Z812" s="220"/>
      <c r="AA812" s="220"/>
      <c r="AB812" s="220"/>
      <c r="AC812" s="220"/>
      <c r="AD812" s="220"/>
      <c r="AE812" s="220"/>
      <c r="AF812" s="220"/>
      <c r="AG812" s="220"/>
      <c r="AH812" s="220"/>
      <c r="AI812" s="220"/>
      <c r="AJ812" s="220"/>
      <c r="AK812" s="220"/>
      <c r="AL812" s="220"/>
      <c r="AM812" s="220"/>
      <c r="AN812" s="220"/>
      <c r="AO812" s="220"/>
      <c r="AP812" s="220"/>
      <c r="AQ812" s="220"/>
      <c r="AR812" s="220"/>
      <c r="AS812" s="220"/>
      <c r="AT812" s="220"/>
      <c r="AU812" s="220"/>
    </row>
    <row r="813" ht="15.75" customHeight="1">
      <c r="A813" s="220"/>
      <c r="B813" s="220"/>
      <c r="C813" s="220"/>
      <c r="D813" s="220"/>
      <c r="E813" s="220"/>
      <c r="F813" s="220"/>
      <c r="G813" s="220"/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  <c r="W813" s="220"/>
      <c r="X813" s="220"/>
      <c r="Y813" s="220"/>
      <c r="Z813" s="220"/>
      <c r="AA813" s="220"/>
      <c r="AB813" s="220"/>
      <c r="AC813" s="220"/>
      <c r="AD813" s="220"/>
      <c r="AE813" s="220"/>
      <c r="AF813" s="220"/>
      <c r="AG813" s="220"/>
      <c r="AH813" s="220"/>
      <c r="AI813" s="220"/>
      <c r="AJ813" s="220"/>
      <c r="AK813" s="220"/>
      <c r="AL813" s="220"/>
      <c r="AM813" s="220"/>
      <c r="AN813" s="220"/>
      <c r="AO813" s="220"/>
      <c r="AP813" s="220"/>
      <c r="AQ813" s="220"/>
      <c r="AR813" s="220"/>
      <c r="AS813" s="220"/>
      <c r="AT813" s="220"/>
      <c r="AU813" s="220"/>
    </row>
    <row r="814" ht="15.75" customHeight="1">
      <c r="A814" s="220"/>
      <c r="B814" s="220"/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  <c r="W814" s="220"/>
      <c r="X814" s="220"/>
      <c r="Y814" s="220"/>
      <c r="Z814" s="220"/>
      <c r="AA814" s="220"/>
      <c r="AB814" s="220"/>
      <c r="AC814" s="220"/>
      <c r="AD814" s="220"/>
      <c r="AE814" s="220"/>
      <c r="AF814" s="220"/>
      <c r="AG814" s="220"/>
      <c r="AH814" s="220"/>
      <c r="AI814" s="220"/>
      <c r="AJ814" s="220"/>
      <c r="AK814" s="220"/>
      <c r="AL814" s="220"/>
      <c r="AM814" s="220"/>
      <c r="AN814" s="220"/>
      <c r="AO814" s="220"/>
      <c r="AP814" s="220"/>
      <c r="AQ814" s="220"/>
      <c r="AR814" s="220"/>
      <c r="AS814" s="220"/>
      <c r="AT814" s="220"/>
      <c r="AU814" s="220"/>
    </row>
    <row r="815" ht="15.75" customHeight="1">
      <c r="A815" s="220"/>
      <c r="B815" s="220"/>
      <c r="C815" s="220"/>
      <c r="D815" s="220"/>
      <c r="E815" s="220"/>
      <c r="F815" s="220"/>
      <c r="G815" s="220"/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  <c r="W815" s="220"/>
      <c r="X815" s="220"/>
      <c r="Y815" s="220"/>
      <c r="Z815" s="220"/>
      <c r="AA815" s="220"/>
      <c r="AB815" s="220"/>
      <c r="AC815" s="220"/>
      <c r="AD815" s="220"/>
      <c r="AE815" s="220"/>
      <c r="AF815" s="220"/>
      <c r="AG815" s="220"/>
      <c r="AH815" s="220"/>
      <c r="AI815" s="220"/>
      <c r="AJ815" s="220"/>
      <c r="AK815" s="220"/>
      <c r="AL815" s="220"/>
      <c r="AM815" s="220"/>
      <c r="AN815" s="220"/>
      <c r="AO815" s="220"/>
      <c r="AP815" s="220"/>
      <c r="AQ815" s="220"/>
      <c r="AR815" s="220"/>
      <c r="AS815" s="220"/>
      <c r="AT815" s="220"/>
      <c r="AU815" s="220"/>
    </row>
    <row r="816" ht="15.75" customHeight="1">
      <c r="A816" s="220"/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  <c r="W816" s="220"/>
      <c r="X816" s="220"/>
      <c r="Y816" s="220"/>
      <c r="Z816" s="220"/>
      <c r="AA816" s="220"/>
      <c r="AB816" s="220"/>
      <c r="AC816" s="220"/>
      <c r="AD816" s="220"/>
      <c r="AE816" s="220"/>
      <c r="AF816" s="220"/>
      <c r="AG816" s="220"/>
      <c r="AH816" s="220"/>
      <c r="AI816" s="220"/>
      <c r="AJ816" s="220"/>
      <c r="AK816" s="220"/>
      <c r="AL816" s="220"/>
      <c r="AM816" s="220"/>
      <c r="AN816" s="220"/>
      <c r="AO816" s="220"/>
      <c r="AP816" s="220"/>
      <c r="AQ816" s="220"/>
      <c r="AR816" s="220"/>
      <c r="AS816" s="220"/>
      <c r="AT816" s="220"/>
      <c r="AU816" s="220"/>
    </row>
    <row r="817" ht="15.75" customHeight="1">
      <c r="A817" s="220"/>
      <c r="B817" s="220"/>
      <c r="C817" s="220"/>
      <c r="D817" s="220"/>
      <c r="E817" s="220"/>
      <c r="F817" s="220"/>
      <c r="G817" s="220"/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  <c r="W817" s="220"/>
      <c r="X817" s="220"/>
      <c r="Y817" s="220"/>
      <c r="Z817" s="220"/>
      <c r="AA817" s="220"/>
      <c r="AB817" s="220"/>
      <c r="AC817" s="220"/>
      <c r="AD817" s="220"/>
      <c r="AE817" s="220"/>
      <c r="AF817" s="220"/>
      <c r="AG817" s="220"/>
      <c r="AH817" s="220"/>
      <c r="AI817" s="220"/>
      <c r="AJ817" s="220"/>
      <c r="AK817" s="220"/>
      <c r="AL817" s="220"/>
      <c r="AM817" s="220"/>
      <c r="AN817" s="220"/>
      <c r="AO817" s="220"/>
      <c r="AP817" s="220"/>
      <c r="AQ817" s="220"/>
      <c r="AR817" s="220"/>
      <c r="AS817" s="220"/>
      <c r="AT817" s="220"/>
      <c r="AU817" s="220"/>
    </row>
    <row r="818" ht="15.75" customHeight="1">
      <c r="A818" s="220"/>
      <c r="B818" s="220"/>
      <c r="C818" s="220"/>
      <c r="D818" s="220"/>
      <c r="E818" s="220"/>
      <c r="F818" s="220"/>
      <c r="G818" s="220"/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  <c r="W818" s="220"/>
      <c r="X818" s="220"/>
      <c r="Y818" s="220"/>
      <c r="Z818" s="220"/>
      <c r="AA818" s="220"/>
      <c r="AB818" s="220"/>
      <c r="AC818" s="220"/>
      <c r="AD818" s="220"/>
      <c r="AE818" s="220"/>
      <c r="AF818" s="220"/>
      <c r="AG818" s="220"/>
      <c r="AH818" s="220"/>
      <c r="AI818" s="220"/>
      <c r="AJ818" s="220"/>
      <c r="AK818" s="220"/>
      <c r="AL818" s="220"/>
      <c r="AM818" s="220"/>
      <c r="AN818" s="220"/>
      <c r="AO818" s="220"/>
      <c r="AP818" s="220"/>
      <c r="AQ818" s="220"/>
      <c r="AR818" s="220"/>
      <c r="AS818" s="220"/>
      <c r="AT818" s="220"/>
      <c r="AU818" s="220"/>
    </row>
    <row r="819" ht="15.75" customHeight="1">
      <c r="A819" s="220"/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  <c r="W819" s="220"/>
      <c r="X819" s="220"/>
      <c r="Y819" s="220"/>
      <c r="Z819" s="220"/>
      <c r="AA819" s="220"/>
      <c r="AB819" s="220"/>
      <c r="AC819" s="220"/>
      <c r="AD819" s="220"/>
      <c r="AE819" s="220"/>
      <c r="AF819" s="220"/>
      <c r="AG819" s="220"/>
      <c r="AH819" s="220"/>
      <c r="AI819" s="220"/>
      <c r="AJ819" s="220"/>
      <c r="AK819" s="220"/>
      <c r="AL819" s="220"/>
      <c r="AM819" s="220"/>
      <c r="AN819" s="220"/>
      <c r="AO819" s="220"/>
      <c r="AP819" s="220"/>
      <c r="AQ819" s="220"/>
      <c r="AR819" s="220"/>
      <c r="AS819" s="220"/>
      <c r="AT819" s="220"/>
      <c r="AU819" s="220"/>
    </row>
    <row r="820" ht="15.75" customHeight="1">
      <c r="A820" s="220"/>
      <c r="B820" s="220"/>
      <c r="C820" s="220"/>
      <c r="D820" s="220"/>
      <c r="E820" s="220"/>
      <c r="F820" s="220"/>
      <c r="G820" s="220"/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  <c r="W820" s="220"/>
      <c r="X820" s="220"/>
      <c r="Y820" s="220"/>
      <c r="Z820" s="220"/>
      <c r="AA820" s="220"/>
      <c r="AB820" s="220"/>
      <c r="AC820" s="220"/>
      <c r="AD820" s="220"/>
      <c r="AE820" s="220"/>
      <c r="AF820" s="220"/>
      <c r="AG820" s="220"/>
      <c r="AH820" s="220"/>
      <c r="AI820" s="220"/>
      <c r="AJ820" s="220"/>
      <c r="AK820" s="220"/>
      <c r="AL820" s="220"/>
      <c r="AM820" s="220"/>
      <c r="AN820" s="220"/>
      <c r="AO820" s="220"/>
      <c r="AP820" s="220"/>
      <c r="AQ820" s="220"/>
      <c r="AR820" s="220"/>
      <c r="AS820" s="220"/>
      <c r="AT820" s="220"/>
      <c r="AU820" s="220"/>
    </row>
    <row r="821" ht="15.75" customHeight="1">
      <c r="A821" s="220"/>
      <c r="B821" s="220"/>
      <c r="C821" s="220"/>
      <c r="D821" s="220"/>
      <c r="E821" s="220"/>
      <c r="F821" s="220"/>
      <c r="G821" s="220"/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  <c r="W821" s="220"/>
      <c r="X821" s="220"/>
      <c r="Y821" s="220"/>
      <c r="Z821" s="220"/>
      <c r="AA821" s="220"/>
      <c r="AB821" s="220"/>
      <c r="AC821" s="220"/>
      <c r="AD821" s="220"/>
      <c r="AE821" s="220"/>
      <c r="AF821" s="220"/>
      <c r="AG821" s="220"/>
      <c r="AH821" s="220"/>
      <c r="AI821" s="220"/>
      <c r="AJ821" s="220"/>
      <c r="AK821" s="220"/>
      <c r="AL821" s="220"/>
      <c r="AM821" s="220"/>
      <c r="AN821" s="220"/>
      <c r="AO821" s="220"/>
      <c r="AP821" s="220"/>
      <c r="AQ821" s="220"/>
      <c r="AR821" s="220"/>
      <c r="AS821" s="220"/>
      <c r="AT821" s="220"/>
      <c r="AU821" s="220"/>
    </row>
    <row r="822" ht="15.75" customHeight="1">
      <c r="A822" s="220"/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  <c r="W822" s="220"/>
      <c r="X822" s="220"/>
      <c r="Y822" s="220"/>
      <c r="Z822" s="220"/>
      <c r="AA822" s="220"/>
      <c r="AB822" s="220"/>
      <c r="AC822" s="220"/>
      <c r="AD822" s="220"/>
      <c r="AE822" s="220"/>
      <c r="AF822" s="220"/>
      <c r="AG822" s="220"/>
      <c r="AH822" s="220"/>
      <c r="AI822" s="220"/>
      <c r="AJ822" s="220"/>
      <c r="AK822" s="220"/>
      <c r="AL822" s="220"/>
      <c r="AM822" s="220"/>
      <c r="AN822" s="220"/>
      <c r="AO822" s="220"/>
      <c r="AP822" s="220"/>
      <c r="AQ822" s="220"/>
      <c r="AR822" s="220"/>
      <c r="AS822" s="220"/>
      <c r="AT822" s="220"/>
      <c r="AU822" s="220"/>
    </row>
    <row r="823" ht="15.75" customHeight="1">
      <c r="A823" s="220"/>
      <c r="B823" s="220"/>
      <c r="C823" s="220"/>
      <c r="D823" s="220"/>
      <c r="E823" s="220"/>
      <c r="F823" s="220"/>
      <c r="G823" s="220"/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  <c r="W823" s="220"/>
      <c r="X823" s="220"/>
      <c r="Y823" s="220"/>
      <c r="Z823" s="220"/>
      <c r="AA823" s="220"/>
      <c r="AB823" s="220"/>
      <c r="AC823" s="220"/>
      <c r="AD823" s="220"/>
      <c r="AE823" s="220"/>
      <c r="AF823" s="220"/>
      <c r="AG823" s="220"/>
      <c r="AH823" s="220"/>
      <c r="AI823" s="220"/>
      <c r="AJ823" s="220"/>
      <c r="AK823" s="220"/>
      <c r="AL823" s="220"/>
      <c r="AM823" s="220"/>
      <c r="AN823" s="220"/>
      <c r="AO823" s="220"/>
      <c r="AP823" s="220"/>
      <c r="AQ823" s="220"/>
      <c r="AR823" s="220"/>
      <c r="AS823" s="220"/>
      <c r="AT823" s="220"/>
      <c r="AU823" s="220"/>
    </row>
    <row r="824" ht="15.75" customHeight="1">
      <c r="A824" s="220"/>
      <c r="B824" s="220"/>
      <c r="C824" s="220"/>
      <c r="D824" s="220"/>
      <c r="E824" s="220"/>
      <c r="F824" s="220"/>
      <c r="G824" s="220"/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  <c r="W824" s="220"/>
      <c r="X824" s="220"/>
      <c r="Y824" s="220"/>
      <c r="Z824" s="220"/>
      <c r="AA824" s="220"/>
      <c r="AB824" s="220"/>
      <c r="AC824" s="220"/>
      <c r="AD824" s="220"/>
      <c r="AE824" s="220"/>
      <c r="AF824" s="220"/>
      <c r="AG824" s="220"/>
      <c r="AH824" s="220"/>
      <c r="AI824" s="220"/>
      <c r="AJ824" s="220"/>
      <c r="AK824" s="220"/>
      <c r="AL824" s="220"/>
      <c r="AM824" s="220"/>
      <c r="AN824" s="220"/>
      <c r="AO824" s="220"/>
      <c r="AP824" s="220"/>
      <c r="AQ824" s="220"/>
      <c r="AR824" s="220"/>
      <c r="AS824" s="220"/>
      <c r="AT824" s="220"/>
      <c r="AU824" s="220"/>
    </row>
    <row r="825" ht="15.75" customHeight="1">
      <c r="A825" s="220"/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  <c r="W825" s="220"/>
      <c r="X825" s="220"/>
      <c r="Y825" s="220"/>
      <c r="Z825" s="220"/>
      <c r="AA825" s="220"/>
      <c r="AB825" s="220"/>
      <c r="AC825" s="220"/>
      <c r="AD825" s="220"/>
      <c r="AE825" s="220"/>
      <c r="AF825" s="220"/>
      <c r="AG825" s="220"/>
      <c r="AH825" s="220"/>
      <c r="AI825" s="220"/>
      <c r="AJ825" s="220"/>
      <c r="AK825" s="220"/>
      <c r="AL825" s="220"/>
      <c r="AM825" s="220"/>
      <c r="AN825" s="220"/>
      <c r="AO825" s="220"/>
      <c r="AP825" s="220"/>
      <c r="AQ825" s="220"/>
      <c r="AR825" s="220"/>
      <c r="AS825" s="220"/>
      <c r="AT825" s="220"/>
      <c r="AU825" s="220"/>
    </row>
    <row r="826" ht="15.75" customHeight="1">
      <c r="A826" s="220"/>
      <c r="B826" s="220"/>
      <c r="C826" s="220"/>
      <c r="D826" s="220"/>
      <c r="E826" s="220"/>
      <c r="F826" s="220"/>
      <c r="G826" s="220"/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  <c r="W826" s="220"/>
      <c r="X826" s="220"/>
      <c r="Y826" s="220"/>
      <c r="Z826" s="220"/>
      <c r="AA826" s="220"/>
      <c r="AB826" s="220"/>
      <c r="AC826" s="220"/>
      <c r="AD826" s="220"/>
      <c r="AE826" s="220"/>
      <c r="AF826" s="220"/>
      <c r="AG826" s="220"/>
      <c r="AH826" s="220"/>
      <c r="AI826" s="220"/>
      <c r="AJ826" s="220"/>
      <c r="AK826" s="220"/>
      <c r="AL826" s="220"/>
      <c r="AM826" s="220"/>
      <c r="AN826" s="220"/>
      <c r="AO826" s="220"/>
      <c r="AP826" s="220"/>
      <c r="AQ826" s="220"/>
      <c r="AR826" s="220"/>
      <c r="AS826" s="220"/>
      <c r="AT826" s="220"/>
      <c r="AU826" s="220"/>
    </row>
    <row r="827" ht="15.75" customHeight="1">
      <c r="A827" s="220"/>
      <c r="B827" s="220"/>
      <c r="C827" s="220"/>
      <c r="D827" s="220"/>
      <c r="E827" s="220"/>
      <c r="F827" s="220"/>
      <c r="G827" s="220"/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  <c r="W827" s="220"/>
      <c r="X827" s="220"/>
      <c r="Y827" s="220"/>
      <c r="Z827" s="220"/>
      <c r="AA827" s="220"/>
      <c r="AB827" s="220"/>
      <c r="AC827" s="220"/>
      <c r="AD827" s="220"/>
      <c r="AE827" s="220"/>
      <c r="AF827" s="220"/>
      <c r="AG827" s="220"/>
      <c r="AH827" s="220"/>
      <c r="AI827" s="220"/>
      <c r="AJ827" s="220"/>
      <c r="AK827" s="220"/>
      <c r="AL827" s="220"/>
      <c r="AM827" s="220"/>
      <c r="AN827" s="220"/>
      <c r="AO827" s="220"/>
      <c r="AP827" s="220"/>
      <c r="AQ827" s="220"/>
      <c r="AR827" s="220"/>
      <c r="AS827" s="220"/>
      <c r="AT827" s="220"/>
      <c r="AU827" s="220"/>
    </row>
    <row r="828" ht="15.75" customHeight="1">
      <c r="A828" s="220"/>
      <c r="B828" s="220"/>
      <c r="C828" s="220"/>
      <c r="D828" s="220"/>
      <c r="E828" s="220"/>
      <c r="F828" s="220"/>
      <c r="G828" s="220"/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  <c r="W828" s="220"/>
      <c r="X828" s="220"/>
      <c r="Y828" s="220"/>
      <c r="Z828" s="220"/>
      <c r="AA828" s="220"/>
      <c r="AB828" s="220"/>
      <c r="AC828" s="220"/>
      <c r="AD828" s="220"/>
      <c r="AE828" s="220"/>
      <c r="AF828" s="220"/>
      <c r="AG828" s="220"/>
      <c r="AH828" s="220"/>
      <c r="AI828" s="220"/>
      <c r="AJ828" s="220"/>
      <c r="AK828" s="220"/>
      <c r="AL828" s="220"/>
      <c r="AM828" s="220"/>
      <c r="AN828" s="220"/>
      <c r="AO828" s="220"/>
      <c r="AP828" s="220"/>
      <c r="AQ828" s="220"/>
      <c r="AR828" s="220"/>
      <c r="AS828" s="220"/>
      <c r="AT828" s="220"/>
      <c r="AU828" s="220"/>
    </row>
    <row r="829" ht="15.75" customHeight="1">
      <c r="A829" s="220"/>
      <c r="B829" s="220"/>
      <c r="C829" s="220"/>
      <c r="D829" s="220"/>
      <c r="E829" s="220"/>
      <c r="F829" s="220"/>
      <c r="G829" s="220"/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220"/>
      <c r="Y829" s="220"/>
      <c r="Z829" s="220"/>
      <c r="AA829" s="220"/>
      <c r="AB829" s="220"/>
      <c r="AC829" s="220"/>
      <c r="AD829" s="220"/>
      <c r="AE829" s="220"/>
      <c r="AF829" s="220"/>
      <c r="AG829" s="220"/>
      <c r="AH829" s="220"/>
      <c r="AI829" s="220"/>
      <c r="AJ829" s="220"/>
      <c r="AK829" s="220"/>
      <c r="AL829" s="220"/>
      <c r="AM829" s="220"/>
      <c r="AN829" s="220"/>
      <c r="AO829" s="220"/>
      <c r="AP829" s="220"/>
      <c r="AQ829" s="220"/>
      <c r="AR829" s="220"/>
      <c r="AS829" s="220"/>
      <c r="AT829" s="220"/>
      <c r="AU829" s="220"/>
    </row>
    <row r="830" ht="15.75" customHeight="1">
      <c r="A830" s="220"/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  <c r="W830" s="220"/>
      <c r="X830" s="220"/>
      <c r="Y830" s="220"/>
      <c r="Z830" s="220"/>
      <c r="AA830" s="220"/>
      <c r="AB830" s="220"/>
      <c r="AC830" s="220"/>
      <c r="AD830" s="220"/>
      <c r="AE830" s="220"/>
      <c r="AF830" s="220"/>
      <c r="AG830" s="220"/>
      <c r="AH830" s="220"/>
      <c r="AI830" s="220"/>
      <c r="AJ830" s="220"/>
      <c r="AK830" s="220"/>
      <c r="AL830" s="220"/>
      <c r="AM830" s="220"/>
      <c r="AN830" s="220"/>
      <c r="AO830" s="220"/>
      <c r="AP830" s="220"/>
      <c r="AQ830" s="220"/>
      <c r="AR830" s="220"/>
      <c r="AS830" s="220"/>
      <c r="AT830" s="220"/>
      <c r="AU830" s="220"/>
    </row>
    <row r="831" ht="15.75" customHeight="1">
      <c r="A831" s="220"/>
      <c r="B831" s="220"/>
      <c r="C831" s="220"/>
      <c r="D831" s="220"/>
      <c r="E831" s="220"/>
      <c r="F831" s="220"/>
      <c r="G831" s="220"/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  <c r="W831" s="220"/>
      <c r="X831" s="220"/>
      <c r="Y831" s="220"/>
      <c r="Z831" s="220"/>
      <c r="AA831" s="220"/>
      <c r="AB831" s="220"/>
      <c r="AC831" s="220"/>
      <c r="AD831" s="220"/>
      <c r="AE831" s="220"/>
      <c r="AF831" s="220"/>
      <c r="AG831" s="220"/>
      <c r="AH831" s="220"/>
      <c r="AI831" s="220"/>
      <c r="AJ831" s="220"/>
      <c r="AK831" s="220"/>
      <c r="AL831" s="220"/>
      <c r="AM831" s="220"/>
      <c r="AN831" s="220"/>
      <c r="AO831" s="220"/>
      <c r="AP831" s="220"/>
      <c r="AQ831" s="220"/>
      <c r="AR831" s="220"/>
      <c r="AS831" s="220"/>
      <c r="AT831" s="220"/>
      <c r="AU831" s="220"/>
    </row>
    <row r="832" ht="15.75" customHeight="1">
      <c r="A832" s="220"/>
      <c r="B832" s="220"/>
      <c r="C832" s="220"/>
      <c r="D832" s="220"/>
      <c r="E832" s="220"/>
      <c r="F832" s="220"/>
      <c r="G832" s="220"/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  <c r="W832" s="220"/>
      <c r="X832" s="220"/>
      <c r="Y832" s="220"/>
      <c r="Z832" s="220"/>
      <c r="AA832" s="220"/>
      <c r="AB832" s="220"/>
      <c r="AC832" s="220"/>
      <c r="AD832" s="220"/>
      <c r="AE832" s="220"/>
      <c r="AF832" s="220"/>
      <c r="AG832" s="220"/>
      <c r="AH832" s="220"/>
      <c r="AI832" s="220"/>
      <c r="AJ832" s="220"/>
      <c r="AK832" s="220"/>
      <c r="AL832" s="220"/>
      <c r="AM832" s="220"/>
      <c r="AN832" s="220"/>
      <c r="AO832" s="220"/>
      <c r="AP832" s="220"/>
      <c r="AQ832" s="220"/>
      <c r="AR832" s="220"/>
      <c r="AS832" s="220"/>
      <c r="AT832" s="220"/>
      <c r="AU832" s="220"/>
    </row>
    <row r="833" ht="15.75" customHeight="1">
      <c r="A833" s="220"/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  <c r="W833" s="220"/>
      <c r="X833" s="220"/>
      <c r="Y833" s="220"/>
      <c r="Z833" s="220"/>
      <c r="AA833" s="220"/>
      <c r="AB833" s="220"/>
      <c r="AC833" s="220"/>
      <c r="AD833" s="220"/>
      <c r="AE833" s="220"/>
      <c r="AF833" s="220"/>
      <c r="AG833" s="220"/>
      <c r="AH833" s="220"/>
      <c r="AI833" s="220"/>
      <c r="AJ833" s="220"/>
      <c r="AK833" s="220"/>
      <c r="AL833" s="220"/>
      <c r="AM833" s="220"/>
      <c r="AN833" s="220"/>
      <c r="AO833" s="220"/>
      <c r="AP833" s="220"/>
      <c r="AQ833" s="220"/>
      <c r="AR833" s="220"/>
      <c r="AS833" s="220"/>
      <c r="AT833" s="220"/>
      <c r="AU833" s="220"/>
    </row>
    <row r="834" ht="15.75" customHeight="1">
      <c r="A834" s="220"/>
      <c r="B834" s="220"/>
      <c r="C834" s="220"/>
      <c r="D834" s="220"/>
      <c r="E834" s="220"/>
      <c r="F834" s="220"/>
      <c r="G834" s="220"/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  <c r="W834" s="220"/>
      <c r="X834" s="220"/>
      <c r="Y834" s="220"/>
      <c r="Z834" s="220"/>
      <c r="AA834" s="220"/>
      <c r="AB834" s="220"/>
      <c r="AC834" s="220"/>
      <c r="AD834" s="220"/>
      <c r="AE834" s="220"/>
      <c r="AF834" s="220"/>
      <c r="AG834" s="220"/>
      <c r="AH834" s="220"/>
      <c r="AI834" s="220"/>
      <c r="AJ834" s="220"/>
      <c r="AK834" s="220"/>
      <c r="AL834" s="220"/>
      <c r="AM834" s="220"/>
      <c r="AN834" s="220"/>
      <c r="AO834" s="220"/>
      <c r="AP834" s="220"/>
      <c r="AQ834" s="220"/>
      <c r="AR834" s="220"/>
      <c r="AS834" s="220"/>
      <c r="AT834" s="220"/>
      <c r="AU834" s="220"/>
    </row>
    <row r="835" ht="15.75" customHeight="1">
      <c r="A835" s="220"/>
      <c r="B835" s="220"/>
      <c r="C835" s="220"/>
      <c r="D835" s="220"/>
      <c r="E835" s="220"/>
      <c r="F835" s="220"/>
      <c r="G835" s="220"/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  <c r="W835" s="220"/>
      <c r="X835" s="220"/>
      <c r="Y835" s="220"/>
      <c r="Z835" s="220"/>
      <c r="AA835" s="220"/>
      <c r="AB835" s="220"/>
      <c r="AC835" s="220"/>
      <c r="AD835" s="220"/>
      <c r="AE835" s="220"/>
      <c r="AF835" s="220"/>
      <c r="AG835" s="220"/>
      <c r="AH835" s="220"/>
      <c r="AI835" s="220"/>
      <c r="AJ835" s="220"/>
      <c r="AK835" s="220"/>
      <c r="AL835" s="220"/>
      <c r="AM835" s="220"/>
      <c r="AN835" s="220"/>
      <c r="AO835" s="220"/>
      <c r="AP835" s="220"/>
      <c r="AQ835" s="220"/>
      <c r="AR835" s="220"/>
      <c r="AS835" s="220"/>
      <c r="AT835" s="220"/>
      <c r="AU835" s="220"/>
    </row>
    <row r="836" ht="15.75" customHeight="1">
      <c r="A836" s="220"/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  <c r="W836" s="220"/>
      <c r="X836" s="220"/>
      <c r="Y836" s="220"/>
      <c r="Z836" s="220"/>
      <c r="AA836" s="220"/>
      <c r="AB836" s="220"/>
      <c r="AC836" s="220"/>
      <c r="AD836" s="220"/>
      <c r="AE836" s="220"/>
      <c r="AF836" s="220"/>
      <c r="AG836" s="220"/>
      <c r="AH836" s="220"/>
      <c r="AI836" s="220"/>
      <c r="AJ836" s="220"/>
      <c r="AK836" s="220"/>
      <c r="AL836" s="220"/>
      <c r="AM836" s="220"/>
      <c r="AN836" s="220"/>
      <c r="AO836" s="220"/>
      <c r="AP836" s="220"/>
      <c r="AQ836" s="220"/>
      <c r="AR836" s="220"/>
      <c r="AS836" s="220"/>
      <c r="AT836" s="220"/>
      <c r="AU836" s="220"/>
    </row>
    <row r="837" ht="15.75" customHeight="1">
      <c r="A837" s="220"/>
      <c r="B837" s="220"/>
      <c r="C837" s="220"/>
      <c r="D837" s="220"/>
      <c r="E837" s="220"/>
      <c r="F837" s="220"/>
      <c r="G837" s="220"/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  <c r="W837" s="220"/>
      <c r="X837" s="220"/>
      <c r="Y837" s="220"/>
      <c r="Z837" s="220"/>
      <c r="AA837" s="220"/>
      <c r="AB837" s="220"/>
      <c r="AC837" s="220"/>
      <c r="AD837" s="220"/>
      <c r="AE837" s="220"/>
      <c r="AF837" s="220"/>
      <c r="AG837" s="220"/>
      <c r="AH837" s="220"/>
      <c r="AI837" s="220"/>
      <c r="AJ837" s="220"/>
      <c r="AK837" s="220"/>
      <c r="AL837" s="220"/>
      <c r="AM837" s="220"/>
      <c r="AN837" s="220"/>
      <c r="AO837" s="220"/>
      <c r="AP837" s="220"/>
      <c r="AQ837" s="220"/>
      <c r="AR837" s="220"/>
      <c r="AS837" s="220"/>
      <c r="AT837" s="220"/>
      <c r="AU837" s="220"/>
    </row>
    <row r="838" ht="15.75" customHeight="1">
      <c r="A838" s="220"/>
      <c r="B838" s="220"/>
      <c r="C838" s="220"/>
      <c r="D838" s="220"/>
      <c r="E838" s="220"/>
      <c r="F838" s="220"/>
      <c r="G838" s="220"/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  <c r="W838" s="220"/>
      <c r="X838" s="220"/>
      <c r="Y838" s="220"/>
      <c r="Z838" s="220"/>
      <c r="AA838" s="220"/>
      <c r="AB838" s="220"/>
      <c r="AC838" s="220"/>
      <c r="AD838" s="220"/>
      <c r="AE838" s="220"/>
      <c r="AF838" s="220"/>
      <c r="AG838" s="220"/>
      <c r="AH838" s="220"/>
      <c r="AI838" s="220"/>
      <c r="AJ838" s="220"/>
      <c r="AK838" s="220"/>
      <c r="AL838" s="220"/>
      <c r="AM838" s="220"/>
      <c r="AN838" s="220"/>
      <c r="AO838" s="220"/>
      <c r="AP838" s="220"/>
      <c r="AQ838" s="220"/>
      <c r="AR838" s="220"/>
      <c r="AS838" s="220"/>
      <c r="AT838" s="220"/>
      <c r="AU838" s="220"/>
    </row>
    <row r="839" ht="15.75" customHeight="1">
      <c r="A839" s="220"/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  <c r="W839" s="220"/>
      <c r="X839" s="220"/>
      <c r="Y839" s="220"/>
      <c r="Z839" s="220"/>
      <c r="AA839" s="220"/>
      <c r="AB839" s="220"/>
      <c r="AC839" s="220"/>
      <c r="AD839" s="220"/>
      <c r="AE839" s="220"/>
      <c r="AF839" s="220"/>
      <c r="AG839" s="220"/>
      <c r="AH839" s="220"/>
      <c r="AI839" s="220"/>
      <c r="AJ839" s="220"/>
      <c r="AK839" s="220"/>
      <c r="AL839" s="220"/>
      <c r="AM839" s="220"/>
      <c r="AN839" s="220"/>
      <c r="AO839" s="220"/>
      <c r="AP839" s="220"/>
      <c r="AQ839" s="220"/>
      <c r="AR839" s="220"/>
      <c r="AS839" s="220"/>
      <c r="AT839" s="220"/>
      <c r="AU839" s="220"/>
    </row>
    <row r="840" ht="15.75" customHeight="1">
      <c r="A840" s="220"/>
      <c r="B840" s="220"/>
      <c r="C840" s="220"/>
      <c r="D840" s="220"/>
      <c r="E840" s="220"/>
      <c r="F840" s="220"/>
      <c r="G840" s="220"/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  <c r="W840" s="220"/>
      <c r="X840" s="220"/>
      <c r="Y840" s="220"/>
      <c r="Z840" s="220"/>
      <c r="AA840" s="220"/>
      <c r="AB840" s="220"/>
      <c r="AC840" s="220"/>
      <c r="AD840" s="220"/>
      <c r="AE840" s="220"/>
      <c r="AF840" s="220"/>
      <c r="AG840" s="220"/>
      <c r="AH840" s="220"/>
      <c r="AI840" s="220"/>
      <c r="AJ840" s="220"/>
      <c r="AK840" s="220"/>
      <c r="AL840" s="220"/>
      <c r="AM840" s="220"/>
      <c r="AN840" s="220"/>
      <c r="AO840" s="220"/>
      <c r="AP840" s="220"/>
      <c r="AQ840" s="220"/>
      <c r="AR840" s="220"/>
      <c r="AS840" s="220"/>
      <c r="AT840" s="220"/>
      <c r="AU840" s="220"/>
    </row>
    <row r="841" ht="15.75" customHeight="1">
      <c r="A841" s="220"/>
      <c r="B841" s="220"/>
      <c r="C841" s="220"/>
      <c r="D841" s="220"/>
      <c r="E841" s="220"/>
      <c r="F841" s="220"/>
      <c r="G841" s="220"/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  <c r="W841" s="220"/>
      <c r="X841" s="220"/>
      <c r="Y841" s="220"/>
      <c r="Z841" s="220"/>
      <c r="AA841" s="220"/>
      <c r="AB841" s="220"/>
      <c r="AC841" s="220"/>
      <c r="AD841" s="220"/>
      <c r="AE841" s="220"/>
      <c r="AF841" s="220"/>
      <c r="AG841" s="220"/>
      <c r="AH841" s="220"/>
      <c r="AI841" s="220"/>
      <c r="AJ841" s="220"/>
      <c r="AK841" s="220"/>
      <c r="AL841" s="220"/>
      <c r="AM841" s="220"/>
      <c r="AN841" s="220"/>
      <c r="AO841" s="220"/>
      <c r="AP841" s="220"/>
      <c r="AQ841" s="220"/>
      <c r="AR841" s="220"/>
      <c r="AS841" s="220"/>
      <c r="AT841" s="220"/>
      <c r="AU841" s="220"/>
    </row>
    <row r="842" ht="15.75" customHeight="1">
      <c r="A842" s="220"/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  <c r="W842" s="220"/>
      <c r="X842" s="220"/>
      <c r="Y842" s="220"/>
      <c r="Z842" s="220"/>
      <c r="AA842" s="220"/>
      <c r="AB842" s="220"/>
      <c r="AC842" s="220"/>
      <c r="AD842" s="220"/>
      <c r="AE842" s="220"/>
      <c r="AF842" s="220"/>
      <c r="AG842" s="220"/>
      <c r="AH842" s="220"/>
      <c r="AI842" s="220"/>
      <c r="AJ842" s="220"/>
      <c r="AK842" s="220"/>
      <c r="AL842" s="220"/>
      <c r="AM842" s="220"/>
      <c r="AN842" s="220"/>
      <c r="AO842" s="220"/>
      <c r="AP842" s="220"/>
      <c r="AQ842" s="220"/>
      <c r="AR842" s="220"/>
      <c r="AS842" s="220"/>
      <c r="AT842" s="220"/>
      <c r="AU842" s="220"/>
    </row>
    <row r="843" ht="15.75" customHeight="1">
      <c r="A843" s="220"/>
      <c r="B843" s="220"/>
      <c r="C843" s="220"/>
      <c r="D843" s="220"/>
      <c r="E843" s="220"/>
      <c r="F843" s="220"/>
      <c r="G843" s="220"/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  <c r="W843" s="220"/>
      <c r="X843" s="220"/>
      <c r="Y843" s="220"/>
      <c r="Z843" s="220"/>
      <c r="AA843" s="220"/>
      <c r="AB843" s="220"/>
      <c r="AC843" s="220"/>
      <c r="AD843" s="220"/>
      <c r="AE843" s="220"/>
      <c r="AF843" s="220"/>
      <c r="AG843" s="220"/>
      <c r="AH843" s="220"/>
      <c r="AI843" s="220"/>
      <c r="AJ843" s="220"/>
      <c r="AK843" s="220"/>
      <c r="AL843" s="220"/>
      <c r="AM843" s="220"/>
      <c r="AN843" s="220"/>
      <c r="AO843" s="220"/>
      <c r="AP843" s="220"/>
      <c r="AQ843" s="220"/>
      <c r="AR843" s="220"/>
      <c r="AS843" s="220"/>
      <c r="AT843" s="220"/>
      <c r="AU843" s="220"/>
    </row>
    <row r="844" ht="15.75" customHeight="1">
      <c r="A844" s="220"/>
      <c r="B844" s="220"/>
      <c r="C844" s="220"/>
      <c r="D844" s="220"/>
      <c r="E844" s="220"/>
      <c r="F844" s="220"/>
      <c r="G844" s="220"/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  <c r="W844" s="220"/>
      <c r="X844" s="220"/>
      <c r="Y844" s="220"/>
      <c r="Z844" s="220"/>
      <c r="AA844" s="220"/>
      <c r="AB844" s="220"/>
      <c r="AC844" s="220"/>
      <c r="AD844" s="220"/>
      <c r="AE844" s="220"/>
      <c r="AF844" s="220"/>
      <c r="AG844" s="220"/>
      <c r="AH844" s="220"/>
      <c r="AI844" s="220"/>
      <c r="AJ844" s="220"/>
      <c r="AK844" s="220"/>
      <c r="AL844" s="220"/>
      <c r="AM844" s="220"/>
      <c r="AN844" s="220"/>
      <c r="AO844" s="220"/>
      <c r="AP844" s="220"/>
      <c r="AQ844" s="220"/>
      <c r="AR844" s="220"/>
      <c r="AS844" s="220"/>
      <c r="AT844" s="220"/>
      <c r="AU844" s="220"/>
    </row>
    <row r="845" ht="15.75" customHeight="1">
      <c r="A845" s="220"/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  <c r="W845" s="220"/>
      <c r="X845" s="220"/>
      <c r="Y845" s="220"/>
      <c r="Z845" s="220"/>
      <c r="AA845" s="220"/>
      <c r="AB845" s="220"/>
      <c r="AC845" s="220"/>
      <c r="AD845" s="220"/>
      <c r="AE845" s="220"/>
      <c r="AF845" s="220"/>
      <c r="AG845" s="220"/>
      <c r="AH845" s="220"/>
      <c r="AI845" s="220"/>
      <c r="AJ845" s="220"/>
      <c r="AK845" s="220"/>
      <c r="AL845" s="220"/>
      <c r="AM845" s="220"/>
      <c r="AN845" s="220"/>
      <c r="AO845" s="220"/>
      <c r="AP845" s="220"/>
      <c r="AQ845" s="220"/>
      <c r="AR845" s="220"/>
      <c r="AS845" s="220"/>
      <c r="AT845" s="220"/>
      <c r="AU845" s="220"/>
    </row>
    <row r="846" ht="15.75" customHeight="1">
      <c r="A846" s="220"/>
      <c r="B846" s="220"/>
      <c r="C846" s="220"/>
      <c r="D846" s="220"/>
      <c r="E846" s="220"/>
      <c r="F846" s="220"/>
      <c r="G846" s="220"/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  <c r="W846" s="220"/>
      <c r="X846" s="220"/>
      <c r="Y846" s="220"/>
      <c r="Z846" s="220"/>
      <c r="AA846" s="220"/>
      <c r="AB846" s="220"/>
      <c r="AC846" s="220"/>
      <c r="AD846" s="220"/>
      <c r="AE846" s="220"/>
      <c r="AF846" s="220"/>
      <c r="AG846" s="220"/>
      <c r="AH846" s="220"/>
      <c r="AI846" s="220"/>
      <c r="AJ846" s="220"/>
      <c r="AK846" s="220"/>
      <c r="AL846" s="220"/>
      <c r="AM846" s="220"/>
      <c r="AN846" s="220"/>
      <c r="AO846" s="220"/>
      <c r="AP846" s="220"/>
      <c r="AQ846" s="220"/>
      <c r="AR846" s="220"/>
      <c r="AS846" s="220"/>
      <c r="AT846" s="220"/>
      <c r="AU846" s="220"/>
    </row>
    <row r="847" ht="15.75" customHeight="1">
      <c r="A847" s="220"/>
      <c r="B847" s="220"/>
      <c r="C847" s="220"/>
      <c r="D847" s="220"/>
      <c r="E847" s="220"/>
      <c r="F847" s="220"/>
      <c r="G847" s="220"/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  <c r="W847" s="220"/>
      <c r="X847" s="220"/>
      <c r="Y847" s="220"/>
      <c r="Z847" s="220"/>
      <c r="AA847" s="220"/>
      <c r="AB847" s="220"/>
      <c r="AC847" s="220"/>
      <c r="AD847" s="220"/>
      <c r="AE847" s="220"/>
      <c r="AF847" s="220"/>
      <c r="AG847" s="220"/>
      <c r="AH847" s="220"/>
      <c r="AI847" s="220"/>
      <c r="AJ847" s="220"/>
      <c r="AK847" s="220"/>
      <c r="AL847" s="220"/>
      <c r="AM847" s="220"/>
      <c r="AN847" s="220"/>
      <c r="AO847" s="220"/>
      <c r="AP847" s="220"/>
      <c r="AQ847" s="220"/>
      <c r="AR847" s="220"/>
      <c r="AS847" s="220"/>
      <c r="AT847" s="220"/>
      <c r="AU847" s="220"/>
    </row>
    <row r="848" ht="15.75" customHeight="1">
      <c r="A848" s="220"/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  <c r="W848" s="220"/>
      <c r="X848" s="220"/>
      <c r="Y848" s="220"/>
      <c r="Z848" s="220"/>
      <c r="AA848" s="220"/>
      <c r="AB848" s="220"/>
      <c r="AC848" s="220"/>
      <c r="AD848" s="220"/>
      <c r="AE848" s="220"/>
      <c r="AF848" s="220"/>
      <c r="AG848" s="220"/>
      <c r="AH848" s="220"/>
      <c r="AI848" s="220"/>
      <c r="AJ848" s="220"/>
      <c r="AK848" s="220"/>
      <c r="AL848" s="220"/>
      <c r="AM848" s="220"/>
      <c r="AN848" s="220"/>
      <c r="AO848" s="220"/>
      <c r="AP848" s="220"/>
      <c r="AQ848" s="220"/>
      <c r="AR848" s="220"/>
      <c r="AS848" s="220"/>
      <c r="AT848" s="220"/>
      <c r="AU848" s="220"/>
    </row>
    <row r="849" ht="15.75" customHeight="1">
      <c r="A849" s="220"/>
      <c r="B849" s="220"/>
      <c r="C849" s="220"/>
      <c r="D849" s="220"/>
      <c r="E849" s="220"/>
      <c r="F849" s="220"/>
      <c r="G849" s="220"/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  <c r="W849" s="220"/>
      <c r="X849" s="220"/>
      <c r="Y849" s="220"/>
      <c r="Z849" s="220"/>
      <c r="AA849" s="220"/>
      <c r="AB849" s="220"/>
      <c r="AC849" s="220"/>
      <c r="AD849" s="220"/>
      <c r="AE849" s="220"/>
      <c r="AF849" s="220"/>
      <c r="AG849" s="220"/>
      <c r="AH849" s="220"/>
      <c r="AI849" s="220"/>
      <c r="AJ849" s="220"/>
      <c r="AK849" s="220"/>
      <c r="AL849" s="220"/>
      <c r="AM849" s="220"/>
      <c r="AN849" s="220"/>
      <c r="AO849" s="220"/>
      <c r="AP849" s="220"/>
      <c r="AQ849" s="220"/>
      <c r="AR849" s="220"/>
      <c r="AS849" s="220"/>
      <c r="AT849" s="220"/>
      <c r="AU849" s="220"/>
    </row>
    <row r="850" ht="15.75" customHeight="1">
      <c r="A850" s="220"/>
      <c r="B850" s="220"/>
      <c r="C850" s="220"/>
      <c r="D850" s="220"/>
      <c r="E850" s="220"/>
      <c r="F850" s="220"/>
      <c r="G850" s="220"/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  <c r="W850" s="220"/>
      <c r="X850" s="220"/>
      <c r="Y850" s="220"/>
      <c r="Z850" s="220"/>
      <c r="AA850" s="220"/>
      <c r="AB850" s="220"/>
      <c r="AC850" s="220"/>
      <c r="AD850" s="220"/>
      <c r="AE850" s="220"/>
      <c r="AF850" s="220"/>
      <c r="AG850" s="220"/>
      <c r="AH850" s="220"/>
      <c r="AI850" s="220"/>
      <c r="AJ850" s="220"/>
      <c r="AK850" s="220"/>
      <c r="AL850" s="220"/>
      <c r="AM850" s="220"/>
      <c r="AN850" s="220"/>
      <c r="AO850" s="220"/>
      <c r="AP850" s="220"/>
      <c r="AQ850" s="220"/>
      <c r="AR850" s="220"/>
      <c r="AS850" s="220"/>
      <c r="AT850" s="220"/>
      <c r="AU850" s="220"/>
    </row>
    <row r="851" ht="15.75" customHeight="1">
      <c r="A851" s="220"/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  <c r="W851" s="220"/>
      <c r="X851" s="220"/>
      <c r="Y851" s="220"/>
      <c r="Z851" s="220"/>
      <c r="AA851" s="220"/>
      <c r="AB851" s="220"/>
      <c r="AC851" s="220"/>
      <c r="AD851" s="220"/>
      <c r="AE851" s="220"/>
      <c r="AF851" s="220"/>
      <c r="AG851" s="220"/>
      <c r="AH851" s="220"/>
      <c r="AI851" s="220"/>
      <c r="AJ851" s="220"/>
      <c r="AK851" s="220"/>
      <c r="AL851" s="220"/>
      <c r="AM851" s="220"/>
      <c r="AN851" s="220"/>
      <c r="AO851" s="220"/>
      <c r="AP851" s="220"/>
      <c r="AQ851" s="220"/>
      <c r="AR851" s="220"/>
      <c r="AS851" s="220"/>
      <c r="AT851" s="220"/>
      <c r="AU851" s="220"/>
    </row>
    <row r="852" ht="15.75" customHeight="1">
      <c r="A852" s="220"/>
      <c r="B852" s="220"/>
      <c r="C852" s="220"/>
      <c r="D852" s="220"/>
      <c r="E852" s="220"/>
      <c r="F852" s="220"/>
      <c r="G852" s="220"/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  <c r="W852" s="220"/>
      <c r="X852" s="220"/>
      <c r="Y852" s="220"/>
      <c r="Z852" s="220"/>
      <c r="AA852" s="220"/>
      <c r="AB852" s="220"/>
      <c r="AC852" s="220"/>
      <c r="AD852" s="220"/>
      <c r="AE852" s="220"/>
      <c r="AF852" s="220"/>
      <c r="AG852" s="220"/>
      <c r="AH852" s="220"/>
      <c r="AI852" s="220"/>
      <c r="AJ852" s="220"/>
      <c r="AK852" s="220"/>
      <c r="AL852" s="220"/>
      <c r="AM852" s="220"/>
      <c r="AN852" s="220"/>
      <c r="AO852" s="220"/>
      <c r="AP852" s="220"/>
      <c r="AQ852" s="220"/>
      <c r="AR852" s="220"/>
      <c r="AS852" s="220"/>
      <c r="AT852" s="220"/>
      <c r="AU852" s="220"/>
    </row>
    <row r="853" ht="15.75" customHeight="1">
      <c r="A853" s="220"/>
      <c r="B853" s="220"/>
      <c r="C853" s="220"/>
      <c r="D853" s="220"/>
      <c r="E853" s="220"/>
      <c r="F853" s="220"/>
      <c r="G853" s="220"/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  <c r="W853" s="220"/>
      <c r="X853" s="220"/>
      <c r="Y853" s="220"/>
      <c r="Z853" s="220"/>
      <c r="AA853" s="220"/>
      <c r="AB853" s="220"/>
      <c r="AC853" s="220"/>
      <c r="AD853" s="220"/>
      <c r="AE853" s="220"/>
      <c r="AF853" s="220"/>
      <c r="AG853" s="220"/>
      <c r="AH853" s="220"/>
      <c r="AI853" s="220"/>
      <c r="AJ853" s="220"/>
      <c r="AK853" s="220"/>
      <c r="AL853" s="220"/>
      <c r="AM853" s="220"/>
      <c r="AN853" s="220"/>
      <c r="AO853" s="220"/>
      <c r="AP853" s="220"/>
      <c r="AQ853" s="220"/>
      <c r="AR853" s="220"/>
      <c r="AS853" s="220"/>
      <c r="AT853" s="220"/>
      <c r="AU853" s="220"/>
    </row>
    <row r="854" ht="15.75" customHeight="1">
      <c r="A854" s="220"/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  <c r="W854" s="220"/>
      <c r="X854" s="220"/>
      <c r="Y854" s="220"/>
      <c r="Z854" s="220"/>
      <c r="AA854" s="220"/>
      <c r="AB854" s="220"/>
      <c r="AC854" s="220"/>
      <c r="AD854" s="220"/>
      <c r="AE854" s="220"/>
      <c r="AF854" s="220"/>
      <c r="AG854" s="220"/>
      <c r="AH854" s="220"/>
      <c r="AI854" s="220"/>
      <c r="AJ854" s="220"/>
      <c r="AK854" s="220"/>
      <c r="AL854" s="220"/>
      <c r="AM854" s="220"/>
      <c r="AN854" s="220"/>
      <c r="AO854" s="220"/>
      <c r="AP854" s="220"/>
      <c r="AQ854" s="220"/>
      <c r="AR854" s="220"/>
      <c r="AS854" s="220"/>
      <c r="AT854" s="220"/>
      <c r="AU854" s="220"/>
    </row>
    <row r="855" ht="15.75" customHeight="1">
      <c r="A855" s="220"/>
      <c r="B855" s="220"/>
      <c r="C855" s="220"/>
      <c r="D855" s="220"/>
      <c r="E855" s="220"/>
      <c r="F855" s="220"/>
      <c r="G855" s="220"/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  <c r="W855" s="220"/>
      <c r="X855" s="220"/>
      <c r="Y855" s="220"/>
      <c r="Z855" s="220"/>
      <c r="AA855" s="220"/>
      <c r="AB855" s="220"/>
      <c r="AC855" s="220"/>
      <c r="AD855" s="220"/>
      <c r="AE855" s="220"/>
      <c r="AF855" s="220"/>
      <c r="AG855" s="220"/>
      <c r="AH855" s="220"/>
      <c r="AI855" s="220"/>
      <c r="AJ855" s="220"/>
      <c r="AK855" s="220"/>
      <c r="AL855" s="220"/>
      <c r="AM855" s="220"/>
      <c r="AN855" s="220"/>
      <c r="AO855" s="220"/>
      <c r="AP855" s="220"/>
      <c r="AQ855" s="220"/>
      <c r="AR855" s="220"/>
      <c r="AS855" s="220"/>
      <c r="AT855" s="220"/>
      <c r="AU855" s="220"/>
    </row>
    <row r="856" ht="15.75" customHeight="1">
      <c r="A856" s="220"/>
      <c r="B856" s="220"/>
      <c r="C856" s="220"/>
      <c r="D856" s="220"/>
      <c r="E856" s="220"/>
      <c r="F856" s="220"/>
      <c r="G856" s="220"/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  <c r="W856" s="220"/>
      <c r="X856" s="220"/>
      <c r="Y856" s="220"/>
      <c r="Z856" s="220"/>
      <c r="AA856" s="220"/>
      <c r="AB856" s="220"/>
      <c r="AC856" s="220"/>
      <c r="AD856" s="220"/>
      <c r="AE856" s="220"/>
      <c r="AF856" s="220"/>
      <c r="AG856" s="220"/>
      <c r="AH856" s="220"/>
      <c r="AI856" s="220"/>
      <c r="AJ856" s="220"/>
      <c r="AK856" s="220"/>
      <c r="AL856" s="220"/>
      <c r="AM856" s="220"/>
      <c r="AN856" s="220"/>
      <c r="AO856" s="220"/>
      <c r="AP856" s="220"/>
      <c r="AQ856" s="220"/>
      <c r="AR856" s="220"/>
      <c r="AS856" s="220"/>
      <c r="AT856" s="220"/>
      <c r="AU856" s="220"/>
    </row>
    <row r="857" ht="15.75" customHeight="1">
      <c r="A857" s="220"/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  <c r="W857" s="220"/>
      <c r="X857" s="220"/>
      <c r="Y857" s="220"/>
      <c r="Z857" s="220"/>
      <c r="AA857" s="220"/>
      <c r="AB857" s="220"/>
      <c r="AC857" s="220"/>
      <c r="AD857" s="220"/>
      <c r="AE857" s="220"/>
      <c r="AF857" s="220"/>
      <c r="AG857" s="220"/>
      <c r="AH857" s="220"/>
      <c r="AI857" s="220"/>
      <c r="AJ857" s="220"/>
      <c r="AK857" s="220"/>
      <c r="AL857" s="220"/>
      <c r="AM857" s="220"/>
      <c r="AN857" s="220"/>
      <c r="AO857" s="220"/>
      <c r="AP857" s="220"/>
      <c r="AQ857" s="220"/>
      <c r="AR857" s="220"/>
      <c r="AS857" s="220"/>
      <c r="AT857" s="220"/>
      <c r="AU857" s="220"/>
    </row>
    <row r="858" ht="15.75" customHeight="1">
      <c r="A858" s="220"/>
      <c r="B858" s="220"/>
      <c r="C858" s="220"/>
      <c r="D858" s="220"/>
      <c r="E858" s="220"/>
      <c r="F858" s="220"/>
      <c r="G858" s="220"/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  <c r="W858" s="220"/>
      <c r="X858" s="220"/>
      <c r="Y858" s="220"/>
      <c r="Z858" s="220"/>
      <c r="AA858" s="220"/>
      <c r="AB858" s="220"/>
      <c r="AC858" s="220"/>
      <c r="AD858" s="220"/>
      <c r="AE858" s="220"/>
      <c r="AF858" s="220"/>
      <c r="AG858" s="220"/>
      <c r="AH858" s="220"/>
      <c r="AI858" s="220"/>
      <c r="AJ858" s="220"/>
      <c r="AK858" s="220"/>
      <c r="AL858" s="220"/>
      <c r="AM858" s="220"/>
      <c r="AN858" s="220"/>
      <c r="AO858" s="220"/>
      <c r="AP858" s="220"/>
      <c r="AQ858" s="220"/>
      <c r="AR858" s="220"/>
      <c r="AS858" s="220"/>
      <c r="AT858" s="220"/>
      <c r="AU858" s="220"/>
    </row>
    <row r="859" ht="15.75" customHeight="1">
      <c r="A859" s="220"/>
      <c r="B859" s="220"/>
      <c r="C859" s="220"/>
      <c r="D859" s="220"/>
      <c r="E859" s="220"/>
      <c r="F859" s="220"/>
      <c r="G859" s="220"/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  <c r="W859" s="220"/>
      <c r="X859" s="220"/>
      <c r="Y859" s="220"/>
      <c r="Z859" s="220"/>
      <c r="AA859" s="220"/>
      <c r="AB859" s="220"/>
      <c r="AC859" s="220"/>
      <c r="AD859" s="220"/>
      <c r="AE859" s="220"/>
      <c r="AF859" s="220"/>
      <c r="AG859" s="220"/>
      <c r="AH859" s="220"/>
      <c r="AI859" s="220"/>
      <c r="AJ859" s="220"/>
      <c r="AK859" s="220"/>
      <c r="AL859" s="220"/>
      <c r="AM859" s="220"/>
      <c r="AN859" s="220"/>
      <c r="AO859" s="220"/>
      <c r="AP859" s="220"/>
      <c r="AQ859" s="220"/>
      <c r="AR859" s="220"/>
      <c r="AS859" s="220"/>
      <c r="AT859" s="220"/>
      <c r="AU859" s="220"/>
    </row>
    <row r="860" ht="15.75" customHeight="1">
      <c r="A860" s="220"/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  <c r="W860" s="220"/>
      <c r="X860" s="220"/>
      <c r="Y860" s="220"/>
      <c r="Z860" s="220"/>
      <c r="AA860" s="220"/>
      <c r="AB860" s="220"/>
      <c r="AC860" s="220"/>
      <c r="AD860" s="220"/>
      <c r="AE860" s="220"/>
      <c r="AF860" s="220"/>
      <c r="AG860" s="220"/>
      <c r="AH860" s="220"/>
      <c r="AI860" s="220"/>
      <c r="AJ860" s="220"/>
      <c r="AK860" s="220"/>
      <c r="AL860" s="220"/>
      <c r="AM860" s="220"/>
      <c r="AN860" s="220"/>
      <c r="AO860" s="220"/>
      <c r="AP860" s="220"/>
      <c r="AQ860" s="220"/>
      <c r="AR860" s="220"/>
      <c r="AS860" s="220"/>
      <c r="AT860" s="220"/>
      <c r="AU860" s="220"/>
    </row>
    <row r="861" ht="15.75" customHeight="1">
      <c r="A861" s="220"/>
      <c r="B861" s="220"/>
      <c r="C861" s="220"/>
      <c r="D861" s="220"/>
      <c r="E861" s="220"/>
      <c r="F861" s="220"/>
      <c r="G861" s="220"/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  <c r="W861" s="220"/>
      <c r="X861" s="220"/>
      <c r="Y861" s="220"/>
      <c r="Z861" s="220"/>
      <c r="AA861" s="220"/>
      <c r="AB861" s="220"/>
      <c r="AC861" s="220"/>
      <c r="AD861" s="220"/>
      <c r="AE861" s="220"/>
      <c r="AF861" s="220"/>
      <c r="AG861" s="220"/>
      <c r="AH861" s="220"/>
      <c r="AI861" s="220"/>
      <c r="AJ861" s="220"/>
      <c r="AK861" s="220"/>
      <c r="AL861" s="220"/>
      <c r="AM861" s="220"/>
      <c r="AN861" s="220"/>
      <c r="AO861" s="220"/>
      <c r="AP861" s="220"/>
      <c r="AQ861" s="220"/>
      <c r="AR861" s="220"/>
      <c r="AS861" s="220"/>
      <c r="AT861" s="220"/>
      <c r="AU861" s="220"/>
    </row>
    <row r="862" ht="15.75" customHeight="1">
      <c r="A862" s="220"/>
      <c r="B862" s="220"/>
      <c r="C862" s="220"/>
      <c r="D862" s="220"/>
      <c r="E862" s="220"/>
      <c r="F862" s="220"/>
      <c r="G862" s="220"/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  <c r="W862" s="220"/>
      <c r="X862" s="220"/>
      <c r="Y862" s="220"/>
      <c r="Z862" s="220"/>
      <c r="AA862" s="220"/>
      <c r="AB862" s="220"/>
      <c r="AC862" s="220"/>
      <c r="AD862" s="220"/>
      <c r="AE862" s="220"/>
      <c r="AF862" s="220"/>
      <c r="AG862" s="220"/>
      <c r="AH862" s="220"/>
      <c r="AI862" s="220"/>
      <c r="AJ862" s="220"/>
      <c r="AK862" s="220"/>
      <c r="AL862" s="220"/>
      <c r="AM862" s="220"/>
      <c r="AN862" s="220"/>
      <c r="AO862" s="220"/>
      <c r="AP862" s="220"/>
      <c r="AQ862" s="220"/>
      <c r="AR862" s="220"/>
      <c r="AS862" s="220"/>
      <c r="AT862" s="220"/>
      <c r="AU862" s="220"/>
    </row>
    <row r="863" ht="15.75" customHeight="1">
      <c r="A863" s="220"/>
      <c r="B863" s="220"/>
      <c r="C863" s="220"/>
      <c r="D863" s="220"/>
      <c r="E863" s="220"/>
      <c r="F863" s="220"/>
      <c r="G863" s="220"/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  <c r="W863" s="220"/>
      <c r="X863" s="220"/>
      <c r="Y863" s="220"/>
      <c r="Z863" s="220"/>
      <c r="AA863" s="220"/>
      <c r="AB863" s="220"/>
      <c r="AC863" s="220"/>
      <c r="AD863" s="220"/>
      <c r="AE863" s="220"/>
      <c r="AF863" s="220"/>
      <c r="AG863" s="220"/>
      <c r="AH863" s="220"/>
      <c r="AI863" s="220"/>
      <c r="AJ863" s="220"/>
      <c r="AK863" s="220"/>
      <c r="AL863" s="220"/>
      <c r="AM863" s="220"/>
      <c r="AN863" s="220"/>
      <c r="AO863" s="220"/>
      <c r="AP863" s="220"/>
      <c r="AQ863" s="220"/>
      <c r="AR863" s="220"/>
      <c r="AS863" s="220"/>
      <c r="AT863" s="220"/>
      <c r="AU863" s="220"/>
    </row>
    <row r="864" ht="15.75" customHeight="1">
      <c r="A864" s="220"/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  <c r="W864" s="220"/>
      <c r="X864" s="220"/>
      <c r="Y864" s="220"/>
      <c r="Z864" s="220"/>
      <c r="AA864" s="220"/>
      <c r="AB864" s="220"/>
      <c r="AC864" s="220"/>
      <c r="AD864" s="220"/>
      <c r="AE864" s="220"/>
      <c r="AF864" s="220"/>
      <c r="AG864" s="220"/>
      <c r="AH864" s="220"/>
      <c r="AI864" s="220"/>
      <c r="AJ864" s="220"/>
      <c r="AK864" s="220"/>
      <c r="AL864" s="220"/>
      <c r="AM864" s="220"/>
      <c r="AN864" s="220"/>
      <c r="AO864" s="220"/>
      <c r="AP864" s="220"/>
      <c r="AQ864" s="220"/>
      <c r="AR864" s="220"/>
      <c r="AS864" s="220"/>
      <c r="AT864" s="220"/>
      <c r="AU864" s="220"/>
    </row>
    <row r="865" ht="15.75" customHeight="1">
      <c r="A865" s="220"/>
      <c r="B865" s="220"/>
      <c r="C865" s="220"/>
      <c r="D865" s="220"/>
      <c r="E865" s="220"/>
      <c r="F865" s="220"/>
      <c r="G865" s="220"/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  <c r="W865" s="220"/>
      <c r="X865" s="220"/>
      <c r="Y865" s="220"/>
      <c r="Z865" s="220"/>
      <c r="AA865" s="220"/>
      <c r="AB865" s="220"/>
      <c r="AC865" s="220"/>
      <c r="AD865" s="220"/>
      <c r="AE865" s="220"/>
      <c r="AF865" s="220"/>
      <c r="AG865" s="220"/>
      <c r="AH865" s="220"/>
      <c r="AI865" s="220"/>
      <c r="AJ865" s="220"/>
      <c r="AK865" s="220"/>
      <c r="AL865" s="220"/>
      <c r="AM865" s="220"/>
      <c r="AN865" s="220"/>
      <c r="AO865" s="220"/>
      <c r="AP865" s="220"/>
      <c r="AQ865" s="220"/>
      <c r="AR865" s="220"/>
      <c r="AS865" s="220"/>
      <c r="AT865" s="220"/>
      <c r="AU865" s="220"/>
    </row>
    <row r="866" ht="15.75" customHeight="1">
      <c r="A866" s="220"/>
      <c r="B866" s="220"/>
      <c r="C866" s="220"/>
      <c r="D866" s="220"/>
      <c r="E866" s="220"/>
      <c r="F866" s="220"/>
      <c r="G866" s="220"/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  <c r="W866" s="220"/>
      <c r="X866" s="220"/>
      <c r="Y866" s="220"/>
      <c r="Z866" s="220"/>
      <c r="AA866" s="220"/>
      <c r="AB866" s="220"/>
      <c r="AC866" s="220"/>
      <c r="AD866" s="220"/>
      <c r="AE866" s="220"/>
      <c r="AF866" s="220"/>
      <c r="AG866" s="220"/>
      <c r="AH866" s="220"/>
      <c r="AI866" s="220"/>
      <c r="AJ866" s="220"/>
      <c r="AK866" s="220"/>
      <c r="AL866" s="220"/>
      <c r="AM866" s="220"/>
      <c r="AN866" s="220"/>
      <c r="AO866" s="220"/>
      <c r="AP866" s="220"/>
      <c r="AQ866" s="220"/>
      <c r="AR866" s="220"/>
      <c r="AS866" s="220"/>
      <c r="AT866" s="220"/>
      <c r="AU866" s="220"/>
    </row>
    <row r="867" ht="15.75" customHeight="1">
      <c r="A867" s="220"/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  <c r="W867" s="220"/>
      <c r="X867" s="220"/>
      <c r="Y867" s="220"/>
      <c r="Z867" s="220"/>
      <c r="AA867" s="220"/>
      <c r="AB867" s="220"/>
      <c r="AC867" s="220"/>
      <c r="AD867" s="220"/>
      <c r="AE867" s="220"/>
      <c r="AF867" s="220"/>
      <c r="AG867" s="220"/>
      <c r="AH867" s="220"/>
      <c r="AI867" s="220"/>
      <c r="AJ867" s="220"/>
      <c r="AK867" s="220"/>
      <c r="AL867" s="220"/>
      <c r="AM867" s="220"/>
      <c r="AN867" s="220"/>
      <c r="AO867" s="220"/>
      <c r="AP867" s="220"/>
      <c r="AQ867" s="220"/>
      <c r="AR867" s="220"/>
      <c r="AS867" s="220"/>
      <c r="AT867" s="220"/>
      <c r="AU867" s="220"/>
    </row>
    <row r="868" ht="15.75" customHeight="1">
      <c r="A868" s="220"/>
      <c r="B868" s="220"/>
      <c r="C868" s="220"/>
      <c r="D868" s="220"/>
      <c r="E868" s="220"/>
      <c r="F868" s="220"/>
      <c r="G868" s="220"/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  <c r="W868" s="220"/>
      <c r="X868" s="220"/>
      <c r="Y868" s="220"/>
      <c r="Z868" s="220"/>
      <c r="AA868" s="220"/>
      <c r="AB868" s="220"/>
      <c r="AC868" s="220"/>
      <c r="AD868" s="220"/>
      <c r="AE868" s="220"/>
      <c r="AF868" s="220"/>
      <c r="AG868" s="220"/>
      <c r="AH868" s="220"/>
      <c r="AI868" s="220"/>
      <c r="AJ868" s="220"/>
      <c r="AK868" s="220"/>
      <c r="AL868" s="220"/>
      <c r="AM868" s="220"/>
      <c r="AN868" s="220"/>
      <c r="AO868" s="220"/>
      <c r="AP868" s="220"/>
      <c r="AQ868" s="220"/>
      <c r="AR868" s="220"/>
      <c r="AS868" s="220"/>
      <c r="AT868" s="220"/>
      <c r="AU868" s="220"/>
    </row>
    <row r="869" ht="15.75" customHeight="1">
      <c r="A869" s="220"/>
      <c r="B869" s="220"/>
      <c r="C869" s="220"/>
      <c r="D869" s="220"/>
      <c r="E869" s="220"/>
      <c r="F869" s="220"/>
      <c r="G869" s="220"/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  <c r="W869" s="220"/>
      <c r="X869" s="220"/>
      <c r="Y869" s="220"/>
      <c r="Z869" s="220"/>
      <c r="AA869" s="220"/>
      <c r="AB869" s="220"/>
      <c r="AC869" s="220"/>
      <c r="AD869" s="220"/>
      <c r="AE869" s="220"/>
      <c r="AF869" s="220"/>
      <c r="AG869" s="220"/>
      <c r="AH869" s="220"/>
      <c r="AI869" s="220"/>
      <c r="AJ869" s="220"/>
      <c r="AK869" s="220"/>
      <c r="AL869" s="220"/>
      <c r="AM869" s="220"/>
      <c r="AN869" s="220"/>
      <c r="AO869" s="220"/>
      <c r="AP869" s="220"/>
      <c r="AQ869" s="220"/>
      <c r="AR869" s="220"/>
      <c r="AS869" s="220"/>
      <c r="AT869" s="220"/>
      <c r="AU869" s="220"/>
    </row>
    <row r="870" ht="15.75" customHeight="1">
      <c r="A870" s="220"/>
      <c r="B870" s="220"/>
      <c r="C870" s="220"/>
      <c r="D870" s="220"/>
      <c r="E870" s="220"/>
      <c r="F870" s="220"/>
      <c r="G870" s="220"/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  <c r="W870" s="220"/>
      <c r="X870" s="220"/>
      <c r="Y870" s="220"/>
      <c r="Z870" s="220"/>
      <c r="AA870" s="220"/>
      <c r="AB870" s="220"/>
      <c r="AC870" s="220"/>
      <c r="AD870" s="220"/>
      <c r="AE870" s="220"/>
      <c r="AF870" s="220"/>
      <c r="AG870" s="220"/>
      <c r="AH870" s="220"/>
      <c r="AI870" s="220"/>
      <c r="AJ870" s="220"/>
      <c r="AK870" s="220"/>
      <c r="AL870" s="220"/>
      <c r="AM870" s="220"/>
      <c r="AN870" s="220"/>
      <c r="AO870" s="220"/>
      <c r="AP870" s="220"/>
      <c r="AQ870" s="220"/>
      <c r="AR870" s="220"/>
      <c r="AS870" s="220"/>
      <c r="AT870" s="220"/>
      <c r="AU870" s="220"/>
    </row>
    <row r="871" ht="15.75" customHeight="1">
      <c r="A871" s="220"/>
      <c r="B871" s="220"/>
      <c r="C871" s="220"/>
      <c r="D871" s="220"/>
      <c r="E871" s="220"/>
      <c r="F871" s="220"/>
      <c r="G871" s="220"/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  <c r="W871" s="220"/>
      <c r="X871" s="220"/>
      <c r="Y871" s="220"/>
      <c r="Z871" s="220"/>
      <c r="AA871" s="220"/>
      <c r="AB871" s="220"/>
      <c r="AC871" s="220"/>
      <c r="AD871" s="220"/>
      <c r="AE871" s="220"/>
      <c r="AF871" s="220"/>
      <c r="AG871" s="220"/>
      <c r="AH871" s="220"/>
      <c r="AI871" s="220"/>
      <c r="AJ871" s="220"/>
      <c r="AK871" s="220"/>
      <c r="AL871" s="220"/>
      <c r="AM871" s="220"/>
      <c r="AN871" s="220"/>
      <c r="AO871" s="220"/>
      <c r="AP871" s="220"/>
      <c r="AQ871" s="220"/>
      <c r="AR871" s="220"/>
      <c r="AS871" s="220"/>
      <c r="AT871" s="220"/>
      <c r="AU871" s="220"/>
    </row>
    <row r="872" ht="15.75" customHeight="1">
      <c r="A872" s="220"/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  <c r="W872" s="220"/>
      <c r="X872" s="220"/>
      <c r="Y872" s="220"/>
      <c r="Z872" s="220"/>
      <c r="AA872" s="220"/>
      <c r="AB872" s="220"/>
      <c r="AC872" s="220"/>
      <c r="AD872" s="220"/>
      <c r="AE872" s="220"/>
      <c r="AF872" s="220"/>
      <c r="AG872" s="220"/>
      <c r="AH872" s="220"/>
      <c r="AI872" s="220"/>
      <c r="AJ872" s="220"/>
      <c r="AK872" s="220"/>
      <c r="AL872" s="220"/>
      <c r="AM872" s="220"/>
      <c r="AN872" s="220"/>
      <c r="AO872" s="220"/>
      <c r="AP872" s="220"/>
      <c r="AQ872" s="220"/>
      <c r="AR872" s="220"/>
      <c r="AS872" s="220"/>
      <c r="AT872" s="220"/>
      <c r="AU872" s="220"/>
    </row>
    <row r="873" ht="15.75" customHeight="1">
      <c r="A873" s="220"/>
      <c r="B873" s="220"/>
      <c r="C873" s="220"/>
      <c r="D873" s="220"/>
      <c r="E873" s="220"/>
      <c r="F873" s="220"/>
      <c r="G873" s="220"/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  <c r="W873" s="220"/>
      <c r="X873" s="220"/>
      <c r="Y873" s="220"/>
      <c r="Z873" s="220"/>
      <c r="AA873" s="220"/>
      <c r="AB873" s="220"/>
      <c r="AC873" s="220"/>
      <c r="AD873" s="220"/>
      <c r="AE873" s="220"/>
      <c r="AF873" s="220"/>
      <c r="AG873" s="220"/>
      <c r="AH873" s="220"/>
      <c r="AI873" s="220"/>
      <c r="AJ873" s="220"/>
      <c r="AK873" s="220"/>
      <c r="AL873" s="220"/>
      <c r="AM873" s="220"/>
      <c r="AN873" s="220"/>
      <c r="AO873" s="220"/>
      <c r="AP873" s="220"/>
      <c r="AQ873" s="220"/>
      <c r="AR873" s="220"/>
      <c r="AS873" s="220"/>
      <c r="AT873" s="220"/>
      <c r="AU873" s="220"/>
    </row>
    <row r="874" ht="15.75" customHeight="1">
      <c r="A874" s="220"/>
      <c r="B874" s="220"/>
      <c r="C874" s="220"/>
      <c r="D874" s="220"/>
      <c r="E874" s="220"/>
      <c r="F874" s="220"/>
      <c r="G874" s="220"/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  <c r="W874" s="220"/>
      <c r="X874" s="220"/>
      <c r="Y874" s="220"/>
      <c r="Z874" s="220"/>
      <c r="AA874" s="220"/>
      <c r="AB874" s="220"/>
      <c r="AC874" s="220"/>
      <c r="AD874" s="220"/>
      <c r="AE874" s="220"/>
      <c r="AF874" s="220"/>
      <c r="AG874" s="220"/>
      <c r="AH874" s="220"/>
      <c r="AI874" s="220"/>
      <c r="AJ874" s="220"/>
      <c r="AK874" s="220"/>
      <c r="AL874" s="220"/>
      <c r="AM874" s="220"/>
      <c r="AN874" s="220"/>
      <c r="AO874" s="220"/>
      <c r="AP874" s="220"/>
      <c r="AQ874" s="220"/>
      <c r="AR874" s="220"/>
      <c r="AS874" s="220"/>
      <c r="AT874" s="220"/>
      <c r="AU874" s="220"/>
    </row>
    <row r="875" ht="15.75" customHeight="1">
      <c r="A875" s="220"/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  <c r="W875" s="220"/>
      <c r="X875" s="220"/>
      <c r="Y875" s="220"/>
      <c r="Z875" s="220"/>
      <c r="AA875" s="220"/>
      <c r="AB875" s="220"/>
      <c r="AC875" s="220"/>
      <c r="AD875" s="220"/>
      <c r="AE875" s="220"/>
      <c r="AF875" s="220"/>
      <c r="AG875" s="220"/>
      <c r="AH875" s="220"/>
      <c r="AI875" s="220"/>
      <c r="AJ875" s="220"/>
      <c r="AK875" s="220"/>
      <c r="AL875" s="220"/>
      <c r="AM875" s="220"/>
      <c r="AN875" s="220"/>
      <c r="AO875" s="220"/>
      <c r="AP875" s="220"/>
      <c r="AQ875" s="220"/>
      <c r="AR875" s="220"/>
      <c r="AS875" s="220"/>
      <c r="AT875" s="220"/>
      <c r="AU875" s="220"/>
    </row>
    <row r="876" ht="15.75" customHeight="1">
      <c r="A876" s="220"/>
      <c r="B876" s="220"/>
      <c r="C876" s="220"/>
      <c r="D876" s="220"/>
      <c r="E876" s="220"/>
      <c r="F876" s="220"/>
      <c r="G876" s="220"/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  <c r="W876" s="220"/>
      <c r="X876" s="220"/>
      <c r="Y876" s="220"/>
      <c r="Z876" s="220"/>
      <c r="AA876" s="220"/>
      <c r="AB876" s="220"/>
      <c r="AC876" s="220"/>
      <c r="AD876" s="220"/>
      <c r="AE876" s="220"/>
      <c r="AF876" s="220"/>
      <c r="AG876" s="220"/>
      <c r="AH876" s="220"/>
      <c r="AI876" s="220"/>
      <c r="AJ876" s="220"/>
      <c r="AK876" s="220"/>
      <c r="AL876" s="220"/>
      <c r="AM876" s="220"/>
      <c r="AN876" s="220"/>
      <c r="AO876" s="220"/>
      <c r="AP876" s="220"/>
      <c r="AQ876" s="220"/>
      <c r="AR876" s="220"/>
      <c r="AS876" s="220"/>
      <c r="AT876" s="220"/>
      <c r="AU876" s="220"/>
    </row>
    <row r="877" ht="15.75" customHeight="1">
      <c r="A877" s="220"/>
      <c r="B877" s="220"/>
      <c r="C877" s="220"/>
      <c r="D877" s="220"/>
      <c r="E877" s="220"/>
      <c r="F877" s="220"/>
      <c r="G877" s="220"/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  <c r="W877" s="220"/>
      <c r="X877" s="220"/>
      <c r="Y877" s="220"/>
      <c r="Z877" s="220"/>
      <c r="AA877" s="220"/>
      <c r="AB877" s="220"/>
      <c r="AC877" s="220"/>
      <c r="AD877" s="220"/>
      <c r="AE877" s="220"/>
      <c r="AF877" s="220"/>
      <c r="AG877" s="220"/>
      <c r="AH877" s="220"/>
      <c r="AI877" s="220"/>
      <c r="AJ877" s="220"/>
      <c r="AK877" s="220"/>
      <c r="AL877" s="220"/>
      <c r="AM877" s="220"/>
      <c r="AN877" s="220"/>
      <c r="AO877" s="220"/>
      <c r="AP877" s="220"/>
      <c r="AQ877" s="220"/>
      <c r="AR877" s="220"/>
      <c r="AS877" s="220"/>
      <c r="AT877" s="220"/>
      <c r="AU877" s="220"/>
    </row>
    <row r="878" ht="15.75" customHeight="1">
      <c r="A878" s="220"/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  <c r="W878" s="220"/>
      <c r="X878" s="220"/>
      <c r="Y878" s="220"/>
      <c r="Z878" s="220"/>
      <c r="AA878" s="220"/>
      <c r="AB878" s="220"/>
      <c r="AC878" s="220"/>
      <c r="AD878" s="220"/>
      <c r="AE878" s="220"/>
      <c r="AF878" s="220"/>
      <c r="AG878" s="220"/>
      <c r="AH878" s="220"/>
      <c r="AI878" s="220"/>
      <c r="AJ878" s="220"/>
      <c r="AK878" s="220"/>
      <c r="AL878" s="220"/>
      <c r="AM878" s="220"/>
      <c r="AN878" s="220"/>
      <c r="AO878" s="220"/>
      <c r="AP878" s="220"/>
      <c r="AQ878" s="220"/>
      <c r="AR878" s="220"/>
      <c r="AS878" s="220"/>
      <c r="AT878" s="220"/>
      <c r="AU878" s="220"/>
    </row>
    <row r="879" ht="15.75" customHeight="1">
      <c r="A879" s="220"/>
      <c r="B879" s="220"/>
      <c r="C879" s="220"/>
      <c r="D879" s="220"/>
      <c r="E879" s="220"/>
      <c r="F879" s="220"/>
      <c r="G879" s="220"/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  <c r="W879" s="220"/>
      <c r="X879" s="220"/>
      <c r="Y879" s="220"/>
      <c r="Z879" s="220"/>
      <c r="AA879" s="220"/>
      <c r="AB879" s="220"/>
      <c r="AC879" s="220"/>
      <c r="AD879" s="220"/>
      <c r="AE879" s="220"/>
      <c r="AF879" s="220"/>
      <c r="AG879" s="220"/>
      <c r="AH879" s="220"/>
      <c r="AI879" s="220"/>
      <c r="AJ879" s="220"/>
      <c r="AK879" s="220"/>
      <c r="AL879" s="220"/>
      <c r="AM879" s="220"/>
      <c r="AN879" s="220"/>
      <c r="AO879" s="220"/>
      <c r="AP879" s="220"/>
      <c r="AQ879" s="220"/>
      <c r="AR879" s="220"/>
      <c r="AS879" s="220"/>
      <c r="AT879" s="220"/>
      <c r="AU879" s="220"/>
    </row>
    <row r="880" ht="15.75" customHeight="1">
      <c r="A880" s="220"/>
      <c r="B880" s="220"/>
      <c r="C880" s="220"/>
      <c r="D880" s="220"/>
      <c r="E880" s="220"/>
      <c r="F880" s="220"/>
      <c r="G880" s="220"/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  <c r="W880" s="220"/>
      <c r="X880" s="220"/>
      <c r="Y880" s="220"/>
      <c r="Z880" s="220"/>
      <c r="AA880" s="220"/>
      <c r="AB880" s="220"/>
      <c r="AC880" s="220"/>
      <c r="AD880" s="220"/>
      <c r="AE880" s="220"/>
      <c r="AF880" s="220"/>
      <c r="AG880" s="220"/>
      <c r="AH880" s="220"/>
      <c r="AI880" s="220"/>
      <c r="AJ880" s="220"/>
      <c r="AK880" s="220"/>
      <c r="AL880" s="220"/>
      <c r="AM880" s="220"/>
      <c r="AN880" s="220"/>
      <c r="AO880" s="220"/>
      <c r="AP880" s="220"/>
      <c r="AQ880" s="220"/>
      <c r="AR880" s="220"/>
      <c r="AS880" s="220"/>
      <c r="AT880" s="220"/>
      <c r="AU880" s="220"/>
    </row>
    <row r="881" ht="15.75" customHeight="1">
      <c r="A881" s="220"/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  <c r="W881" s="220"/>
      <c r="X881" s="220"/>
      <c r="Y881" s="220"/>
      <c r="Z881" s="220"/>
      <c r="AA881" s="220"/>
      <c r="AB881" s="220"/>
      <c r="AC881" s="220"/>
      <c r="AD881" s="220"/>
      <c r="AE881" s="220"/>
      <c r="AF881" s="220"/>
      <c r="AG881" s="220"/>
      <c r="AH881" s="220"/>
      <c r="AI881" s="220"/>
      <c r="AJ881" s="220"/>
      <c r="AK881" s="220"/>
      <c r="AL881" s="220"/>
      <c r="AM881" s="220"/>
      <c r="AN881" s="220"/>
      <c r="AO881" s="220"/>
      <c r="AP881" s="220"/>
      <c r="AQ881" s="220"/>
      <c r="AR881" s="220"/>
      <c r="AS881" s="220"/>
      <c r="AT881" s="220"/>
      <c r="AU881" s="220"/>
    </row>
    <row r="882" ht="15.75" customHeight="1">
      <c r="A882" s="220"/>
      <c r="B882" s="220"/>
      <c r="C882" s="220"/>
      <c r="D882" s="220"/>
      <c r="E882" s="220"/>
      <c r="F882" s="220"/>
      <c r="G882" s="220"/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  <c r="W882" s="220"/>
      <c r="X882" s="220"/>
      <c r="Y882" s="220"/>
      <c r="Z882" s="220"/>
      <c r="AA882" s="220"/>
      <c r="AB882" s="220"/>
      <c r="AC882" s="220"/>
      <c r="AD882" s="220"/>
      <c r="AE882" s="220"/>
      <c r="AF882" s="220"/>
      <c r="AG882" s="220"/>
      <c r="AH882" s="220"/>
      <c r="AI882" s="220"/>
      <c r="AJ882" s="220"/>
      <c r="AK882" s="220"/>
      <c r="AL882" s="220"/>
      <c r="AM882" s="220"/>
      <c r="AN882" s="220"/>
      <c r="AO882" s="220"/>
      <c r="AP882" s="220"/>
      <c r="AQ882" s="220"/>
      <c r="AR882" s="220"/>
      <c r="AS882" s="220"/>
      <c r="AT882" s="220"/>
      <c r="AU882" s="220"/>
    </row>
    <row r="883" ht="15.75" customHeight="1">
      <c r="A883" s="220"/>
      <c r="B883" s="220"/>
      <c r="C883" s="220"/>
      <c r="D883" s="220"/>
      <c r="E883" s="220"/>
      <c r="F883" s="220"/>
      <c r="G883" s="220"/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  <c r="W883" s="220"/>
      <c r="X883" s="220"/>
      <c r="Y883" s="220"/>
      <c r="Z883" s="220"/>
      <c r="AA883" s="220"/>
      <c r="AB883" s="220"/>
      <c r="AC883" s="220"/>
      <c r="AD883" s="220"/>
      <c r="AE883" s="220"/>
      <c r="AF883" s="220"/>
      <c r="AG883" s="220"/>
      <c r="AH883" s="220"/>
      <c r="AI883" s="220"/>
      <c r="AJ883" s="220"/>
      <c r="AK883" s="220"/>
      <c r="AL883" s="220"/>
      <c r="AM883" s="220"/>
      <c r="AN883" s="220"/>
      <c r="AO883" s="220"/>
      <c r="AP883" s="220"/>
      <c r="AQ883" s="220"/>
      <c r="AR883" s="220"/>
      <c r="AS883" s="220"/>
      <c r="AT883" s="220"/>
      <c r="AU883" s="220"/>
    </row>
    <row r="884" ht="15.75" customHeight="1">
      <c r="A884" s="220"/>
      <c r="B884" s="220"/>
      <c r="C884" s="220"/>
      <c r="D884" s="220"/>
      <c r="E884" s="220"/>
      <c r="F884" s="220"/>
      <c r="G884" s="220"/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  <c r="W884" s="220"/>
      <c r="X884" s="220"/>
      <c r="Y884" s="220"/>
      <c r="Z884" s="220"/>
      <c r="AA884" s="220"/>
      <c r="AB884" s="220"/>
      <c r="AC884" s="220"/>
      <c r="AD884" s="220"/>
      <c r="AE884" s="220"/>
      <c r="AF884" s="220"/>
      <c r="AG884" s="220"/>
      <c r="AH884" s="220"/>
      <c r="AI884" s="220"/>
      <c r="AJ884" s="220"/>
      <c r="AK884" s="220"/>
      <c r="AL884" s="220"/>
      <c r="AM884" s="220"/>
      <c r="AN884" s="220"/>
      <c r="AO884" s="220"/>
      <c r="AP884" s="220"/>
      <c r="AQ884" s="220"/>
      <c r="AR884" s="220"/>
      <c r="AS884" s="220"/>
      <c r="AT884" s="220"/>
      <c r="AU884" s="220"/>
    </row>
    <row r="885" ht="15.75" customHeight="1">
      <c r="A885" s="220"/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  <c r="W885" s="220"/>
      <c r="X885" s="220"/>
      <c r="Y885" s="220"/>
      <c r="Z885" s="220"/>
      <c r="AA885" s="220"/>
      <c r="AB885" s="220"/>
      <c r="AC885" s="220"/>
      <c r="AD885" s="220"/>
      <c r="AE885" s="220"/>
      <c r="AF885" s="220"/>
      <c r="AG885" s="220"/>
      <c r="AH885" s="220"/>
      <c r="AI885" s="220"/>
      <c r="AJ885" s="220"/>
      <c r="AK885" s="220"/>
      <c r="AL885" s="220"/>
      <c r="AM885" s="220"/>
      <c r="AN885" s="220"/>
      <c r="AO885" s="220"/>
      <c r="AP885" s="220"/>
      <c r="AQ885" s="220"/>
      <c r="AR885" s="220"/>
      <c r="AS885" s="220"/>
      <c r="AT885" s="220"/>
      <c r="AU885" s="220"/>
    </row>
    <row r="886" ht="15.75" customHeight="1">
      <c r="A886" s="220"/>
      <c r="B886" s="220"/>
      <c r="C886" s="220"/>
      <c r="D886" s="220"/>
      <c r="E886" s="220"/>
      <c r="F886" s="220"/>
      <c r="G886" s="220"/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  <c r="W886" s="220"/>
      <c r="X886" s="220"/>
      <c r="Y886" s="220"/>
      <c r="Z886" s="220"/>
      <c r="AA886" s="220"/>
      <c r="AB886" s="220"/>
      <c r="AC886" s="220"/>
      <c r="AD886" s="220"/>
      <c r="AE886" s="220"/>
      <c r="AF886" s="220"/>
      <c r="AG886" s="220"/>
      <c r="AH886" s="220"/>
      <c r="AI886" s="220"/>
      <c r="AJ886" s="220"/>
      <c r="AK886" s="220"/>
      <c r="AL886" s="220"/>
      <c r="AM886" s="220"/>
      <c r="AN886" s="220"/>
      <c r="AO886" s="220"/>
      <c r="AP886" s="220"/>
      <c r="AQ886" s="220"/>
      <c r="AR886" s="220"/>
      <c r="AS886" s="220"/>
      <c r="AT886" s="220"/>
      <c r="AU886" s="220"/>
    </row>
    <row r="887" ht="15.75" customHeight="1">
      <c r="A887" s="220"/>
      <c r="B887" s="220"/>
      <c r="C887" s="220"/>
      <c r="D887" s="220"/>
      <c r="E887" s="220"/>
      <c r="F887" s="220"/>
      <c r="G887" s="220"/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  <c r="W887" s="220"/>
      <c r="X887" s="220"/>
      <c r="Y887" s="220"/>
      <c r="Z887" s="220"/>
      <c r="AA887" s="220"/>
      <c r="AB887" s="220"/>
      <c r="AC887" s="220"/>
      <c r="AD887" s="220"/>
      <c r="AE887" s="220"/>
      <c r="AF887" s="220"/>
      <c r="AG887" s="220"/>
      <c r="AH887" s="220"/>
      <c r="AI887" s="220"/>
      <c r="AJ887" s="220"/>
      <c r="AK887" s="220"/>
      <c r="AL887" s="220"/>
      <c r="AM887" s="220"/>
      <c r="AN887" s="220"/>
      <c r="AO887" s="220"/>
      <c r="AP887" s="220"/>
      <c r="AQ887" s="220"/>
      <c r="AR887" s="220"/>
      <c r="AS887" s="220"/>
      <c r="AT887" s="220"/>
      <c r="AU887" s="220"/>
    </row>
    <row r="888" ht="15.75" customHeight="1">
      <c r="A888" s="220"/>
      <c r="B888" s="220"/>
      <c r="C888" s="220"/>
      <c r="D888" s="220"/>
      <c r="E888" s="220"/>
      <c r="F888" s="220"/>
      <c r="G888" s="220"/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  <c r="W888" s="220"/>
      <c r="X888" s="220"/>
      <c r="Y888" s="220"/>
      <c r="Z888" s="220"/>
      <c r="AA888" s="220"/>
      <c r="AB888" s="220"/>
      <c r="AC888" s="220"/>
      <c r="AD888" s="220"/>
      <c r="AE888" s="220"/>
      <c r="AF888" s="220"/>
      <c r="AG888" s="220"/>
      <c r="AH888" s="220"/>
      <c r="AI888" s="220"/>
      <c r="AJ888" s="220"/>
      <c r="AK888" s="220"/>
      <c r="AL888" s="220"/>
      <c r="AM888" s="220"/>
      <c r="AN888" s="220"/>
      <c r="AO888" s="220"/>
      <c r="AP888" s="220"/>
      <c r="AQ888" s="220"/>
      <c r="AR888" s="220"/>
      <c r="AS888" s="220"/>
      <c r="AT888" s="220"/>
      <c r="AU888" s="220"/>
    </row>
    <row r="889" ht="15.75" customHeight="1">
      <c r="A889" s="220"/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  <c r="W889" s="220"/>
      <c r="X889" s="220"/>
      <c r="Y889" s="220"/>
      <c r="Z889" s="220"/>
      <c r="AA889" s="220"/>
      <c r="AB889" s="220"/>
      <c r="AC889" s="220"/>
      <c r="AD889" s="220"/>
      <c r="AE889" s="220"/>
      <c r="AF889" s="220"/>
      <c r="AG889" s="220"/>
      <c r="AH889" s="220"/>
      <c r="AI889" s="220"/>
      <c r="AJ889" s="220"/>
      <c r="AK889" s="220"/>
      <c r="AL889" s="220"/>
      <c r="AM889" s="220"/>
      <c r="AN889" s="220"/>
      <c r="AO889" s="220"/>
      <c r="AP889" s="220"/>
      <c r="AQ889" s="220"/>
      <c r="AR889" s="220"/>
      <c r="AS889" s="220"/>
      <c r="AT889" s="220"/>
      <c r="AU889" s="220"/>
    </row>
    <row r="890" ht="15.75" customHeight="1">
      <c r="A890" s="220"/>
      <c r="B890" s="220"/>
      <c r="C890" s="220"/>
      <c r="D890" s="220"/>
      <c r="E890" s="220"/>
      <c r="F890" s="220"/>
      <c r="G890" s="220"/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  <c r="W890" s="220"/>
      <c r="X890" s="220"/>
      <c r="Y890" s="220"/>
      <c r="Z890" s="220"/>
      <c r="AA890" s="220"/>
      <c r="AB890" s="220"/>
      <c r="AC890" s="220"/>
      <c r="AD890" s="220"/>
      <c r="AE890" s="220"/>
      <c r="AF890" s="220"/>
      <c r="AG890" s="220"/>
      <c r="AH890" s="220"/>
      <c r="AI890" s="220"/>
      <c r="AJ890" s="220"/>
      <c r="AK890" s="220"/>
      <c r="AL890" s="220"/>
      <c r="AM890" s="220"/>
      <c r="AN890" s="220"/>
      <c r="AO890" s="220"/>
      <c r="AP890" s="220"/>
      <c r="AQ890" s="220"/>
      <c r="AR890" s="220"/>
      <c r="AS890" s="220"/>
      <c r="AT890" s="220"/>
      <c r="AU890" s="220"/>
    </row>
    <row r="891" ht="15.75" customHeight="1">
      <c r="A891" s="220"/>
      <c r="B891" s="220"/>
      <c r="C891" s="220"/>
      <c r="D891" s="220"/>
      <c r="E891" s="220"/>
      <c r="F891" s="220"/>
      <c r="G891" s="220"/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  <c r="W891" s="220"/>
      <c r="X891" s="220"/>
      <c r="Y891" s="220"/>
      <c r="Z891" s="220"/>
      <c r="AA891" s="220"/>
      <c r="AB891" s="220"/>
      <c r="AC891" s="220"/>
      <c r="AD891" s="220"/>
      <c r="AE891" s="220"/>
      <c r="AF891" s="220"/>
      <c r="AG891" s="220"/>
      <c r="AH891" s="220"/>
      <c r="AI891" s="220"/>
      <c r="AJ891" s="220"/>
      <c r="AK891" s="220"/>
      <c r="AL891" s="220"/>
      <c r="AM891" s="220"/>
      <c r="AN891" s="220"/>
      <c r="AO891" s="220"/>
      <c r="AP891" s="220"/>
      <c r="AQ891" s="220"/>
      <c r="AR891" s="220"/>
      <c r="AS891" s="220"/>
      <c r="AT891" s="220"/>
      <c r="AU891" s="220"/>
    </row>
    <row r="892" ht="15.75" customHeight="1">
      <c r="A892" s="220"/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  <c r="W892" s="220"/>
      <c r="X892" s="220"/>
      <c r="Y892" s="220"/>
      <c r="Z892" s="220"/>
      <c r="AA892" s="220"/>
      <c r="AB892" s="220"/>
      <c r="AC892" s="220"/>
      <c r="AD892" s="220"/>
      <c r="AE892" s="220"/>
      <c r="AF892" s="220"/>
      <c r="AG892" s="220"/>
      <c r="AH892" s="220"/>
      <c r="AI892" s="220"/>
      <c r="AJ892" s="220"/>
      <c r="AK892" s="220"/>
      <c r="AL892" s="220"/>
      <c r="AM892" s="220"/>
      <c r="AN892" s="220"/>
      <c r="AO892" s="220"/>
      <c r="AP892" s="220"/>
      <c r="AQ892" s="220"/>
      <c r="AR892" s="220"/>
      <c r="AS892" s="220"/>
      <c r="AT892" s="220"/>
      <c r="AU892" s="220"/>
    </row>
    <row r="893" ht="15.75" customHeight="1">
      <c r="A893" s="220"/>
      <c r="B893" s="220"/>
      <c r="C893" s="220"/>
      <c r="D893" s="220"/>
      <c r="E893" s="220"/>
      <c r="F893" s="220"/>
      <c r="G893" s="220"/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  <c r="W893" s="220"/>
      <c r="X893" s="220"/>
      <c r="Y893" s="220"/>
      <c r="Z893" s="220"/>
      <c r="AA893" s="220"/>
      <c r="AB893" s="220"/>
      <c r="AC893" s="220"/>
      <c r="AD893" s="220"/>
      <c r="AE893" s="220"/>
      <c r="AF893" s="220"/>
      <c r="AG893" s="220"/>
      <c r="AH893" s="220"/>
      <c r="AI893" s="220"/>
      <c r="AJ893" s="220"/>
      <c r="AK893" s="220"/>
      <c r="AL893" s="220"/>
      <c r="AM893" s="220"/>
      <c r="AN893" s="220"/>
      <c r="AO893" s="220"/>
      <c r="AP893" s="220"/>
      <c r="AQ893" s="220"/>
      <c r="AR893" s="220"/>
      <c r="AS893" s="220"/>
      <c r="AT893" s="220"/>
      <c r="AU893" s="220"/>
    </row>
    <row r="894" ht="15.75" customHeight="1">
      <c r="A894" s="220"/>
      <c r="B894" s="220"/>
      <c r="C894" s="220"/>
      <c r="D894" s="220"/>
      <c r="E894" s="220"/>
      <c r="F894" s="220"/>
      <c r="G894" s="220"/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  <c r="W894" s="220"/>
      <c r="X894" s="220"/>
      <c r="Y894" s="220"/>
      <c r="Z894" s="220"/>
      <c r="AA894" s="220"/>
      <c r="AB894" s="220"/>
      <c r="AC894" s="220"/>
      <c r="AD894" s="220"/>
      <c r="AE894" s="220"/>
      <c r="AF894" s="220"/>
      <c r="AG894" s="220"/>
      <c r="AH894" s="220"/>
      <c r="AI894" s="220"/>
      <c r="AJ894" s="220"/>
      <c r="AK894" s="220"/>
      <c r="AL894" s="220"/>
      <c r="AM894" s="220"/>
      <c r="AN894" s="220"/>
      <c r="AO894" s="220"/>
      <c r="AP894" s="220"/>
      <c r="AQ894" s="220"/>
      <c r="AR894" s="220"/>
      <c r="AS894" s="220"/>
      <c r="AT894" s="220"/>
      <c r="AU894" s="220"/>
    </row>
    <row r="895" ht="15.75" customHeight="1">
      <c r="A895" s="220"/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  <c r="W895" s="220"/>
      <c r="X895" s="220"/>
      <c r="Y895" s="220"/>
      <c r="Z895" s="220"/>
      <c r="AA895" s="220"/>
      <c r="AB895" s="220"/>
      <c r="AC895" s="220"/>
      <c r="AD895" s="220"/>
      <c r="AE895" s="220"/>
      <c r="AF895" s="220"/>
      <c r="AG895" s="220"/>
      <c r="AH895" s="220"/>
      <c r="AI895" s="220"/>
      <c r="AJ895" s="220"/>
      <c r="AK895" s="220"/>
      <c r="AL895" s="220"/>
      <c r="AM895" s="220"/>
      <c r="AN895" s="220"/>
      <c r="AO895" s="220"/>
      <c r="AP895" s="220"/>
      <c r="AQ895" s="220"/>
      <c r="AR895" s="220"/>
      <c r="AS895" s="220"/>
      <c r="AT895" s="220"/>
      <c r="AU895" s="220"/>
    </row>
    <row r="896" ht="15.75" customHeight="1">
      <c r="A896" s="220"/>
      <c r="B896" s="220"/>
      <c r="C896" s="220"/>
      <c r="D896" s="220"/>
      <c r="E896" s="220"/>
      <c r="F896" s="220"/>
      <c r="G896" s="220"/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220"/>
      <c r="Y896" s="220"/>
      <c r="Z896" s="220"/>
      <c r="AA896" s="220"/>
      <c r="AB896" s="220"/>
      <c r="AC896" s="220"/>
      <c r="AD896" s="220"/>
      <c r="AE896" s="220"/>
      <c r="AF896" s="220"/>
      <c r="AG896" s="220"/>
      <c r="AH896" s="220"/>
      <c r="AI896" s="220"/>
      <c r="AJ896" s="220"/>
      <c r="AK896" s="220"/>
      <c r="AL896" s="220"/>
      <c r="AM896" s="220"/>
      <c r="AN896" s="220"/>
      <c r="AO896" s="220"/>
      <c r="AP896" s="220"/>
      <c r="AQ896" s="220"/>
      <c r="AR896" s="220"/>
      <c r="AS896" s="220"/>
      <c r="AT896" s="220"/>
      <c r="AU896" s="220"/>
    </row>
    <row r="897" ht="15.75" customHeight="1">
      <c r="A897" s="220"/>
      <c r="B897" s="220"/>
      <c r="C897" s="220"/>
      <c r="D897" s="220"/>
      <c r="E897" s="220"/>
      <c r="F897" s="220"/>
      <c r="G897" s="220"/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  <c r="W897" s="220"/>
      <c r="X897" s="220"/>
      <c r="Y897" s="220"/>
      <c r="Z897" s="220"/>
      <c r="AA897" s="220"/>
      <c r="AB897" s="220"/>
      <c r="AC897" s="220"/>
      <c r="AD897" s="220"/>
      <c r="AE897" s="220"/>
      <c r="AF897" s="220"/>
      <c r="AG897" s="220"/>
      <c r="AH897" s="220"/>
      <c r="AI897" s="220"/>
      <c r="AJ897" s="220"/>
      <c r="AK897" s="220"/>
      <c r="AL897" s="220"/>
      <c r="AM897" s="220"/>
      <c r="AN897" s="220"/>
      <c r="AO897" s="220"/>
      <c r="AP897" s="220"/>
      <c r="AQ897" s="220"/>
      <c r="AR897" s="220"/>
      <c r="AS897" s="220"/>
      <c r="AT897" s="220"/>
      <c r="AU897" s="220"/>
    </row>
    <row r="898" ht="15.75" customHeight="1">
      <c r="A898" s="220"/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  <c r="W898" s="220"/>
      <c r="X898" s="220"/>
      <c r="Y898" s="220"/>
      <c r="Z898" s="220"/>
      <c r="AA898" s="220"/>
      <c r="AB898" s="220"/>
      <c r="AC898" s="220"/>
      <c r="AD898" s="220"/>
      <c r="AE898" s="220"/>
      <c r="AF898" s="220"/>
      <c r="AG898" s="220"/>
      <c r="AH898" s="220"/>
      <c r="AI898" s="220"/>
      <c r="AJ898" s="220"/>
      <c r="AK898" s="220"/>
      <c r="AL898" s="220"/>
      <c r="AM898" s="220"/>
      <c r="AN898" s="220"/>
      <c r="AO898" s="220"/>
      <c r="AP898" s="220"/>
      <c r="AQ898" s="220"/>
      <c r="AR898" s="220"/>
      <c r="AS898" s="220"/>
      <c r="AT898" s="220"/>
      <c r="AU898" s="220"/>
    </row>
    <row r="899" ht="15.75" customHeight="1">
      <c r="A899" s="220"/>
      <c r="B899" s="220"/>
      <c r="C899" s="220"/>
      <c r="D899" s="220"/>
      <c r="E899" s="220"/>
      <c r="F899" s="220"/>
      <c r="G899" s="220"/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  <c r="W899" s="220"/>
      <c r="X899" s="220"/>
      <c r="Y899" s="220"/>
      <c r="Z899" s="220"/>
      <c r="AA899" s="220"/>
      <c r="AB899" s="220"/>
      <c r="AC899" s="220"/>
      <c r="AD899" s="220"/>
      <c r="AE899" s="220"/>
      <c r="AF899" s="220"/>
      <c r="AG899" s="220"/>
      <c r="AH899" s="220"/>
      <c r="AI899" s="220"/>
      <c r="AJ899" s="220"/>
      <c r="AK899" s="220"/>
      <c r="AL899" s="220"/>
      <c r="AM899" s="220"/>
      <c r="AN899" s="220"/>
      <c r="AO899" s="220"/>
      <c r="AP899" s="220"/>
      <c r="AQ899" s="220"/>
      <c r="AR899" s="220"/>
      <c r="AS899" s="220"/>
      <c r="AT899" s="220"/>
      <c r="AU899" s="220"/>
    </row>
    <row r="900" ht="15.75" customHeight="1">
      <c r="A900" s="220"/>
      <c r="B900" s="220"/>
      <c r="C900" s="220"/>
      <c r="D900" s="220"/>
      <c r="E900" s="220"/>
      <c r="F900" s="220"/>
      <c r="G900" s="220"/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  <c r="W900" s="220"/>
      <c r="X900" s="220"/>
      <c r="Y900" s="220"/>
      <c r="Z900" s="220"/>
      <c r="AA900" s="220"/>
      <c r="AB900" s="220"/>
      <c r="AC900" s="220"/>
      <c r="AD900" s="220"/>
      <c r="AE900" s="220"/>
      <c r="AF900" s="220"/>
      <c r="AG900" s="220"/>
      <c r="AH900" s="220"/>
      <c r="AI900" s="220"/>
      <c r="AJ900" s="220"/>
      <c r="AK900" s="220"/>
      <c r="AL900" s="220"/>
      <c r="AM900" s="220"/>
      <c r="AN900" s="220"/>
      <c r="AO900" s="220"/>
      <c r="AP900" s="220"/>
      <c r="AQ900" s="220"/>
      <c r="AR900" s="220"/>
      <c r="AS900" s="220"/>
      <c r="AT900" s="220"/>
      <c r="AU900" s="220"/>
    </row>
    <row r="901" ht="15.75" customHeight="1">
      <c r="A901" s="220"/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  <c r="W901" s="220"/>
      <c r="X901" s="220"/>
      <c r="Y901" s="220"/>
      <c r="Z901" s="220"/>
      <c r="AA901" s="220"/>
      <c r="AB901" s="220"/>
      <c r="AC901" s="220"/>
      <c r="AD901" s="220"/>
      <c r="AE901" s="220"/>
      <c r="AF901" s="220"/>
      <c r="AG901" s="220"/>
      <c r="AH901" s="220"/>
      <c r="AI901" s="220"/>
      <c r="AJ901" s="220"/>
      <c r="AK901" s="220"/>
      <c r="AL901" s="220"/>
      <c r="AM901" s="220"/>
      <c r="AN901" s="220"/>
      <c r="AO901" s="220"/>
      <c r="AP901" s="220"/>
      <c r="AQ901" s="220"/>
      <c r="AR901" s="220"/>
      <c r="AS901" s="220"/>
      <c r="AT901" s="220"/>
      <c r="AU901" s="220"/>
    </row>
    <row r="902" ht="15.75" customHeight="1">
      <c r="A902" s="220"/>
      <c r="B902" s="220"/>
      <c r="C902" s="220"/>
      <c r="D902" s="220"/>
      <c r="E902" s="220"/>
      <c r="F902" s="220"/>
      <c r="G902" s="220"/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  <c r="W902" s="220"/>
      <c r="X902" s="220"/>
      <c r="Y902" s="220"/>
      <c r="Z902" s="220"/>
      <c r="AA902" s="220"/>
      <c r="AB902" s="220"/>
      <c r="AC902" s="220"/>
      <c r="AD902" s="220"/>
      <c r="AE902" s="220"/>
      <c r="AF902" s="220"/>
      <c r="AG902" s="220"/>
      <c r="AH902" s="220"/>
      <c r="AI902" s="220"/>
      <c r="AJ902" s="220"/>
      <c r="AK902" s="220"/>
      <c r="AL902" s="220"/>
      <c r="AM902" s="220"/>
      <c r="AN902" s="220"/>
      <c r="AO902" s="220"/>
      <c r="AP902" s="220"/>
      <c r="AQ902" s="220"/>
      <c r="AR902" s="220"/>
      <c r="AS902" s="220"/>
      <c r="AT902" s="220"/>
      <c r="AU902" s="220"/>
    </row>
    <row r="903" ht="15.75" customHeight="1">
      <c r="A903" s="220"/>
      <c r="B903" s="220"/>
      <c r="C903" s="220"/>
      <c r="D903" s="220"/>
      <c r="E903" s="220"/>
      <c r="F903" s="220"/>
      <c r="G903" s="220"/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  <c r="W903" s="220"/>
      <c r="X903" s="220"/>
      <c r="Y903" s="220"/>
      <c r="Z903" s="220"/>
      <c r="AA903" s="220"/>
      <c r="AB903" s="220"/>
      <c r="AC903" s="220"/>
      <c r="AD903" s="220"/>
      <c r="AE903" s="220"/>
      <c r="AF903" s="220"/>
      <c r="AG903" s="220"/>
      <c r="AH903" s="220"/>
      <c r="AI903" s="220"/>
      <c r="AJ903" s="220"/>
      <c r="AK903" s="220"/>
      <c r="AL903" s="220"/>
      <c r="AM903" s="220"/>
      <c r="AN903" s="220"/>
      <c r="AO903" s="220"/>
      <c r="AP903" s="220"/>
      <c r="AQ903" s="220"/>
      <c r="AR903" s="220"/>
      <c r="AS903" s="220"/>
      <c r="AT903" s="220"/>
      <c r="AU903" s="220"/>
    </row>
    <row r="904" ht="15.75" customHeight="1">
      <c r="A904" s="220"/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  <c r="W904" s="220"/>
      <c r="X904" s="220"/>
      <c r="Y904" s="220"/>
      <c r="Z904" s="220"/>
      <c r="AA904" s="220"/>
      <c r="AB904" s="220"/>
      <c r="AC904" s="220"/>
      <c r="AD904" s="220"/>
      <c r="AE904" s="220"/>
      <c r="AF904" s="220"/>
      <c r="AG904" s="220"/>
      <c r="AH904" s="220"/>
      <c r="AI904" s="220"/>
      <c r="AJ904" s="220"/>
      <c r="AK904" s="220"/>
      <c r="AL904" s="220"/>
      <c r="AM904" s="220"/>
      <c r="AN904" s="220"/>
      <c r="AO904" s="220"/>
      <c r="AP904" s="220"/>
      <c r="AQ904" s="220"/>
      <c r="AR904" s="220"/>
      <c r="AS904" s="220"/>
      <c r="AT904" s="220"/>
      <c r="AU904" s="220"/>
    </row>
    <row r="905" ht="15.75" customHeight="1">
      <c r="A905" s="220"/>
      <c r="B905" s="220"/>
      <c r="C905" s="220"/>
      <c r="D905" s="220"/>
      <c r="E905" s="220"/>
      <c r="F905" s="220"/>
      <c r="G905" s="220"/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  <c r="W905" s="220"/>
      <c r="X905" s="220"/>
      <c r="Y905" s="220"/>
      <c r="Z905" s="220"/>
      <c r="AA905" s="220"/>
      <c r="AB905" s="220"/>
      <c r="AC905" s="220"/>
      <c r="AD905" s="220"/>
      <c r="AE905" s="220"/>
      <c r="AF905" s="220"/>
      <c r="AG905" s="220"/>
      <c r="AH905" s="220"/>
      <c r="AI905" s="220"/>
      <c r="AJ905" s="220"/>
      <c r="AK905" s="220"/>
      <c r="AL905" s="220"/>
      <c r="AM905" s="220"/>
      <c r="AN905" s="220"/>
      <c r="AO905" s="220"/>
      <c r="AP905" s="220"/>
      <c r="AQ905" s="220"/>
      <c r="AR905" s="220"/>
      <c r="AS905" s="220"/>
      <c r="AT905" s="220"/>
      <c r="AU905" s="220"/>
    </row>
    <row r="906" ht="15.75" customHeight="1">
      <c r="A906" s="220"/>
      <c r="B906" s="220"/>
      <c r="C906" s="220"/>
      <c r="D906" s="220"/>
      <c r="E906" s="220"/>
      <c r="F906" s="220"/>
      <c r="G906" s="220"/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  <c r="W906" s="220"/>
      <c r="X906" s="220"/>
      <c r="Y906" s="220"/>
      <c r="Z906" s="220"/>
      <c r="AA906" s="220"/>
      <c r="AB906" s="220"/>
      <c r="AC906" s="220"/>
      <c r="AD906" s="220"/>
      <c r="AE906" s="220"/>
      <c r="AF906" s="220"/>
      <c r="AG906" s="220"/>
      <c r="AH906" s="220"/>
      <c r="AI906" s="220"/>
      <c r="AJ906" s="220"/>
      <c r="AK906" s="220"/>
      <c r="AL906" s="220"/>
      <c r="AM906" s="220"/>
      <c r="AN906" s="220"/>
      <c r="AO906" s="220"/>
      <c r="AP906" s="220"/>
      <c r="AQ906" s="220"/>
      <c r="AR906" s="220"/>
      <c r="AS906" s="220"/>
      <c r="AT906" s="220"/>
      <c r="AU906" s="220"/>
    </row>
    <row r="907" ht="15.75" customHeight="1">
      <c r="A907" s="220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  <c r="W907" s="220"/>
      <c r="X907" s="220"/>
      <c r="Y907" s="220"/>
      <c r="Z907" s="220"/>
      <c r="AA907" s="220"/>
      <c r="AB907" s="220"/>
      <c r="AC907" s="220"/>
      <c r="AD907" s="220"/>
      <c r="AE907" s="220"/>
      <c r="AF907" s="220"/>
      <c r="AG907" s="220"/>
      <c r="AH907" s="220"/>
      <c r="AI907" s="220"/>
      <c r="AJ907" s="220"/>
      <c r="AK907" s="220"/>
      <c r="AL907" s="220"/>
      <c r="AM907" s="220"/>
      <c r="AN907" s="220"/>
      <c r="AO907" s="220"/>
      <c r="AP907" s="220"/>
      <c r="AQ907" s="220"/>
      <c r="AR907" s="220"/>
      <c r="AS907" s="220"/>
      <c r="AT907" s="220"/>
      <c r="AU907" s="220"/>
    </row>
    <row r="908" ht="15.75" customHeight="1">
      <c r="A908" s="220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  <c r="W908" s="220"/>
      <c r="X908" s="220"/>
      <c r="Y908" s="220"/>
      <c r="Z908" s="220"/>
      <c r="AA908" s="220"/>
      <c r="AB908" s="220"/>
      <c r="AC908" s="220"/>
      <c r="AD908" s="220"/>
      <c r="AE908" s="220"/>
      <c r="AF908" s="220"/>
      <c r="AG908" s="220"/>
      <c r="AH908" s="220"/>
      <c r="AI908" s="220"/>
      <c r="AJ908" s="220"/>
      <c r="AK908" s="220"/>
      <c r="AL908" s="220"/>
      <c r="AM908" s="220"/>
      <c r="AN908" s="220"/>
      <c r="AO908" s="220"/>
      <c r="AP908" s="220"/>
      <c r="AQ908" s="220"/>
      <c r="AR908" s="220"/>
      <c r="AS908" s="220"/>
      <c r="AT908" s="220"/>
      <c r="AU908" s="220"/>
    </row>
    <row r="909" ht="15.75" customHeight="1">
      <c r="A909" s="220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  <c r="W909" s="220"/>
      <c r="X909" s="220"/>
      <c r="Y909" s="220"/>
      <c r="Z909" s="220"/>
      <c r="AA909" s="220"/>
      <c r="AB909" s="220"/>
      <c r="AC909" s="220"/>
      <c r="AD909" s="220"/>
      <c r="AE909" s="220"/>
      <c r="AF909" s="220"/>
      <c r="AG909" s="220"/>
      <c r="AH909" s="220"/>
      <c r="AI909" s="220"/>
      <c r="AJ909" s="220"/>
      <c r="AK909" s="220"/>
      <c r="AL909" s="220"/>
      <c r="AM909" s="220"/>
      <c r="AN909" s="220"/>
      <c r="AO909" s="220"/>
      <c r="AP909" s="220"/>
      <c r="AQ909" s="220"/>
      <c r="AR909" s="220"/>
      <c r="AS909" s="220"/>
      <c r="AT909" s="220"/>
      <c r="AU909" s="220"/>
    </row>
    <row r="910" ht="15.75" customHeight="1">
      <c r="A910" s="220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  <c r="W910" s="220"/>
      <c r="X910" s="220"/>
      <c r="Y910" s="220"/>
      <c r="Z910" s="220"/>
      <c r="AA910" s="220"/>
      <c r="AB910" s="220"/>
      <c r="AC910" s="220"/>
      <c r="AD910" s="220"/>
      <c r="AE910" s="220"/>
      <c r="AF910" s="220"/>
      <c r="AG910" s="220"/>
      <c r="AH910" s="220"/>
      <c r="AI910" s="220"/>
      <c r="AJ910" s="220"/>
      <c r="AK910" s="220"/>
      <c r="AL910" s="220"/>
      <c r="AM910" s="220"/>
      <c r="AN910" s="220"/>
      <c r="AO910" s="220"/>
      <c r="AP910" s="220"/>
      <c r="AQ910" s="220"/>
      <c r="AR910" s="220"/>
      <c r="AS910" s="220"/>
      <c r="AT910" s="220"/>
      <c r="AU910" s="220"/>
    </row>
    <row r="911" ht="15.75" customHeight="1">
      <c r="A911" s="220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  <c r="W911" s="220"/>
      <c r="X911" s="220"/>
      <c r="Y911" s="220"/>
      <c r="Z911" s="220"/>
      <c r="AA911" s="220"/>
      <c r="AB911" s="220"/>
      <c r="AC911" s="220"/>
      <c r="AD911" s="220"/>
      <c r="AE911" s="220"/>
      <c r="AF911" s="220"/>
      <c r="AG911" s="220"/>
      <c r="AH911" s="220"/>
      <c r="AI911" s="220"/>
      <c r="AJ911" s="220"/>
      <c r="AK911" s="220"/>
      <c r="AL911" s="220"/>
      <c r="AM911" s="220"/>
      <c r="AN911" s="220"/>
      <c r="AO911" s="220"/>
      <c r="AP911" s="220"/>
      <c r="AQ911" s="220"/>
      <c r="AR911" s="220"/>
      <c r="AS911" s="220"/>
      <c r="AT911" s="220"/>
      <c r="AU911" s="220"/>
    </row>
    <row r="912" ht="15.75" customHeight="1">
      <c r="A912" s="220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  <c r="W912" s="220"/>
      <c r="X912" s="220"/>
      <c r="Y912" s="220"/>
      <c r="Z912" s="220"/>
      <c r="AA912" s="220"/>
      <c r="AB912" s="220"/>
      <c r="AC912" s="220"/>
      <c r="AD912" s="220"/>
      <c r="AE912" s="220"/>
      <c r="AF912" s="220"/>
      <c r="AG912" s="220"/>
      <c r="AH912" s="220"/>
      <c r="AI912" s="220"/>
      <c r="AJ912" s="220"/>
      <c r="AK912" s="220"/>
      <c r="AL912" s="220"/>
      <c r="AM912" s="220"/>
      <c r="AN912" s="220"/>
      <c r="AO912" s="220"/>
      <c r="AP912" s="220"/>
      <c r="AQ912" s="220"/>
      <c r="AR912" s="220"/>
      <c r="AS912" s="220"/>
      <c r="AT912" s="220"/>
      <c r="AU912" s="220"/>
    </row>
    <row r="913" ht="15.75" customHeight="1">
      <c r="A913" s="220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  <c r="W913" s="220"/>
      <c r="X913" s="220"/>
      <c r="Y913" s="220"/>
      <c r="Z913" s="220"/>
      <c r="AA913" s="220"/>
      <c r="AB913" s="220"/>
      <c r="AC913" s="220"/>
      <c r="AD913" s="220"/>
      <c r="AE913" s="220"/>
      <c r="AF913" s="220"/>
      <c r="AG913" s="220"/>
      <c r="AH913" s="220"/>
      <c r="AI913" s="220"/>
      <c r="AJ913" s="220"/>
      <c r="AK913" s="220"/>
      <c r="AL913" s="220"/>
      <c r="AM913" s="220"/>
      <c r="AN913" s="220"/>
      <c r="AO913" s="220"/>
      <c r="AP913" s="220"/>
      <c r="AQ913" s="220"/>
      <c r="AR913" s="220"/>
      <c r="AS913" s="220"/>
      <c r="AT913" s="220"/>
      <c r="AU913" s="220"/>
    </row>
    <row r="914" ht="15.75" customHeight="1">
      <c r="A914" s="220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20"/>
      <c r="AA914" s="220"/>
      <c r="AB914" s="220"/>
      <c r="AC914" s="220"/>
      <c r="AD914" s="220"/>
      <c r="AE914" s="220"/>
      <c r="AF914" s="220"/>
      <c r="AG914" s="220"/>
      <c r="AH914" s="220"/>
      <c r="AI914" s="220"/>
      <c r="AJ914" s="220"/>
      <c r="AK914" s="220"/>
      <c r="AL914" s="220"/>
      <c r="AM914" s="220"/>
      <c r="AN914" s="220"/>
      <c r="AO914" s="220"/>
      <c r="AP914" s="220"/>
      <c r="AQ914" s="220"/>
      <c r="AR914" s="220"/>
      <c r="AS914" s="220"/>
      <c r="AT914" s="220"/>
      <c r="AU914" s="220"/>
    </row>
    <row r="915" ht="15.75" customHeight="1">
      <c r="A915" s="220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  <c r="W915" s="220"/>
      <c r="X915" s="220"/>
      <c r="Y915" s="220"/>
      <c r="Z915" s="220"/>
      <c r="AA915" s="220"/>
      <c r="AB915" s="220"/>
      <c r="AC915" s="220"/>
      <c r="AD915" s="220"/>
      <c r="AE915" s="220"/>
      <c r="AF915" s="220"/>
      <c r="AG915" s="220"/>
      <c r="AH915" s="220"/>
      <c r="AI915" s="220"/>
      <c r="AJ915" s="220"/>
      <c r="AK915" s="220"/>
      <c r="AL915" s="220"/>
      <c r="AM915" s="220"/>
      <c r="AN915" s="220"/>
      <c r="AO915" s="220"/>
      <c r="AP915" s="220"/>
      <c r="AQ915" s="220"/>
      <c r="AR915" s="220"/>
      <c r="AS915" s="220"/>
      <c r="AT915" s="220"/>
      <c r="AU915" s="220"/>
    </row>
    <row r="916" ht="15.75" customHeight="1">
      <c r="A916" s="220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  <c r="W916" s="220"/>
      <c r="X916" s="220"/>
      <c r="Y916" s="220"/>
      <c r="Z916" s="220"/>
      <c r="AA916" s="220"/>
      <c r="AB916" s="220"/>
      <c r="AC916" s="220"/>
      <c r="AD916" s="220"/>
      <c r="AE916" s="220"/>
      <c r="AF916" s="220"/>
      <c r="AG916" s="220"/>
      <c r="AH916" s="220"/>
      <c r="AI916" s="220"/>
      <c r="AJ916" s="220"/>
      <c r="AK916" s="220"/>
      <c r="AL916" s="220"/>
      <c r="AM916" s="220"/>
      <c r="AN916" s="220"/>
      <c r="AO916" s="220"/>
      <c r="AP916" s="220"/>
      <c r="AQ916" s="220"/>
      <c r="AR916" s="220"/>
      <c r="AS916" s="220"/>
      <c r="AT916" s="220"/>
      <c r="AU916" s="220"/>
    </row>
    <row r="917" ht="15.75" customHeight="1">
      <c r="A917" s="220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  <c r="W917" s="220"/>
      <c r="X917" s="220"/>
      <c r="Y917" s="220"/>
      <c r="Z917" s="220"/>
      <c r="AA917" s="220"/>
      <c r="AB917" s="220"/>
      <c r="AC917" s="220"/>
      <c r="AD917" s="220"/>
      <c r="AE917" s="220"/>
      <c r="AF917" s="220"/>
      <c r="AG917" s="220"/>
      <c r="AH917" s="220"/>
      <c r="AI917" s="220"/>
      <c r="AJ917" s="220"/>
      <c r="AK917" s="220"/>
      <c r="AL917" s="220"/>
      <c r="AM917" s="220"/>
      <c r="AN917" s="220"/>
      <c r="AO917" s="220"/>
      <c r="AP917" s="220"/>
      <c r="AQ917" s="220"/>
      <c r="AR917" s="220"/>
      <c r="AS917" s="220"/>
      <c r="AT917" s="220"/>
      <c r="AU917" s="220"/>
    </row>
    <row r="918" ht="15.75" customHeight="1">
      <c r="A918" s="220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  <c r="W918" s="220"/>
      <c r="X918" s="220"/>
      <c r="Y918" s="220"/>
      <c r="Z918" s="220"/>
      <c r="AA918" s="220"/>
      <c r="AB918" s="220"/>
      <c r="AC918" s="220"/>
      <c r="AD918" s="220"/>
      <c r="AE918" s="220"/>
      <c r="AF918" s="220"/>
      <c r="AG918" s="220"/>
      <c r="AH918" s="220"/>
      <c r="AI918" s="220"/>
      <c r="AJ918" s="220"/>
      <c r="AK918" s="220"/>
      <c r="AL918" s="220"/>
      <c r="AM918" s="220"/>
      <c r="AN918" s="220"/>
      <c r="AO918" s="220"/>
      <c r="AP918" s="220"/>
      <c r="AQ918" s="220"/>
      <c r="AR918" s="220"/>
      <c r="AS918" s="220"/>
      <c r="AT918" s="220"/>
      <c r="AU918" s="220"/>
    </row>
    <row r="919" ht="15.75" customHeight="1">
      <c r="A919" s="220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  <c r="W919" s="220"/>
      <c r="X919" s="220"/>
      <c r="Y919" s="220"/>
      <c r="Z919" s="220"/>
      <c r="AA919" s="220"/>
      <c r="AB919" s="220"/>
      <c r="AC919" s="220"/>
      <c r="AD919" s="220"/>
      <c r="AE919" s="220"/>
      <c r="AF919" s="220"/>
      <c r="AG919" s="220"/>
      <c r="AH919" s="220"/>
      <c r="AI919" s="220"/>
      <c r="AJ919" s="220"/>
      <c r="AK919" s="220"/>
      <c r="AL919" s="220"/>
      <c r="AM919" s="220"/>
      <c r="AN919" s="220"/>
      <c r="AO919" s="220"/>
      <c r="AP919" s="220"/>
      <c r="AQ919" s="220"/>
      <c r="AR919" s="220"/>
      <c r="AS919" s="220"/>
      <c r="AT919" s="220"/>
      <c r="AU919" s="220"/>
    </row>
    <row r="920" ht="15.75" customHeight="1">
      <c r="A920" s="220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  <c r="W920" s="220"/>
      <c r="X920" s="220"/>
      <c r="Y920" s="220"/>
      <c r="Z920" s="220"/>
      <c r="AA920" s="220"/>
      <c r="AB920" s="220"/>
      <c r="AC920" s="220"/>
      <c r="AD920" s="220"/>
      <c r="AE920" s="220"/>
      <c r="AF920" s="220"/>
      <c r="AG920" s="220"/>
      <c r="AH920" s="220"/>
      <c r="AI920" s="220"/>
      <c r="AJ920" s="220"/>
      <c r="AK920" s="220"/>
      <c r="AL920" s="220"/>
      <c r="AM920" s="220"/>
      <c r="AN920" s="220"/>
      <c r="AO920" s="220"/>
      <c r="AP920" s="220"/>
      <c r="AQ920" s="220"/>
      <c r="AR920" s="220"/>
      <c r="AS920" s="220"/>
      <c r="AT920" s="220"/>
      <c r="AU920" s="220"/>
    </row>
    <row r="921" ht="15.75" customHeight="1">
      <c r="A921" s="220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0"/>
      <c r="AA921" s="220"/>
      <c r="AB921" s="220"/>
      <c r="AC921" s="220"/>
      <c r="AD921" s="220"/>
      <c r="AE921" s="220"/>
      <c r="AF921" s="220"/>
      <c r="AG921" s="220"/>
      <c r="AH921" s="220"/>
      <c r="AI921" s="220"/>
      <c r="AJ921" s="220"/>
      <c r="AK921" s="220"/>
      <c r="AL921" s="220"/>
      <c r="AM921" s="220"/>
      <c r="AN921" s="220"/>
      <c r="AO921" s="220"/>
      <c r="AP921" s="220"/>
      <c r="AQ921" s="220"/>
      <c r="AR921" s="220"/>
      <c r="AS921" s="220"/>
      <c r="AT921" s="220"/>
      <c r="AU921" s="220"/>
    </row>
    <row r="922" ht="15.75" customHeight="1">
      <c r="A922" s="220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  <c r="W922" s="220"/>
      <c r="X922" s="220"/>
      <c r="Y922" s="220"/>
      <c r="Z922" s="220"/>
      <c r="AA922" s="220"/>
      <c r="AB922" s="220"/>
      <c r="AC922" s="220"/>
      <c r="AD922" s="220"/>
      <c r="AE922" s="220"/>
      <c r="AF922" s="220"/>
      <c r="AG922" s="220"/>
      <c r="AH922" s="220"/>
      <c r="AI922" s="220"/>
      <c r="AJ922" s="220"/>
      <c r="AK922" s="220"/>
      <c r="AL922" s="220"/>
      <c r="AM922" s="220"/>
      <c r="AN922" s="220"/>
      <c r="AO922" s="220"/>
      <c r="AP922" s="220"/>
      <c r="AQ922" s="220"/>
      <c r="AR922" s="220"/>
      <c r="AS922" s="220"/>
      <c r="AT922" s="220"/>
      <c r="AU922" s="220"/>
    </row>
    <row r="923" ht="15.75" customHeight="1">
      <c r="A923" s="220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  <c r="W923" s="220"/>
      <c r="X923" s="220"/>
      <c r="Y923" s="220"/>
      <c r="Z923" s="220"/>
      <c r="AA923" s="220"/>
      <c r="AB923" s="220"/>
      <c r="AC923" s="220"/>
      <c r="AD923" s="220"/>
      <c r="AE923" s="220"/>
      <c r="AF923" s="220"/>
      <c r="AG923" s="220"/>
      <c r="AH923" s="220"/>
      <c r="AI923" s="220"/>
      <c r="AJ923" s="220"/>
      <c r="AK923" s="220"/>
      <c r="AL923" s="220"/>
      <c r="AM923" s="220"/>
      <c r="AN923" s="220"/>
      <c r="AO923" s="220"/>
      <c r="AP923" s="220"/>
      <c r="AQ923" s="220"/>
      <c r="AR923" s="220"/>
      <c r="AS923" s="220"/>
      <c r="AT923" s="220"/>
      <c r="AU923" s="220"/>
    </row>
    <row r="924" ht="15.75" customHeight="1">
      <c r="A924" s="220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  <c r="W924" s="220"/>
      <c r="X924" s="220"/>
      <c r="Y924" s="220"/>
      <c r="Z924" s="220"/>
      <c r="AA924" s="220"/>
      <c r="AB924" s="220"/>
      <c r="AC924" s="220"/>
      <c r="AD924" s="220"/>
      <c r="AE924" s="220"/>
      <c r="AF924" s="220"/>
      <c r="AG924" s="220"/>
      <c r="AH924" s="220"/>
      <c r="AI924" s="220"/>
      <c r="AJ924" s="220"/>
      <c r="AK924" s="220"/>
      <c r="AL924" s="220"/>
      <c r="AM924" s="220"/>
      <c r="AN924" s="220"/>
      <c r="AO924" s="220"/>
      <c r="AP924" s="220"/>
      <c r="AQ924" s="220"/>
      <c r="AR924" s="220"/>
      <c r="AS924" s="220"/>
      <c r="AT924" s="220"/>
      <c r="AU924" s="220"/>
    </row>
    <row r="925" ht="15.75" customHeight="1">
      <c r="A925" s="220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  <c r="W925" s="220"/>
      <c r="X925" s="220"/>
      <c r="Y925" s="220"/>
      <c r="Z925" s="220"/>
      <c r="AA925" s="220"/>
      <c r="AB925" s="220"/>
      <c r="AC925" s="220"/>
      <c r="AD925" s="220"/>
      <c r="AE925" s="220"/>
      <c r="AF925" s="220"/>
      <c r="AG925" s="220"/>
      <c r="AH925" s="220"/>
      <c r="AI925" s="220"/>
      <c r="AJ925" s="220"/>
      <c r="AK925" s="220"/>
      <c r="AL925" s="220"/>
      <c r="AM925" s="220"/>
      <c r="AN925" s="220"/>
      <c r="AO925" s="220"/>
      <c r="AP925" s="220"/>
      <c r="AQ925" s="220"/>
      <c r="AR925" s="220"/>
      <c r="AS925" s="220"/>
      <c r="AT925" s="220"/>
      <c r="AU925" s="220"/>
    </row>
    <row r="926" ht="15.75" customHeight="1">
      <c r="A926" s="220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  <c r="W926" s="220"/>
      <c r="X926" s="220"/>
      <c r="Y926" s="220"/>
      <c r="Z926" s="220"/>
      <c r="AA926" s="220"/>
      <c r="AB926" s="220"/>
      <c r="AC926" s="220"/>
      <c r="AD926" s="220"/>
      <c r="AE926" s="220"/>
      <c r="AF926" s="220"/>
      <c r="AG926" s="220"/>
      <c r="AH926" s="220"/>
      <c r="AI926" s="220"/>
      <c r="AJ926" s="220"/>
      <c r="AK926" s="220"/>
      <c r="AL926" s="220"/>
      <c r="AM926" s="220"/>
      <c r="AN926" s="220"/>
      <c r="AO926" s="220"/>
      <c r="AP926" s="220"/>
      <c r="AQ926" s="220"/>
      <c r="AR926" s="220"/>
      <c r="AS926" s="220"/>
      <c r="AT926" s="220"/>
      <c r="AU926" s="220"/>
    </row>
    <row r="927" ht="15.75" customHeight="1">
      <c r="A927" s="220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  <c r="W927" s="220"/>
      <c r="X927" s="220"/>
      <c r="Y927" s="220"/>
      <c r="Z927" s="220"/>
      <c r="AA927" s="220"/>
      <c r="AB927" s="220"/>
      <c r="AC927" s="220"/>
      <c r="AD927" s="220"/>
      <c r="AE927" s="220"/>
      <c r="AF927" s="220"/>
      <c r="AG927" s="220"/>
      <c r="AH927" s="220"/>
      <c r="AI927" s="220"/>
      <c r="AJ927" s="220"/>
      <c r="AK927" s="220"/>
      <c r="AL927" s="220"/>
      <c r="AM927" s="220"/>
      <c r="AN927" s="220"/>
      <c r="AO927" s="220"/>
      <c r="AP927" s="220"/>
      <c r="AQ927" s="220"/>
      <c r="AR927" s="220"/>
      <c r="AS927" s="220"/>
      <c r="AT927" s="220"/>
      <c r="AU927" s="220"/>
    </row>
    <row r="928" ht="15.75" customHeight="1">
      <c r="A928" s="220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  <c r="W928" s="220"/>
      <c r="X928" s="220"/>
      <c r="Y928" s="220"/>
      <c r="Z928" s="220"/>
      <c r="AA928" s="220"/>
      <c r="AB928" s="220"/>
      <c r="AC928" s="220"/>
      <c r="AD928" s="220"/>
      <c r="AE928" s="220"/>
      <c r="AF928" s="220"/>
      <c r="AG928" s="220"/>
      <c r="AH928" s="220"/>
      <c r="AI928" s="220"/>
      <c r="AJ928" s="220"/>
      <c r="AK928" s="220"/>
      <c r="AL928" s="220"/>
      <c r="AM928" s="220"/>
      <c r="AN928" s="220"/>
      <c r="AO928" s="220"/>
      <c r="AP928" s="220"/>
      <c r="AQ928" s="220"/>
      <c r="AR928" s="220"/>
      <c r="AS928" s="220"/>
      <c r="AT928" s="220"/>
      <c r="AU928" s="220"/>
    </row>
    <row r="929" ht="15.75" customHeight="1">
      <c r="A929" s="220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  <c r="W929" s="220"/>
      <c r="X929" s="220"/>
      <c r="Y929" s="220"/>
      <c r="Z929" s="220"/>
      <c r="AA929" s="220"/>
      <c r="AB929" s="220"/>
      <c r="AC929" s="220"/>
      <c r="AD929" s="220"/>
      <c r="AE929" s="220"/>
      <c r="AF929" s="220"/>
      <c r="AG929" s="220"/>
      <c r="AH929" s="220"/>
      <c r="AI929" s="220"/>
      <c r="AJ929" s="220"/>
      <c r="AK929" s="220"/>
      <c r="AL929" s="220"/>
      <c r="AM929" s="220"/>
      <c r="AN929" s="220"/>
      <c r="AO929" s="220"/>
      <c r="AP929" s="220"/>
      <c r="AQ929" s="220"/>
      <c r="AR929" s="220"/>
      <c r="AS929" s="220"/>
      <c r="AT929" s="220"/>
      <c r="AU929" s="220"/>
    </row>
    <row r="930" ht="15.75" customHeight="1">
      <c r="A930" s="220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  <c r="W930" s="220"/>
      <c r="X930" s="220"/>
      <c r="Y930" s="220"/>
      <c r="Z930" s="220"/>
      <c r="AA930" s="220"/>
      <c r="AB930" s="220"/>
      <c r="AC930" s="220"/>
      <c r="AD930" s="220"/>
      <c r="AE930" s="220"/>
      <c r="AF930" s="220"/>
      <c r="AG930" s="220"/>
      <c r="AH930" s="220"/>
      <c r="AI930" s="220"/>
      <c r="AJ930" s="220"/>
      <c r="AK930" s="220"/>
      <c r="AL930" s="220"/>
      <c r="AM930" s="220"/>
      <c r="AN930" s="220"/>
      <c r="AO930" s="220"/>
      <c r="AP930" s="220"/>
      <c r="AQ930" s="220"/>
      <c r="AR930" s="220"/>
      <c r="AS930" s="220"/>
      <c r="AT930" s="220"/>
      <c r="AU930" s="220"/>
    </row>
    <row r="931" ht="15.75" customHeight="1">
      <c r="A931" s="220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  <c r="W931" s="220"/>
      <c r="X931" s="220"/>
      <c r="Y931" s="220"/>
      <c r="Z931" s="220"/>
      <c r="AA931" s="220"/>
      <c r="AB931" s="220"/>
      <c r="AC931" s="220"/>
      <c r="AD931" s="220"/>
      <c r="AE931" s="220"/>
      <c r="AF931" s="220"/>
      <c r="AG931" s="220"/>
      <c r="AH931" s="220"/>
      <c r="AI931" s="220"/>
      <c r="AJ931" s="220"/>
      <c r="AK931" s="220"/>
      <c r="AL931" s="220"/>
      <c r="AM931" s="220"/>
      <c r="AN931" s="220"/>
      <c r="AO931" s="220"/>
      <c r="AP931" s="220"/>
      <c r="AQ931" s="220"/>
      <c r="AR931" s="220"/>
      <c r="AS931" s="220"/>
      <c r="AT931" s="220"/>
      <c r="AU931" s="220"/>
    </row>
    <row r="932" ht="15.75" customHeight="1">
      <c r="A932" s="220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  <c r="W932" s="220"/>
      <c r="X932" s="220"/>
      <c r="Y932" s="220"/>
      <c r="Z932" s="220"/>
      <c r="AA932" s="220"/>
      <c r="AB932" s="220"/>
      <c r="AC932" s="220"/>
      <c r="AD932" s="220"/>
      <c r="AE932" s="220"/>
      <c r="AF932" s="220"/>
      <c r="AG932" s="220"/>
      <c r="AH932" s="220"/>
      <c r="AI932" s="220"/>
      <c r="AJ932" s="220"/>
      <c r="AK932" s="220"/>
      <c r="AL932" s="220"/>
      <c r="AM932" s="220"/>
      <c r="AN932" s="220"/>
      <c r="AO932" s="220"/>
      <c r="AP932" s="220"/>
      <c r="AQ932" s="220"/>
      <c r="AR932" s="220"/>
      <c r="AS932" s="220"/>
      <c r="AT932" s="220"/>
      <c r="AU932" s="220"/>
    </row>
    <row r="933" ht="15.75" customHeight="1">
      <c r="A933" s="220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  <c r="W933" s="220"/>
      <c r="X933" s="220"/>
      <c r="Y933" s="220"/>
      <c r="Z933" s="220"/>
      <c r="AA933" s="220"/>
      <c r="AB933" s="220"/>
      <c r="AC933" s="220"/>
      <c r="AD933" s="220"/>
      <c r="AE933" s="220"/>
      <c r="AF933" s="220"/>
      <c r="AG933" s="220"/>
      <c r="AH933" s="220"/>
      <c r="AI933" s="220"/>
      <c r="AJ933" s="220"/>
      <c r="AK933" s="220"/>
      <c r="AL933" s="220"/>
      <c r="AM933" s="220"/>
      <c r="AN933" s="220"/>
      <c r="AO933" s="220"/>
      <c r="AP933" s="220"/>
      <c r="AQ933" s="220"/>
      <c r="AR933" s="220"/>
      <c r="AS933" s="220"/>
      <c r="AT933" s="220"/>
      <c r="AU933" s="220"/>
    </row>
    <row r="934" ht="15.75" customHeight="1">
      <c r="A934" s="220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  <c r="W934" s="220"/>
      <c r="X934" s="220"/>
      <c r="Y934" s="220"/>
      <c r="Z934" s="220"/>
      <c r="AA934" s="220"/>
      <c r="AB934" s="220"/>
      <c r="AC934" s="220"/>
      <c r="AD934" s="220"/>
      <c r="AE934" s="220"/>
      <c r="AF934" s="220"/>
      <c r="AG934" s="220"/>
      <c r="AH934" s="220"/>
      <c r="AI934" s="220"/>
      <c r="AJ934" s="220"/>
      <c r="AK934" s="220"/>
      <c r="AL934" s="220"/>
      <c r="AM934" s="220"/>
      <c r="AN934" s="220"/>
      <c r="AO934" s="220"/>
      <c r="AP934" s="220"/>
      <c r="AQ934" s="220"/>
      <c r="AR934" s="220"/>
      <c r="AS934" s="220"/>
      <c r="AT934" s="220"/>
      <c r="AU934" s="220"/>
    </row>
    <row r="935" ht="15.75" customHeight="1">
      <c r="A935" s="220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  <c r="W935" s="220"/>
      <c r="X935" s="220"/>
      <c r="Y935" s="220"/>
      <c r="Z935" s="220"/>
      <c r="AA935" s="220"/>
      <c r="AB935" s="220"/>
      <c r="AC935" s="220"/>
      <c r="AD935" s="220"/>
      <c r="AE935" s="220"/>
      <c r="AF935" s="220"/>
      <c r="AG935" s="220"/>
      <c r="AH935" s="220"/>
      <c r="AI935" s="220"/>
      <c r="AJ935" s="220"/>
      <c r="AK935" s="220"/>
      <c r="AL935" s="220"/>
      <c r="AM935" s="220"/>
      <c r="AN935" s="220"/>
      <c r="AO935" s="220"/>
      <c r="AP935" s="220"/>
      <c r="AQ935" s="220"/>
      <c r="AR935" s="220"/>
      <c r="AS935" s="220"/>
      <c r="AT935" s="220"/>
      <c r="AU935" s="220"/>
    </row>
    <row r="936" ht="15.75" customHeight="1">
      <c r="A936" s="220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  <c r="W936" s="220"/>
      <c r="X936" s="220"/>
      <c r="Y936" s="220"/>
      <c r="Z936" s="220"/>
      <c r="AA936" s="220"/>
      <c r="AB936" s="220"/>
      <c r="AC936" s="220"/>
      <c r="AD936" s="220"/>
      <c r="AE936" s="220"/>
      <c r="AF936" s="220"/>
      <c r="AG936" s="220"/>
      <c r="AH936" s="220"/>
      <c r="AI936" s="220"/>
      <c r="AJ936" s="220"/>
      <c r="AK936" s="220"/>
      <c r="AL936" s="220"/>
      <c r="AM936" s="220"/>
      <c r="AN936" s="220"/>
      <c r="AO936" s="220"/>
      <c r="AP936" s="220"/>
      <c r="AQ936" s="220"/>
      <c r="AR936" s="220"/>
      <c r="AS936" s="220"/>
      <c r="AT936" s="220"/>
      <c r="AU936" s="220"/>
    </row>
    <row r="937" ht="15.75" customHeight="1">
      <c r="A937" s="220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  <c r="W937" s="220"/>
      <c r="X937" s="220"/>
      <c r="Y937" s="220"/>
      <c r="Z937" s="220"/>
      <c r="AA937" s="220"/>
      <c r="AB937" s="220"/>
      <c r="AC937" s="220"/>
      <c r="AD937" s="220"/>
      <c r="AE937" s="220"/>
      <c r="AF937" s="220"/>
      <c r="AG937" s="220"/>
      <c r="AH937" s="220"/>
      <c r="AI937" s="220"/>
      <c r="AJ937" s="220"/>
      <c r="AK937" s="220"/>
      <c r="AL937" s="220"/>
      <c r="AM937" s="220"/>
      <c r="AN937" s="220"/>
      <c r="AO937" s="220"/>
      <c r="AP937" s="220"/>
      <c r="AQ937" s="220"/>
      <c r="AR937" s="220"/>
      <c r="AS937" s="220"/>
      <c r="AT937" s="220"/>
      <c r="AU937" s="220"/>
    </row>
    <row r="938" ht="15.75" customHeight="1">
      <c r="A938" s="220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  <c r="W938" s="220"/>
      <c r="X938" s="220"/>
      <c r="Y938" s="220"/>
      <c r="Z938" s="220"/>
      <c r="AA938" s="220"/>
      <c r="AB938" s="220"/>
      <c r="AC938" s="220"/>
      <c r="AD938" s="220"/>
      <c r="AE938" s="220"/>
      <c r="AF938" s="220"/>
      <c r="AG938" s="220"/>
      <c r="AH938" s="220"/>
      <c r="AI938" s="220"/>
      <c r="AJ938" s="220"/>
      <c r="AK938" s="220"/>
      <c r="AL938" s="220"/>
      <c r="AM938" s="220"/>
      <c r="AN938" s="220"/>
      <c r="AO938" s="220"/>
      <c r="AP938" s="220"/>
      <c r="AQ938" s="220"/>
      <c r="AR938" s="220"/>
      <c r="AS938" s="220"/>
      <c r="AT938" s="220"/>
      <c r="AU938" s="220"/>
    </row>
    <row r="939" ht="15.75" customHeight="1">
      <c r="A939" s="220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  <c r="W939" s="220"/>
      <c r="X939" s="220"/>
      <c r="Y939" s="220"/>
      <c r="Z939" s="220"/>
      <c r="AA939" s="220"/>
      <c r="AB939" s="220"/>
      <c r="AC939" s="220"/>
      <c r="AD939" s="220"/>
      <c r="AE939" s="220"/>
      <c r="AF939" s="220"/>
      <c r="AG939" s="220"/>
      <c r="AH939" s="220"/>
      <c r="AI939" s="220"/>
      <c r="AJ939" s="220"/>
      <c r="AK939" s="220"/>
      <c r="AL939" s="220"/>
      <c r="AM939" s="220"/>
      <c r="AN939" s="220"/>
      <c r="AO939" s="220"/>
      <c r="AP939" s="220"/>
      <c r="AQ939" s="220"/>
      <c r="AR939" s="220"/>
      <c r="AS939" s="220"/>
      <c r="AT939" s="220"/>
      <c r="AU939" s="220"/>
    </row>
    <row r="940" ht="15.75" customHeight="1">
      <c r="A940" s="220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  <c r="W940" s="220"/>
      <c r="X940" s="220"/>
      <c r="Y940" s="220"/>
      <c r="Z940" s="220"/>
      <c r="AA940" s="220"/>
      <c r="AB940" s="220"/>
      <c r="AC940" s="220"/>
      <c r="AD940" s="220"/>
      <c r="AE940" s="220"/>
      <c r="AF940" s="220"/>
      <c r="AG940" s="220"/>
      <c r="AH940" s="220"/>
      <c r="AI940" s="220"/>
      <c r="AJ940" s="220"/>
      <c r="AK940" s="220"/>
      <c r="AL940" s="220"/>
      <c r="AM940" s="220"/>
      <c r="AN940" s="220"/>
      <c r="AO940" s="220"/>
      <c r="AP940" s="220"/>
      <c r="AQ940" s="220"/>
      <c r="AR940" s="220"/>
      <c r="AS940" s="220"/>
      <c r="AT940" s="220"/>
      <c r="AU940" s="220"/>
    </row>
    <row r="941" ht="15.75" customHeight="1">
      <c r="A941" s="220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  <c r="W941" s="220"/>
      <c r="X941" s="220"/>
      <c r="Y941" s="220"/>
      <c r="Z941" s="220"/>
      <c r="AA941" s="220"/>
      <c r="AB941" s="220"/>
      <c r="AC941" s="220"/>
      <c r="AD941" s="220"/>
      <c r="AE941" s="220"/>
      <c r="AF941" s="220"/>
      <c r="AG941" s="220"/>
      <c r="AH941" s="220"/>
      <c r="AI941" s="220"/>
      <c r="AJ941" s="220"/>
      <c r="AK941" s="220"/>
      <c r="AL941" s="220"/>
      <c r="AM941" s="220"/>
      <c r="AN941" s="220"/>
      <c r="AO941" s="220"/>
      <c r="AP941" s="220"/>
      <c r="AQ941" s="220"/>
      <c r="AR941" s="220"/>
      <c r="AS941" s="220"/>
      <c r="AT941" s="220"/>
      <c r="AU941" s="220"/>
    </row>
    <row r="942" ht="15.75" customHeight="1">
      <c r="A942" s="220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  <c r="W942" s="220"/>
      <c r="X942" s="220"/>
      <c r="Y942" s="220"/>
      <c r="Z942" s="220"/>
      <c r="AA942" s="220"/>
      <c r="AB942" s="220"/>
      <c r="AC942" s="220"/>
      <c r="AD942" s="220"/>
      <c r="AE942" s="220"/>
      <c r="AF942" s="220"/>
      <c r="AG942" s="220"/>
      <c r="AH942" s="220"/>
      <c r="AI942" s="220"/>
      <c r="AJ942" s="220"/>
      <c r="AK942" s="220"/>
      <c r="AL942" s="220"/>
      <c r="AM942" s="220"/>
      <c r="AN942" s="220"/>
      <c r="AO942" s="220"/>
      <c r="AP942" s="220"/>
      <c r="AQ942" s="220"/>
      <c r="AR942" s="220"/>
      <c r="AS942" s="220"/>
      <c r="AT942" s="220"/>
      <c r="AU942" s="220"/>
    </row>
    <row r="943" ht="15.75" customHeight="1">
      <c r="A943" s="220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  <c r="W943" s="220"/>
      <c r="X943" s="220"/>
      <c r="Y943" s="220"/>
      <c r="Z943" s="220"/>
      <c r="AA943" s="220"/>
      <c r="AB943" s="220"/>
      <c r="AC943" s="220"/>
      <c r="AD943" s="220"/>
      <c r="AE943" s="220"/>
      <c r="AF943" s="220"/>
      <c r="AG943" s="220"/>
      <c r="AH943" s="220"/>
      <c r="AI943" s="220"/>
      <c r="AJ943" s="220"/>
      <c r="AK943" s="220"/>
      <c r="AL943" s="220"/>
      <c r="AM943" s="220"/>
      <c r="AN943" s="220"/>
      <c r="AO943" s="220"/>
      <c r="AP943" s="220"/>
      <c r="AQ943" s="220"/>
      <c r="AR943" s="220"/>
      <c r="AS943" s="220"/>
      <c r="AT943" s="220"/>
      <c r="AU943" s="220"/>
    </row>
    <row r="944" ht="15.75" customHeight="1">
      <c r="A944" s="220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  <c r="W944" s="220"/>
      <c r="X944" s="220"/>
      <c r="Y944" s="220"/>
      <c r="Z944" s="220"/>
      <c r="AA944" s="220"/>
      <c r="AB944" s="220"/>
      <c r="AC944" s="220"/>
      <c r="AD944" s="220"/>
      <c r="AE944" s="220"/>
      <c r="AF944" s="220"/>
      <c r="AG944" s="220"/>
      <c r="AH944" s="220"/>
      <c r="AI944" s="220"/>
      <c r="AJ944" s="220"/>
      <c r="AK944" s="220"/>
      <c r="AL944" s="220"/>
      <c r="AM944" s="220"/>
      <c r="AN944" s="220"/>
      <c r="AO944" s="220"/>
      <c r="AP944" s="220"/>
      <c r="AQ944" s="220"/>
      <c r="AR944" s="220"/>
      <c r="AS944" s="220"/>
      <c r="AT944" s="220"/>
      <c r="AU944" s="220"/>
    </row>
    <row r="945" ht="15.75" customHeight="1">
      <c r="A945" s="220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  <c r="W945" s="220"/>
      <c r="X945" s="220"/>
      <c r="Y945" s="220"/>
      <c r="Z945" s="220"/>
      <c r="AA945" s="220"/>
      <c r="AB945" s="220"/>
      <c r="AC945" s="220"/>
      <c r="AD945" s="220"/>
      <c r="AE945" s="220"/>
      <c r="AF945" s="220"/>
      <c r="AG945" s="220"/>
      <c r="AH945" s="220"/>
      <c r="AI945" s="220"/>
      <c r="AJ945" s="220"/>
      <c r="AK945" s="220"/>
      <c r="AL945" s="220"/>
      <c r="AM945" s="220"/>
      <c r="AN945" s="220"/>
      <c r="AO945" s="220"/>
      <c r="AP945" s="220"/>
      <c r="AQ945" s="220"/>
      <c r="AR945" s="220"/>
      <c r="AS945" s="220"/>
      <c r="AT945" s="220"/>
      <c r="AU945" s="220"/>
    </row>
    <row r="946" ht="15.75" customHeight="1">
      <c r="A946" s="220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  <c r="W946" s="220"/>
      <c r="X946" s="220"/>
      <c r="Y946" s="220"/>
      <c r="Z946" s="220"/>
      <c r="AA946" s="220"/>
      <c r="AB946" s="220"/>
      <c r="AC946" s="220"/>
      <c r="AD946" s="220"/>
      <c r="AE946" s="220"/>
      <c r="AF946" s="220"/>
      <c r="AG946" s="220"/>
      <c r="AH946" s="220"/>
      <c r="AI946" s="220"/>
      <c r="AJ946" s="220"/>
      <c r="AK946" s="220"/>
      <c r="AL946" s="220"/>
      <c r="AM946" s="220"/>
      <c r="AN946" s="220"/>
      <c r="AO946" s="220"/>
      <c r="AP946" s="220"/>
      <c r="AQ946" s="220"/>
      <c r="AR946" s="220"/>
      <c r="AS946" s="220"/>
      <c r="AT946" s="220"/>
      <c r="AU946" s="220"/>
    </row>
    <row r="947" ht="15.75" customHeight="1">
      <c r="A947" s="220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  <c r="W947" s="220"/>
      <c r="X947" s="220"/>
      <c r="Y947" s="220"/>
      <c r="Z947" s="220"/>
      <c r="AA947" s="220"/>
      <c r="AB947" s="220"/>
      <c r="AC947" s="220"/>
      <c r="AD947" s="220"/>
      <c r="AE947" s="220"/>
      <c r="AF947" s="220"/>
      <c r="AG947" s="220"/>
      <c r="AH947" s="220"/>
      <c r="AI947" s="220"/>
      <c r="AJ947" s="220"/>
      <c r="AK947" s="220"/>
      <c r="AL947" s="220"/>
      <c r="AM947" s="220"/>
      <c r="AN947" s="220"/>
      <c r="AO947" s="220"/>
      <c r="AP947" s="220"/>
      <c r="AQ947" s="220"/>
      <c r="AR947" s="220"/>
      <c r="AS947" s="220"/>
      <c r="AT947" s="220"/>
      <c r="AU947" s="220"/>
    </row>
    <row r="948" ht="15.75" customHeight="1">
      <c r="A948" s="220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  <c r="W948" s="220"/>
      <c r="X948" s="220"/>
      <c r="Y948" s="220"/>
      <c r="Z948" s="220"/>
      <c r="AA948" s="220"/>
      <c r="AB948" s="220"/>
      <c r="AC948" s="220"/>
      <c r="AD948" s="220"/>
      <c r="AE948" s="220"/>
      <c r="AF948" s="220"/>
      <c r="AG948" s="220"/>
      <c r="AH948" s="220"/>
      <c r="AI948" s="220"/>
      <c r="AJ948" s="220"/>
      <c r="AK948" s="220"/>
      <c r="AL948" s="220"/>
      <c r="AM948" s="220"/>
      <c r="AN948" s="220"/>
      <c r="AO948" s="220"/>
      <c r="AP948" s="220"/>
      <c r="AQ948" s="220"/>
      <c r="AR948" s="220"/>
      <c r="AS948" s="220"/>
      <c r="AT948" s="220"/>
      <c r="AU948" s="220"/>
    </row>
    <row r="949" ht="15.75" customHeight="1">
      <c r="A949" s="220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  <c r="W949" s="220"/>
      <c r="X949" s="220"/>
      <c r="Y949" s="220"/>
      <c r="Z949" s="220"/>
      <c r="AA949" s="220"/>
      <c r="AB949" s="220"/>
      <c r="AC949" s="220"/>
      <c r="AD949" s="220"/>
      <c r="AE949" s="220"/>
      <c r="AF949" s="220"/>
      <c r="AG949" s="220"/>
      <c r="AH949" s="220"/>
      <c r="AI949" s="220"/>
      <c r="AJ949" s="220"/>
      <c r="AK949" s="220"/>
      <c r="AL949" s="220"/>
      <c r="AM949" s="220"/>
      <c r="AN949" s="220"/>
      <c r="AO949" s="220"/>
      <c r="AP949" s="220"/>
      <c r="AQ949" s="220"/>
      <c r="AR949" s="220"/>
      <c r="AS949" s="220"/>
      <c r="AT949" s="220"/>
      <c r="AU949" s="220"/>
    </row>
    <row r="950" ht="15.75" customHeight="1">
      <c r="A950" s="220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  <c r="W950" s="220"/>
      <c r="X950" s="220"/>
      <c r="Y950" s="220"/>
      <c r="Z950" s="220"/>
      <c r="AA950" s="220"/>
      <c r="AB950" s="220"/>
      <c r="AC950" s="220"/>
      <c r="AD950" s="220"/>
      <c r="AE950" s="220"/>
      <c r="AF950" s="220"/>
      <c r="AG950" s="220"/>
      <c r="AH950" s="220"/>
      <c r="AI950" s="220"/>
      <c r="AJ950" s="220"/>
      <c r="AK950" s="220"/>
      <c r="AL950" s="220"/>
      <c r="AM950" s="220"/>
      <c r="AN950" s="220"/>
      <c r="AO950" s="220"/>
      <c r="AP950" s="220"/>
      <c r="AQ950" s="220"/>
      <c r="AR950" s="220"/>
      <c r="AS950" s="220"/>
      <c r="AT950" s="220"/>
      <c r="AU950" s="220"/>
    </row>
    <row r="951" ht="15.75" customHeight="1">
      <c r="A951" s="220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  <c r="W951" s="220"/>
      <c r="X951" s="220"/>
      <c r="Y951" s="220"/>
      <c r="Z951" s="220"/>
      <c r="AA951" s="220"/>
      <c r="AB951" s="220"/>
      <c r="AC951" s="220"/>
      <c r="AD951" s="220"/>
      <c r="AE951" s="220"/>
      <c r="AF951" s="220"/>
      <c r="AG951" s="220"/>
      <c r="AH951" s="220"/>
      <c r="AI951" s="220"/>
      <c r="AJ951" s="220"/>
      <c r="AK951" s="220"/>
      <c r="AL951" s="220"/>
      <c r="AM951" s="220"/>
      <c r="AN951" s="220"/>
      <c r="AO951" s="220"/>
      <c r="AP951" s="220"/>
      <c r="AQ951" s="220"/>
      <c r="AR951" s="220"/>
      <c r="AS951" s="220"/>
      <c r="AT951" s="220"/>
      <c r="AU951" s="220"/>
    </row>
    <row r="952" ht="15.75" customHeight="1">
      <c r="A952" s="220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  <c r="W952" s="220"/>
      <c r="X952" s="220"/>
      <c r="Y952" s="220"/>
      <c r="Z952" s="220"/>
      <c r="AA952" s="220"/>
      <c r="AB952" s="220"/>
      <c r="AC952" s="220"/>
      <c r="AD952" s="220"/>
      <c r="AE952" s="220"/>
      <c r="AF952" s="220"/>
      <c r="AG952" s="220"/>
      <c r="AH952" s="220"/>
      <c r="AI952" s="220"/>
      <c r="AJ952" s="220"/>
      <c r="AK952" s="220"/>
      <c r="AL952" s="220"/>
      <c r="AM952" s="220"/>
      <c r="AN952" s="220"/>
      <c r="AO952" s="220"/>
      <c r="AP952" s="220"/>
      <c r="AQ952" s="220"/>
      <c r="AR952" s="220"/>
      <c r="AS952" s="220"/>
      <c r="AT952" s="220"/>
      <c r="AU952" s="220"/>
    </row>
    <row r="953" ht="15.75" customHeight="1">
      <c r="A953" s="220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  <c r="W953" s="220"/>
      <c r="X953" s="220"/>
      <c r="Y953" s="220"/>
      <c r="Z953" s="220"/>
      <c r="AA953" s="220"/>
      <c r="AB953" s="220"/>
      <c r="AC953" s="220"/>
      <c r="AD953" s="220"/>
      <c r="AE953" s="220"/>
      <c r="AF953" s="220"/>
      <c r="AG953" s="220"/>
      <c r="AH953" s="220"/>
      <c r="AI953" s="220"/>
      <c r="AJ953" s="220"/>
      <c r="AK953" s="220"/>
      <c r="AL953" s="220"/>
      <c r="AM953" s="220"/>
      <c r="AN953" s="220"/>
      <c r="AO953" s="220"/>
      <c r="AP953" s="220"/>
      <c r="AQ953" s="220"/>
      <c r="AR953" s="220"/>
      <c r="AS953" s="220"/>
      <c r="AT953" s="220"/>
      <c r="AU953" s="220"/>
    </row>
    <row r="954" ht="15.75" customHeight="1">
      <c r="A954" s="220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  <c r="W954" s="220"/>
      <c r="X954" s="220"/>
      <c r="Y954" s="220"/>
      <c r="Z954" s="220"/>
      <c r="AA954" s="220"/>
      <c r="AB954" s="220"/>
      <c r="AC954" s="220"/>
      <c r="AD954" s="220"/>
      <c r="AE954" s="220"/>
      <c r="AF954" s="220"/>
      <c r="AG954" s="220"/>
      <c r="AH954" s="220"/>
      <c r="AI954" s="220"/>
      <c r="AJ954" s="220"/>
      <c r="AK954" s="220"/>
      <c r="AL954" s="220"/>
      <c r="AM954" s="220"/>
      <c r="AN954" s="220"/>
      <c r="AO954" s="220"/>
      <c r="AP954" s="220"/>
      <c r="AQ954" s="220"/>
      <c r="AR954" s="220"/>
      <c r="AS954" s="220"/>
      <c r="AT954" s="220"/>
      <c r="AU954" s="220"/>
    </row>
    <row r="955" ht="15.75" customHeight="1">
      <c r="A955" s="220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  <c r="W955" s="220"/>
      <c r="X955" s="220"/>
      <c r="Y955" s="220"/>
      <c r="Z955" s="220"/>
      <c r="AA955" s="220"/>
      <c r="AB955" s="220"/>
      <c r="AC955" s="220"/>
      <c r="AD955" s="220"/>
      <c r="AE955" s="220"/>
      <c r="AF955" s="220"/>
      <c r="AG955" s="220"/>
      <c r="AH955" s="220"/>
      <c r="AI955" s="220"/>
      <c r="AJ955" s="220"/>
      <c r="AK955" s="220"/>
      <c r="AL955" s="220"/>
      <c r="AM955" s="220"/>
      <c r="AN955" s="220"/>
      <c r="AO955" s="220"/>
      <c r="AP955" s="220"/>
      <c r="AQ955" s="220"/>
      <c r="AR955" s="220"/>
      <c r="AS955" s="220"/>
      <c r="AT955" s="220"/>
      <c r="AU955" s="220"/>
    </row>
    <row r="956" ht="15.75" customHeight="1">
      <c r="A956" s="220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  <c r="W956" s="220"/>
      <c r="X956" s="220"/>
      <c r="Y956" s="220"/>
      <c r="Z956" s="220"/>
      <c r="AA956" s="220"/>
      <c r="AB956" s="220"/>
      <c r="AC956" s="220"/>
      <c r="AD956" s="220"/>
      <c r="AE956" s="220"/>
      <c r="AF956" s="220"/>
      <c r="AG956" s="220"/>
      <c r="AH956" s="220"/>
      <c r="AI956" s="220"/>
      <c r="AJ956" s="220"/>
      <c r="AK956" s="220"/>
      <c r="AL956" s="220"/>
      <c r="AM956" s="220"/>
      <c r="AN956" s="220"/>
      <c r="AO956" s="220"/>
      <c r="AP956" s="220"/>
      <c r="AQ956" s="220"/>
      <c r="AR956" s="220"/>
      <c r="AS956" s="220"/>
      <c r="AT956" s="220"/>
      <c r="AU956" s="220"/>
    </row>
    <row r="957" ht="15.75" customHeight="1">
      <c r="A957" s="220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  <c r="W957" s="220"/>
      <c r="X957" s="220"/>
      <c r="Y957" s="220"/>
      <c r="Z957" s="220"/>
      <c r="AA957" s="220"/>
      <c r="AB957" s="220"/>
      <c r="AC957" s="220"/>
      <c r="AD957" s="220"/>
      <c r="AE957" s="220"/>
      <c r="AF957" s="220"/>
      <c r="AG957" s="220"/>
      <c r="AH957" s="220"/>
      <c r="AI957" s="220"/>
      <c r="AJ957" s="220"/>
      <c r="AK957" s="220"/>
      <c r="AL957" s="220"/>
      <c r="AM957" s="220"/>
      <c r="AN957" s="220"/>
      <c r="AO957" s="220"/>
      <c r="AP957" s="220"/>
      <c r="AQ957" s="220"/>
      <c r="AR957" s="220"/>
      <c r="AS957" s="220"/>
      <c r="AT957" s="220"/>
      <c r="AU957" s="220"/>
    </row>
    <row r="958" ht="15.75" customHeight="1">
      <c r="A958" s="220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  <c r="W958" s="220"/>
      <c r="X958" s="220"/>
      <c r="Y958" s="220"/>
      <c r="Z958" s="220"/>
      <c r="AA958" s="220"/>
      <c r="AB958" s="220"/>
      <c r="AC958" s="220"/>
      <c r="AD958" s="220"/>
      <c r="AE958" s="220"/>
      <c r="AF958" s="220"/>
      <c r="AG958" s="220"/>
      <c r="AH958" s="220"/>
      <c r="AI958" s="220"/>
      <c r="AJ958" s="220"/>
      <c r="AK958" s="220"/>
      <c r="AL958" s="220"/>
      <c r="AM958" s="220"/>
      <c r="AN958" s="220"/>
      <c r="AO958" s="220"/>
      <c r="AP958" s="220"/>
      <c r="AQ958" s="220"/>
      <c r="AR958" s="220"/>
      <c r="AS958" s="220"/>
      <c r="AT958" s="220"/>
      <c r="AU958" s="220"/>
    </row>
    <row r="959" ht="15.75" customHeight="1">
      <c r="A959" s="220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  <c r="W959" s="220"/>
      <c r="X959" s="220"/>
      <c r="Y959" s="220"/>
      <c r="Z959" s="220"/>
      <c r="AA959" s="220"/>
      <c r="AB959" s="220"/>
      <c r="AC959" s="220"/>
      <c r="AD959" s="220"/>
      <c r="AE959" s="220"/>
      <c r="AF959" s="220"/>
      <c r="AG959" s="220"/>
      <c r="AH959" s="220"/>
      <c r="AI959" s="220"/>
      <c r="AJ959" s="220"/>
      <c r="AK959" s="220"/>
      <c r="AL959" s="220"/>
      <c r="AM959" s="220"/>
      <c r="AN959" s="220"/>
      <c r="AO959" s="220"/>
      <c r="AP959" s="220"/>
      <c r="AQ959" s="220"/>
      <c r="AR959" s="220"/>
      <c r="AS959" s="220"/>
      <c r="AT959" s="220"/>
      <c r="AU959" s="220"/>
    </row>
    <row r="960" ht="15.75" customHeight="1">
      <c r="A960" s="220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  <c r="W960" s="220"/>
      <c r="X960" s="220"/>
      <c r="Y960" s="220"/>
      <c r="Z960" s="220"/>
      <c r="AA960" s="220"/>
      <c r="AB960" s="220"/>
      <c r="AC960" s="220"/>
      <c r="AD960" s="220"/>
      <c r="AE960" s="220"/>
      <c r="AF960" s="220"/>
      <c r="AG960" s="220"/>
      <c r="AH960" s="220"/>
      <c r="AI960" s="220"/>
      <c r="AJ960" s="220"/>
      <c r="AK960" s="220"/>
      <c r="AL960" s="220"/>
      <c r="AM960" s="220"/>
      <c r="AN960" s="220"/>
      <c r="AO960" s="220"/>
      <c r="AP960" s="220"/>
      <c r="AQ960" s="220"/>
      <c r="AR960" s="220"/>
      <c r="AS960" s="220"/>
      <c r="AT960" s="220"/>
      <c r="AU960" s="220"/>
    </row>
    <row r="961" ht="15.75" customHeight="1">
      <c r="A961" s="220"/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  <c r="W961" s="220"/>
      <c r="X961" s="220"/>
      <c r="Y961" s="220"/>
      <c r="Z961" s="220"/>
      <c r="AA961" s="220"/>
      <c r="AB961" s="220"/>
      <c r="AC961" s="220"/>
      <c r="AD961" s="220"/>
      <c r="AE961" s="220"/>
      <c r="AF961" s="220"/>
      <c r="AG961" s="220"/>
      <c r="AH961" s="220"/>
      <c r="AI961" s="220"/>
      <c r="AJ961" s="220"/>
      <c r="AK961" s="220"/>
      <c r="AL961" s="220"/>
      <c r="AM961" s="220"/>
      <c r="AN961" s="220"/>
      <c r="AO961" s="220"/>
      <c r="AP961" s="220"/>
      <c r="AQ961" s="220"/>
      <c r="AR961" s="220"/>
      <c r="AS961" s="220"/>
      <c r="AT961" s="220"/>
      <c r="AU961" s="220"/>
    </row>
    <row r="962" ht="15.75" customHeight="1">
      <c r="A962" s="220"/>
      <c r="B962" s="220"/>
      <c r="C962" s="220"/>
      <c r="D962" s="220"/>
      <c r="E962" s="220"/>
      <c r="F962" s="220"/>
      <c r="G962" s="220"/>
      <c r="H962" s="220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  <c r="W962" s="220"/>
      <c r="X962" s="220"/>
      <c r="Y962" s="220"/>
      <c r="Z962" s="220"/>
      <c r="AA962" s="220"/>
      <c r="AB962" s="220"/>
      <c r="AC962" s="220"/>
      <c r="AD962" s="220"/>
      <c r="AE962" s="220"/>
      <c r="AF962" s="220"/>
      <c r="AG962" s="220"/>
      <c r="AH962" s="220"/>
      <c r="AI962" s="220"/>
      <c r="AJ962" s="220"/>
      <c r="AK962" s="220"/>
      <c r="AL962" s="220"/>
      <c r="AM962" s="220"/>
      <c r="AN962" s="220"/>
      <c r="AO962" s="220"/>
      <c r="AP962" s="220"/>
      <c r="AQ962" s="220"/>
      <c r="AR962" s="220"/>
      <c r="AS962" s="220"/>
      <c r="AT962" s="220"/>
      <c r="AU962" s="220"/>
    </row>
    <row r="963" ht="15.75" customHeight="1">
      <c r="A963" s="220"/>
      <c r="B963" s="220"/>
      <c r="C963" s="220"/>
      <c r="D963" s="220"/>
      <c r="E963" s="220"/>
      <c r="F963" s="220"/>
      <c r="G963" s="220"/>
      <c r="H963" s="220"/>
      <c r="I963" s="220"/>
      <c r="J963" s="220"/>
      <c r="K963" s="220"/>
      <c r="L963" s="220"/>
      <c r="M963" s="220"/>
      <c r="N963" s="220"/>
      <c r="O963" s="220"/>
      <c r="P963" s="220"/>
      <c r="Q963" s="220"/>
      <c r="R963" s="220"/>
      <c r="S963" s="220"/>
      <c r="T963" s="220"/>
      <c r="U963" s="220"/>
      <c r="V963" s="220"/>
      <c r="W963" s="220"/>
      <c r="X963" s="220"/>
      <c r="Y963" s="220"/>
      <c r="Z963" s="220"/>
      <c r="AA963" s="220"/>
      <c r="AB963" s="220"/>
      <c r="AC963" s="220"/>
      <c r="AD963" s="220"/>
      <c r="AE963" s="220"/>
      <c r="AF963" s="220"/>
      <c r="AG963" s="220"/>
      <c r="AH963" s="220"/>
      <c r="AI963" s="220"/>
      <c r="AJ963" s="220"/>
      <c r="AK963" s="220"/>
      <c r="AL963" s="220"/>
      <c r="AM963" s="220"/>
      <c r="AN963" s="220"/>
      <c r="AO963" s="220"/>
      <c r="AP963" s="220"/>
      <c r="AQ963" s="220"/>
      <c r="AR963" s="220"/>
      <c r="AS963" s="220"/>
      <c r="AT963" s="220"/>
      <c r="AU963" s="220"/>
    </row>
    <row r="964" ht="15.75" customHeight="1">
      <c r="A964" s="220"/>
      <c r="B964" s="220"/>
      <c r="C964" s="220"/>
      <c r="D964" s="220"/>
      <c r="E964" s="220"/>
      <c r="F964" s="220"/>
      <c r="G964" s="220"/>
      <c r="H964" s="220"/>
      <c r="I964" s="220"/>
      <c r="J964" s="220"/>
      <c r="K964" s="220"/>
      <c r="L964" s="220"/>
      <c r="M964" s="220"/>
      <c r="N964" s="220"/>
      <c r="O964" s="220"/>
      <c r="P964" s="220"/>
      <c r="Q964" s="220"/>
      <c r="R964" s="220"/>
      <c r="S964" s="220"/>
      <c r="T964" s="220"/>
      <c r="U964" s="220"/>
      <c r="V964" s="220"/>
      <c r="W964" s="220"/>
      <c r="X964" s="220"/>
      <c r="Y964" s="220"/>
      <c r="Z964" s="220"/>
      <c r="AA964" s="220"/>
      <c r="AB964" s="220"/>
      <c r="AC964" s="220"/>
      <c r="AD964" s="220"/>
      <c r="AE964" s="220"/>
      <c r="AF964" s="220"/>
      <c r="AG964" s="220"/>
      <c r="AH964" s="220"/>
      <c r="AI964" s="220"/>
      <c r="AJ964" s="220"/>
      <c r="AK964" s="220"/>
      <c r="AL964" s="220"/>
      <c r="AM964" s="220"/>
      <c r="AN964" s="220"/>
      <c r="AO964" s="220"/>
      <c r="AP964" s="220"/>
      <c r="AQ964" s="220"/>
      <c r="AR964" s="220"/>
      <c r="AS964" s="220"/>
      <c r="AT964" s="220"/>
      <c r="AU964" s="220"/>
    </row>
    <row r="965" ht="15.75" customHeight="1">
      <c r="A965" s="220"/>
      <c r="B965" s="220"/>
      <c r="C965" s="220"/>
      <c r="D965" s="220"/>
      <c r="E965" s="220"/>
      <c r="F965" s="220"/>
      <c r="G965" s="220"/>
      <c r="H965" s="220"/>
      <c r="I965" s="220"/>
      <c r="J965" s="220"/>
      <c r="K965" s="220"/>
      <c r="L965" s="220"/>
      <c r="M965" s="220"/>
      <c r="N965" s="220"/>
      <c r="O965" s="220"/>
      <c r="P965" s="220"/>
      <c r="Q965" s="220"/>
      <c r="R965" s="220"/>
      <c r="S965" s="220"/>
      <c r="T965" s="220"/>
      <c r="U965" s="220"/>
      <c r="V965" s="220"/>
      <c r="W965" s="220"/>
      <c r="X965" s="220"/>
      <c r="Y965" s="220"/>
      <c r="Z965" s="220"/>
      <c r="AA965" s="220"/>
      <c r="AB965" s="220"/>
      <c r="AC965" s="220"/>
      <c r="AD965" s="220"/>
      <c r="AE965" s="220"/>
      <c r="AF965" s="220"/>
      <c r="AG965" s="220"/>
      <c r="AH965" s="220"/>
      <c r="AI965" s="220"/>
      <c r="AJ965" s="220"/>
      <c r="AK965" s="220"/>
      <c r="AL965" s="220"/>
      <c r="AM965" s="220"/>
      <c r="AN965" s="220"/>
      <c r="AO965" s="220"/>
      <c r="AP965" s="220"/>
      <c r="AQ965" s="220"/>
      <c r="AR965" s="220"/>
      <c r="AS965" s="220"/>
      <c r="AT965" s="220"/>
      <c r="AU965" s="220"/>
    </row>
    <row r="966" ht="15.75" customHeight="1">
      <c r="A966" s="220"/>
      <c r="B966" s="220"/>
      <c r="C966" s="220"/>
      <c r="D966" s="220"/>
      <c r="E966" s="220"/>
      <c r="F966" s="220"/>
      <c r="G966" s="220"/>
      <c r="H966" s="220"/>
      <c r="I966" s="220"/>
      <c r="J966" s="220"/>
      <c r="K966" s="220"/>
      <c r="L966" s="220"/>
      <c r="M966" s="220"/>
      <c r="N966" s="220"/>
      <c r="O966" s="220"/>
      <c r="P966" s="220"/>
      <c r="Q966" s="220"/>
      <c r="R966" s="220"/>
      <c r="S966" s="220"/>
      <c r="T966" s="220"/>
      <c r="U966" s="220"/>
      <c r="V966" s="220"/>
      <c r="W966" s="220"/>
      <c r="X966" s="220"/>
      <c r="Y966" s="220"/>
      <c r="Z966" s="220"/>
      <c r="AA966" s="220"/>
      <c r="AB966" s="220"/>
      <c r="AC966" s="220"/>
      <c r="AD966" s="220"/>
      <c r="AE966" s="220"/>
      <c r="AF966" s="220"/>
      <c r="AG966" s="220"/>
      <c r="AH966" s="220"/>
      <c r="AI966" s="220"/>
      <c r="AJ966" s="220"/>
      <c r="AK966" s="220"/>
      <c r="AL966" s="220"/>
      <c r="AM966" s="220"/>
      <c r="AN966" s="220"/>
      <c r="AO966" s="220"/>
      <c r="AP966" s="220"/>
      <c r="AQ966" s="220"/>
      <c r="AR966" s="220"/>
      <c r="AS966" s="220"/>
      <c r="AT966" s="220"/>
      <c r="AU966" s="220"/>
    </row>
    <row r="967" ht="15.75" customHeight="1">
      <c r="A967" s="220"/>
      <c r="B967" s="220"/>
      <c r="C967" s="220"/>
      <c r="D967" s="220"/>
      <c r="E967" s="220"/>
      <c r="F967" s="220"/>
      <c r="G967" s="220"/>
      <c r="H967" s="220"/>
      <c r="I967" s="220"/>
      <c r="J967" s="220"/>
      <c r="K967" s="220"/>
      <c r="L967" s="220"/>
      <c r="M967" s="220"/>
      <c r="N967" s="220"/>
      <c r="O967" s="220"/>
      <c r="P967" s="220"/>
      <c r="Q967" s="220"/>
      <c r="R967" s="220"/>
      <c r="S967" s="220"/>
      <c r="T967" s="220"/>
      <c r="U967" s="220"/>
      <c r="V967" s="220"/>
      <c r="W967" s="220"/>
      <c r="X967" s="220"/>
      <c r="Y967" s="220"/>
      <c r="Z967" s="220"/>
      <c r="AA967" s="220"/>
      <c r="AB967" s="220"/>
      <c r="AC967" s="220"/>
      <c r="AD967" s="220"/>
      <c r="AE967" s="220"/>
      <c r="AF967" s="220"/>
      <c r="AG967" s="220"/>
      <c r="AH967" s="220"/>
      <c r="AI967" s="220"/>
      <c r="AJ967" s="220"/>
      <c r="AK967" s="220"/>
      <c r="AL967" s="220"/>
      <c r="AM967" s="220"/>
      <c r="AN967" s="220"/>
      <c r="AO967" s="220"/>
      <c r="AP967" s="220"/>
      <c r="AQ967" s="220"/>
      <c r="AR967" s="220"/>
      <c r="AS967" s="220"/>
      <c r="AT967" s="220"/>
      <c r="AU967" s="220"/>
    </row>
    <row r="968" ht="15.75" customHeight="1">
      <c r="A968" s="220"/>
      <c r="B968" s="220"/>
      <c r="C968" s="220"/>
      <c r="D968" s="220"/>
      <c r="E968" s="220"/>
      <c r="F968" s="220"/>
      <c r="G968" s="220"/>
      <c r="H968" s="220"/>
      <c r="I968" s="220"/>
      <c r="J968" s="220"/>
      <c r="K968" s="220"/>
      <c r="L968" s="220"/>
      <c r="M968" s="220"/>
      <c r="N968" s="220"/>
      <c r="O968" s="220"/>
      <c r="P968" s="220"/>
      <c r="Q968" s="220"/>
      <c r="R968" s="220"/>
      <c r="S968" s="220"/>
      <c r="T968" s="220"/>
      <c r="U968" s="220"/>
      <c r="V968" s="220"/>
      <c r="W968" s="220"/>
      <c r="X968" s="220"/>
      <c r="Y968" s="220"/>
      <c r="Z968" s="220"/>
      <c r="AA968" s="220"/>
      <c r="AB968" s="220"/>
      <c r="AC968" s="220"/>
      <c r="AD968" s="220"/>
      <c r="AE968" s="220"/>
      <c r="AF968" s="220"/>
      <c r="AG968" s="220"/>
      <c r="AH968" s="220"/>
      <c r="AI968" s="220"/>
      <c r="AJ968" s="220"/>
      <c r="AK968" s="220"/>
      <c r="AL968" s="220"/>
      <c r="AM968" s="220"/>
      <c r="AN968" s="220"/>
      <c r="AO968" s="220"/>
      <c r="AP968" s="220"/>
      <c r="AQ968" s="220"/>
      <c r="AR968" s="220"/>
      <c r="AS968" s="220"/>
      <c r="AT968" s="220"/>
      <c r="AU968" s="220"/>
    </row>
    <row r="969" ht="15.75" customHeight="1">
      <c r="A969" s="220"/>
      <c r="B969" s="220"/>
      <c r="C969" s="220"/>
      <c r="D969" s="220"/>
      <c r="E969" s="220"/>
      <c r="F969" s="220"/>
      <c r="G969" s="220"/>
      <c r="H969" s="220"/>
      <c r="I969" s="220"/>
      <c r="J969" s="220"/>
      <c r="K969" s="220"/>
      <c r="L969" s="220"/>
      <c r="M969" s="220"/>
      <c r="N969" s="220"/>
      <c r="O969" s="220"/>
      <c r="P969" s="220"/>
      <c r="Q969" s="220"/>
      <c r="R969" s="220"/>
      <c r="S969" s="220"/>
      <c r="T969" s="220"/>
      <c r="U969" s="220"/>
      <c r="V969" s="220"/>
      <c r="W969" s="220"/>
      <c r="X969" s="220"/>
      <c r="Y969" s="220"/>
      <c r="Z969" s="220"/>
      <c r="AA969" s="220"/>
      <c r="AB969" s="220"/>
      <c r="AC969" s="220"/>
      <c r="AD969" s="220"/>
      <c r="AE969" s="220"/>
      <c r="AF969" s="220"/>
      <c r="AG969" s="220"/>
      <c r="AH969" s="220"/>
      <c r="AI969" s="220"/>
      <c r="AJ969" s="220"/>
      <c r="AK969" s="220"/>
      <c r="AL969" s="220"/>
      <c r="AM969" s="220"/>
      <c r="AN969" s="220"/>
      <c r="AO969" s="220"/>
      <c r="AP969" s="220"/>
      <c r="AQ969" s="220"/>
      <c r="AR969" s="220"/>
      <c r="AS969" s="220"/>
      <c r="AT969" s="220"/>
      <c r="AU969" s="220"/>
    </row>
    <row r="970" ht="15.75" customHeight="1">
      <c r="A970" s="220"/>
      <c r="B970" s="220"/>
      <c r="C970" s="220"/>
      <c r="D970" s="220"/>
      <c r="E970" s="220"/>
      <c r="F970" s="220"/>
      <c r="G970" s="220"/>
      <c r="H970" s="220"/>
      <c r="I970" s="220"/>
      <c r="J970" s="220"/>
      <c r="K970" s="220"/>
      <c r="L970" s="220"/>
      <c r="M970" s="220"/>
      <c r="N970" s="220"/>
      <c r="O970" s="220"/>
      <c r="P970" s="220"/>
      <c r="Q970" s="220"/>
      <c r="R970" s="220"/>
      <c r="S970" s="220"/>
      <c r="T970" s="220"/>
      <c r="U970" s="220"/>
      <c r="V970" s="220"/>
      <c r="W970" s="220"/>
      <c r="X970" s="220"/>
      <c r="Y970" s="220"/>
      <c r="Z970" s="220"/>
      <c r="AA970" s="220"/>
      <c r="AB970" s="220"/>
      <c r="AC970" s="220"/>
      <c r="AD970" s="220"/>
      <c r="AE970" s="220"/>
      <c r="AF970" s="220"/>
      <c r="AG970" s="220"/>
      <c r="AH970" s="220"/>
      <c r="AI970" s="220"/>
      <c r="AJ970" s="220"/>
      <c r="AK970" s="220"/>
      <c r="AL970" s="220"/>
      <c r="AM970" s="220"/>
      <c r="AN970" s="220"/>
      <c r="AO970" s="220"/>
      <c r="AP970" s="220"/>
      <c r="AQ970" s="220"/>
      <c r="AR970" s="220"/>
      <c r="AS970" s="220"/>
      <c r="AT970" s="220"/>
      <c r="AU970" s="220"/>
    </row>
    <row r="971" ht="15.75" customHeight="1">
      <c r="A971" s="220"/>
      <c r="B971" s="220"/>
      <c r="C971" s="220"/>
      <c r="D971" s="220"/>
      <c r="E971" s="220"/>
      <c r="F971" s="220"/>
      <c r="G971" s="220"/>
      <c r="H971" s="220"/>
      <c r="I971" s="220"/>
      <c r="J971" s="220"/>
      <c r="K971" s="220"/>
      <c r="L971" s="220"/>
      <c r="M971" s="220"/>
      <c r="N971" s="220"/>
      <c r="O971" s="220"/>
      <c r="P971" s="220"/>
      <c r="Q971" s="220"/>
      <c r="R971" s="220"/>
      <c r="S971" s="220"/>
      <c r="T971" s="220"/>
      <c r="U971" s="220"/>
      <c r="V971" s="220"/>
      <c r="W971" s="220"/>
      <c r="X971" s="220"/>
      <c r="Y971" s="220"/>
      <c r="Z971" s="220"/>
      <c r="AA971" s="220"/>
      <c r="AB971" s="220"/>
      <c r="AC971" s="220"/>
      <c r="AD971" s="220"/>
      <c r="AE971" s="220"/>
      <c r="AF971" s="220"/>
      <c r="AG971" s="220"/>
      <c r="AH971" s="220"/>
      <c r="AI971" s="220"/>
      <c r="AJ971" s="220"/>
      <c r="AK971" s="220"/>
      <c r="AL971" s="220"/>
      <c r="AM971" s="220"/>
      <c r="AN971" s="220"/>
      <c r="AO971" s="220"/>
      <c r="AP971" s="220"/>
      <c r="AQ971" s="220"/>
      <c r="AR971" s="220"/>
      <c r="AS971" s="220"/>
      <c r="AT971" s="220"/>
      <c r="AU971" s="220"/>
    </row>
    <row r="972" ht="15.75" customHeight="1">
      <c r="A972" s="220"/>
      <c r="B972" s="220"/>
      <c r="C972" s="220"/>
      <c r="D972" s="220"/>
      <c r="E972" s="220"/>
      <c r="F972" s="220"/>
      <c r="G972" s="220"/>
      <c r="H972" s="220"/>
      <c r="I972" s="220"/>
      <c r="J972" s="220"/>
      <c r="K972" s="220"/>
      <c r="L972" s="220"/>
      <c r="M972" s="220"/>
      <c r="N972" s="220"/>
      <c r="O972" s="220"/>
      <c r="P972" s="220"/>
      <c r="Q972" s="220"/>
      <c r="R972" s="220"/>
      <c r="S972" s="220"/>
      <c r="T972" s="220"/>
      <c r="U972" s="220"/>
      <c r="V972" s="220"/>
      <c r="W972" s="220"/>
      <c r="X972" s="220"/>
      <c r="Y972" s="220"/>
      <c r="Z972" s="220"/>
      <c r="AA972" s="220"/>
      <c r="AB972" s="220"/>
      <c r="AC972" s="220"/>
      <c r="AD972" s="220"/>
      <c r="AE972" s="220"/>
      <c r="AF972" s="220"/>
      <c r="AG972" s="220"/>
      <c r="AH972" s="220"/>
      <c r="AI972" s="220"/>
      <c r="AJ972" s="220"/>
      <c r="AK972" s="220"/>
      <c r="AL972" s="220"/>
      <c r="AM972" s="220"/>
      <c r="AN972" s="220"/>
      <c r="AO972" s="220"/>
      <c r="AP972" s="220"/>
      <c r="AQ972" s="220"/>
      <c r="AR972" s="220"/>
      <c r="AS972" s="220"/>
      <c r="AT972" s="220"/>
      <c r="AU972" s="220"/>
    </row>
    <row r="973" ht="15.75" customHeight="1">
      <c r="A973" s="220"/>
      <c r="B973" s="220"/>
      <c r="C973" s="220"/>
      <c r="D973" s="220"/>
      <c r="E973" s="220"/>
      <c r="F973" s="220"/>
      <c r="G973" s="220"/>
      <c r="H973" s="220"/>
      <c r="I973" s="220"/>
      <c r="J973" s="220"/>
      <c r="K973" s="220"/>
      <c r="L973" s="220"/>
      <c r="M973" s="220"/>
      <c r="N973" s="220"/>
      <c r="O973" s="220"/>
      <c r="P973" s="220"/>
      <c r="Q973" s="220"/>
      <c r="R973" s="220"/>
      <c r="S973" s="220"/>
      <c r="T973" s="220"/>
      <c r="U973" s="220"/>
      <c r="V973" s="220"/>
      <c r="W973" s="220"/>
      <c r="X973" s="220"/>
      <c r="Y973" s="220"/>
      <c r="Z973" s="220"/>
      <c r="AA973" s="220"/>
      <c r="AB973" s="220"/>
      <c r="AC973" s="220"/>
      <c r="AD973" s="220"/>
      <c r="AE973" s="220"/>
      <c r="AF973" s="220"/>
      <c r="AG973" s="220"/>
      <c r="AH973" s="220"/>
      <c r="AI973" s="220"/>
      <c r="AJ973" s="220"/>
      <c r="AK973" s="220"/>
      <c r="AL973" s="220"/>
      <c r="AM973" s="220"/>
      <c r="AN973" s="220"/>
      <c r="AO973" s="220"/>
      <c r="AP973" s="220"/>
      <c r="AQ973" s="220"/>
      <c r="AR973" s="220"/>
      <c r="AS973" s="220"/>
      <c r="AT973" s="220"/>
      <c r="AU973" s="220"/>
    </row>
    <row r="974" ht="15.75" customHeight="1">
      <c r="A974" s="220"/>
      <c r="B974" s="220"/>
      <c r="C974" s="220"/>
      <c r="D974" s="220"/>
      <c r="E974" s="220"/>
      <c r="F974" s="220"/>
      <c r="G974" s="220"/>
      <c r="H974" s="220"/>
      <c r="I974" s="220"/>
      <c r="J974" s="220"/>
      <c r="K974" s="220"/>
      <c r="L974" s="220"/>
      <c r="M974" s="220"/>
      <c r="N974" s="220"/>
      <c r="O974" s="220"/>
      <c r="P974" s="220"/>
      <c r="Q974" s="220"/>
      <c r="R974" s="220"/>
      <c r="S974" s="220"/>
      <c r="T974" s="220"/>
      <c r="U974" s="220"/>
      <c r="V974" s="220"/>
      <c r="W974" s="220"/>
      <c r="X974" s="220"/>
      <c r="Y974" s="220"/>
      <c r="Z974" s="220"/>
      <c r="AA974" s="220"/>
      <c r="AB974" s="220"/>
      <c r="AC974" s="220"/>
      <c r="AD974" s="220"/>
      <c r="AE974" s="220"/>
      <c r="AF974" s="220"/>
      <c r="AG974" s="220"/>
      <c r="AH974" s="220"/>
      <c r="AI974" s="220"/>
      <c r="AJ974" s="220"/>
      <c r="AK974" s="220"/>
      <c r="AL974" s="220"/>
      <c r="AM974" s="220"/>
      <c r="AN974" s="220"/>
      <c r="AO974" s="220"/>
      <c r="AP974" s="220"/>
      <c r="AQ974" s="220"/>
      <c r="AR974" s="220"/>
      <c r="AS974" s="220"/>
      <c r="AT974" s="220"/>
      <c r="AU974" s="220"/>
    </row>
    <row r="975" ht="15.75" customHeight="1">
      <c r="A975" s="220"/>
      <c r="B975" s="220"/>
      <c r="C975" s="220"/>
      <c r="D975" s="220"/>
      <c r="E975" s="220"/>
      <c r="F975" s="220"/>
      <c r="G975" s="220"/>
      <c r="H975" s="220"/>
      <c r="I975" s="220"/>
      <c r="J975" s="220"/>
      <c r="K975" s="220"/>
      <c r="L975" s="220"/>
      <c r="M975" s="220"/>
      <c r="N975" s="220"/>
      <c r="O975" s="220"/>
      <c r="P975" s="220"/>
      <c r="Q975" s="220"/>
      <c r="R975" s="220"/>
      <c r="S975" s="220"/>
      <c r="T975" s="220"/>
      <c r="U975" s="220"/>
      <c r="V975" s="220"/>
      <c r="W975" s="220"/>
      <c r="X975" s="220"/>
      <c r="Y975" s="220"/>
      <c r="Z975" s="220"/>
      <c r="AA975" s="220"/>
      <c r="AB975" s="220"/>
      <c r="AC975" s="220"/>
      <c r="AD975" s="220"/>
      <c r="AE975" s="220"/>
      <c r="AF975" s="220"/>
      <c r="AG975" s="220"/>
      <c r="AH975" s="220"/>
      <c r="AI975" s="220"/>
      <c r="AJ975" s="220"/>
      <c r="AK975" s="220"/>
      <c r="AL975" s="220"/>
      <c r="AM975" s="220"/>
      <c r="AN975" s="220"/>
      <c r="AO975" s="220"/>
      <c r="AP975" s="220"/>
      <c r="AQ975" s="220"/>
      <c r="AR975" s="220"/>
      <c r="AS975" s="220"/>
      <c r="AT975" s="220"/>
      <c r="AU975" s="220"/>
    </row>
    <row r="976" ht="15.75" customHeight="1">
      <c r="A976" s="220"/>
      <c r="B976" s="220"/>
      <c r="C976" s="220"/>
      <c r="D976" s="220"/>
      <c r="E976" s="220"/>
      <c r="F976" s="220"/>
      <c r="G976" s="220"/>
      <c r="H976" s="220"/>
      <c r="I976" s="220"/>
      <c r="J976" s="220"/>
      <c r="K976" s="220"/>
      <c r="L976" s="220"/>
      <c r="M976" s="220"/>
      <c r="N976" s="220"/>
      <c r="O976" s="220"/>
      <c r="P976" s="220"/>
      <c r="Q976" s="220"/>
      <c r="R976" s="220"/>
      <c r="S976" s="220"/>
      <c r="T976" s="220"/>
      <c r="U976" s="220"/>
      <c r="V976" s="220"/>
      <c r="W976" s="220"/>
      <c r="X976" s="220"/>
      <c r="Y976" s="220"/>
      <c r="Z976" s="220"/>
      <c r="AA976" s="220"/>
      <c r="AB976" s="220"/>
      <c r="AC976" s="220"/>
      <c r="AD976" s="220"/>
      <c r="AE976" s="220"/>
      <c r="AF976" s="220"/>
      <c r="AG976" s="220"/>
      <c r="AH976" s="220"/>
      <c r="AI976" s="220"/>
      <c r="AJ976" s="220"/>
      <c r="AK976" s="220"/>
      <c r="AL976" s="220"/>
      <c r="AM976" s="220"/>
      <c r="AN976" s="220"/>
      <c r="AO976" s="220"/>
      <c r="AP976" s="220"/>
      <c r="AQ976" s="220"/>
      <c r="AR976" s="220"/>
      <c r="AS976" s="220"/>
      <c r="AT976" s="220"/>
      <c r="AU976" s="220"/>
    </row>
    <row r="977" ht="15.75" customHeight="1">
      <c r="A977" s="220"/>
      <c r="B977" s="220"/>
      <c r="C977" s="220"/>
      <c r="D977" s="220"/>
      <c r="E977" s="220"/>
      <c r="F977" s="220"/>
      <c r="G977" s="220"/>
      <c r="H977" s="220"/>
      <c r="I977" s="220"/>
      <c r="J977" s="220"/>
      <c r="K977" s="220"/>
      <c r="L977" s="220"/>
      <c r="M977" s="220"/>
      <c r="N977" s="220"/>
      <c r="O977" s="220"/>
      <c r="P977" s="220"/>
      <c r="Q977" s="220"/>
      <c r="R977" s="220"/>
      <c r="S977" s="220"/>
      <c r="T977" s="220"/>
      <c r="U977" s="220"/>
      <c r="V977" s="220"/>
      <c r="W977" s="220"/>
      <c r="X977" s="220"/>
      <c r="Y977" s="220"/>
      <c r="Z977" s="220"/>
      <c r="AA977" s="220"/>
      <c r="AB977" s="220"/>
      <c r="AC977" s="220"/>
      <c r="AD977" s="220"/>
      <c r="AE977" s="220"/>
      <c r="AF977" s="220"/>
      <c r="AG977" s="220"/>
      <c r="AH977" s="220"/>
      <c r="AI977" s="220"/>
      <c r="AJ977" s="220"/>
      <c r="AK977" s="220"/>
      <c r="AL977" s="220"/>
      <c r="AM977" s="220"/>
      <c r="AN977" s="220"/>
      <c r="AO977" s="220"/>
      <c r="AP977" s="220"/>
      <c r="AQ977" s="220"/>
      <c r="AR977" s="220"/>
      <c r="AS977" s="220"/>
      <c r="AT977" s="220"/>
      <c r="AU977" s="220"/>
    </row>
    <row r="978" ht="15.75" customHeight="1">
      <c r="A978" s="220"/>
      <c r="B978" s="220"/>
      <c r="C978" s="220"/>
      <c r="D978" s="220"/>
      <c r="E978" s="220"/>
      <c r="F978" s="220"/>
      <c r="G978" s="220"/>
      <c r="H978" s="220"/>
      <c r="I978" s="220"/>
      <c r="J978" s="220"/>
      <c r="K978" s="220"/>
      <c r="L978" s="220"/>
      <c r="M978" s="220"/>
      <c r="N978" s="220"/>
      <c r="O978" s="220"/>
      <c r="P978" s="220"/>
      <c r="Q978" s="220"/>
      <c r="R978" s="220"/>
      <c r="S978" s="220"/>
      <c r="T978" s="220"/>
      <c r="U978" s="220"/>
      <c r="V978" s="220"/>
      <c r="W978" s="220"/>
      <c r="X978" s="220"/>
      <c r="Y978" s="220"/>
      <c r="Z978" s="220"/>
      <c r="AA978" s="220"/>
      <c r="AB978" s="220"/>
      <c r="AC978" s="220"/>
      <c r="AD978" s="220"/>
      <c r="AE978" s="220"/>
      <c r="AF978" s="220"/>
      <c r="AG978" s="220"/>
      <c r="AH978" s="220"/>
      <c r="AI978" s="220"/>
      <c r="AJ978" s="220"/>
      <c r="AK978" s="220"/>
      <c r="AL978" s="220"/>
      <c r="AM978" s="220"/>
      <c r="AN978" s="220"/>
      <c r="AO978" s="220"/>
      <c r="AP978" s="220"/>
      <c r="AQ978" s="220"/>
      <c r="AR978" s="220"/>
      <c r="AS978" s="220"/>
      <c r="AT978" s="220"/>
      <c r="AU978" s="220"/>
    </row>
    <row r="979" ht="15.75" customHeight="1">
      <c r="A979" s="220"/>
      <c r="B979" s="220"/>
      <c r="C979" s="220"/>
      <c r="D979" s="220"/>
      <c r="E979" s="220"/>
      <c r="F979" s="220"/>
      <c r="G979" s="220"/>
      <c r="H979" s="220"/>
      <c r="I979" s="220"/>
      <c r="J979" s="220"/>
      <c r="K979" s="220"/>
      <c r="L979" s="220"/>
      <c r="M979" s="220"/>
      <c r="N979" s="220"/>
      <c r="O979" s="220"/>
      <c r="P979" s="220"/>
      <c r="Q979" s="220"/>
      <c r="R979" s="220"/>
      <c r="S979" s="220"/>
      <c r="T979" s="220"/>
      <c r="U979" s="220"/>
      <c r="V979" s="220"/>
      <c r="W979" s="220"/>
      <c r="X979" s="220"/>
      <c r="Y979" s="220"/>
      <c r="Z979" s="220"/>
      <c r="AA979" s="220"/>
      <c r="AB979" s="220"/>
      <c r="AC979" s="220"/>
      <c r="AD979" s="220"/>
      <c r="AE979" s="220"/>
      <c r="AF979" s="220"/>
      <c r="AG979" s="220"/>
      <c r="AH979" s="220"/>
      <c r="AI979" s="220"/>
      <c r="AJ979" s="220"/>
      <c r="AK979" s="220"/>
      <c r="AL979" s="220"/>
      <c r="AM979" s="220"/>
      <c r="AN979" s="220"/>
      <c r="AO979" s="220"/>
      <c r="AP979" s="220"/>
      <c r="AQ979" s="220"/>
      <c r="AR979" s="220"/>
      <c r="AS979" s="220"/>
      <c r="AT979" s="220"/>
      <c r="AU979" s="220"/>
    </row>
    <row r="980" ht="15.75" customHeight="1">
      <c r="A980" s="220"/>
      <c r="B980" s="220"/>
      <c r="C980" s="220"/>
      <c r="D980" s="220"/>
      <c r="E980" s="220"/>
      <c r="F980" s="220"/>
      <c r="G980" s="220"/>
      <c r="H980" s="220"/>
      <c r="I980" s="220"/>
      <c r="J980" s="220"/>
      <c r="K980" s="220"/>
      <c r="L980" s="220"/>
      <c r="M980" s="220"/>
      <c r="N980" s="220"/>
      <c r="O980" s="220"/>
      <c r="P980" s="220"/>
      <c r="Q980" s="220"/>
      <c r="R980" s="220"/>
      <c r="S980" s="220"/>
      <c r="T980" s="220"/>
      <c r="U980" s="220"/>
      <c r="V980" s="220"/>
      <c r="W980" s="220"/>
      <c r="X980" s="220"/>
      <c r="Y980" s="220"/>
      <c r="Z980" s="220"/>
      <c r="AA980" s="220"/>
      <c r="AB980" s="220"/>
      <c r="AC980" s="220"/>
      <c r="AD980" s="220"/>
      <c r="AE980" s="220"/>
      <c r="AF980" s="220"/>
      <c r="AG980" s="220"/>
      <c r="AH980" s="220"/>
      <c r="AI980" s="220"/>
      <c r="AJ980" s="220"/>
      <c r="AK980" s="220"/>
      <c r="AL980" s="220"/>
      <c r="AM980" s="220"/>
      <c r="AN980" s="220"/>
      <c r="AO980" s="220"/>
      <c r="AP980" s="220"/>
      <c r="AQ980" s="220"/>
      <c r="AR980" s="220"/>
      <c r="AS980" s="220"/>
      <c r="AT980" s="220"/>
      <c r="AU980" s="220"/>
    </row>
    <row r="981" ht="15.75" customHeight="1">
      <c r="A981" s="220"/>
      <c r="B981" s="220"/>
      <c r="C981" s="220"/>
      <c r="D981" s="220"/>
      <c r="E981" s="220"/>
      <c r="F981" s="220"/>
      <c r="G981" s="220"/>
      <c r="H981" s="220"/>
      <c r="I981" s="220"/>
      <c r="J981" s="220"/>
      <c r="K981" s="220"/>
      <c r="L981" s="220"/>
      <c r="M981" s="220"/>
      <c r="N981" s="220"/>
      <c r="O981" s="220"/>
      <c r="P981" s="220"/>
      <c r="Q981" s="220"/>
      <c r="R981" s="220"/>
      <c r="S981" s="220"/>
      <c r="T981" s="220"/>
      <c r="U981" s="220"/>
      <c r="V981" s="220"/>
      <c r="W981" s="220"/>
      <c r="X981" s="220"/>
      <c r="Y981" s="220"/>
      <c r="Z981" s="220"/>
      <c r="AA981" s="220"/>
      <c r="AB981" s="220"/>
      <c r="AC981" s="220"/>
      <c r="AD981" s="220"/>
      <c r="AE981" s="220"/>
      <c r="AF981" s="220"/>
      <c r="AG981" s="220"/>
      <c r="AH981" s="220"/>
      <c r="AI981" s="220"/>
      <c r="AJ981" s="220"/>
      <c r="AK981" s="220"/>
      <c r="AL981" s="220"/>
      <c r="AM981" s="220"/>
      <c r="AN981" s="220"/>
      <c r="AO981" s="220"/>
      <c r="AP981" s="220"/>
      <c r="AQ981" s="220"/>
      <c r="AR981" s="220"/>
      <c r="AS981" s="220"/>
      <c r="AT981" s="220"/>
      <c r="AU981" s="220"/>
    </row>
    <row r="982" ht="15.75" customHeight="1">
      <c r="A982" s="220"/>
      <c r="B982" s="220"/>
      <c r="C982" s="220"/>
      <c r="D982" s="220"/>
      <c r="E982" s="220"/>
      <c r="F982" s="220"/>
      <c r="G982" s="220"/>
      <c r="H982" s="220"/>
      <c r="I982" s="220"/>
      <c r="J982" s="220"/>
      <c r="K982" s="220"/>
      <c r="L982" s="220"/>
      <c r="M982" s="220"/>
      <c r="N982" s="220"/>
      <c r="O982" s="220"/>
      <c r="P982" s="220"/>
      <c r="Q982" s="220"/>
      <c r="R982" s="220"/>
      <c r="S982" s="220"/>
      <c r="T982" s="220"/>
      <c r="U982" s="220"/>
      <c r="V982" s="220"/>
      <c r="W982" s="220"/>
      <c r="X982" s="220"/>
      <c r="Y982" s="220"/>
      <c r="Z982" s="220"/>
      <c r="AA982" s="220"/>
      <c r="AB982" s="220"/>
      <c r="AC982" s="220"/>
      <c r="AD982" s="220"/>
      <c r="AE982" s="220"/>
      <c r="AF982" s="220"/>
      <c r="AG982" s="220"/>
      <c r="AH982" s="220"/>
      <c r="AI982" s="220"/>
      <c r="AJ982" s="220"/>
      <c r="AK982" s="220"/>
      <c r="AL982" s="220"/>
      <c r="AM982" s="220"/>
      <c r="AN982" s="220"/>
      <c r="AO982" s="220"/>
      <c r="AP982" s="220"/>
      <c r="AQ982" s="220"/>
      <c r="AR982" s="220"/>
      <c r="AS982" s="220"/>
      <c r="AT982" s="220"/>
      <c r="AU982" s="220"/>
    </row>
    <row r="983" ht="15.75" customHeight="1">
      <c r="A983" s="220"/>
      <c r="B983" s="220"/>
      <c r="C983" s="220"/>
      <c r="D983" s="220"/>
      <c r="E983" s="220"/>
      <c r="F983" s="220"/>
      <c r="G983" s="220"/>
      <c r="H983" s="220"/>
      <c r="I983" s="220"/>
      <c r="J983" s="220"/>
      <c r="K983" s="220"/>
      <c r="L983" s="220"/>
      <c r="M983" s="220"/>
      <c r="N983" s="220"/>
      <c r="O983" s="220"/>
      <c r="P983" s="220"/>
      <c r="Q983" s="220"/>
      <c r="R983" s="220"/>
      <c r="S983" s="220"/>
      <c r="T983" s="220"/>
      <c r="U983" s="220"/>
      <c r="V983" s="220"/>
      <c r="W983" s="220"/>
      <c r="X983" s="220"/>
      <c r="Y983" s="220"/>
      <c r="Z983" s="220"/>
      <c r="AA983" s="220"/>
      <c r="AB983" s="220"/>
      <c r="AC983" s="220"/>
      <c r="AD983" s="220"/>
      <c r="AE983" s="220"/>
      <c r="AF983" s="220"/>
      <c r="AG983" s="220"/>
      <c r="AH983" s="220"/>
      <c r="AI983" s="220"/>
      <c r="AJ983" s="220"/>
      <c r="AK983" s="220"/>
      <c r="AL983" s="220"/>
      <c r="AM983" s="220"/>
      <c r="AN983" s="220"/>
      <c r="AO983" s="220"/>
      <c r="AP983" s="220"/>
      <c r="AQ983" s="220"/>
      <c r="AR983" s="220"/>
      <c r="AS983" s="220"/>
      <c r="AT983" s="220"/>
      <c r="AU983" s="220"/>
    </row>
    <row r="984" ht="15.75" customHeight="1">
      <c r="A984" s="220"/>
      <c r="B984" s="220"/>
      <c r="C984" s="220"/>
      <c r="D984" s="220"/>
      <c r="E984" s="220"/>
      <c r="F984" s="220"/>
      <c r="G984" s="220"/>
      <c r="H984" s="220"/>
      <c r="I984" s="220"/>
      <c r="J984" s="220"/>
      <c r="K984" s="220"/>
      <c r="L984" s="220"/>
      <c r="M984" s="220"/>
      <c r="N984" s="220"/>
      <c r="O984" s="220"/>
      <c r="P984" s="220"/>
      <c r="Q984" s="220"/>
      <c r="R984" s="220"/>
      <c r="S984" s="220"/>
      <c r="T984" s="220"/>
      <c r="U984" s="220"/>
      <c r="V984" s="220"/>
      <c r="W984" s="220"/>
      <c r="X984" s="220"/>
      <c r="Y984" s="220"/>
      <c r="Z984" s="220"/>
      <c r="AA984" s="220"/>
      <c r="AB984" s="220"/>
      <c r="AC984" s="220"/>
      <c r="AD984" s="220"/>
      <c r="AE984" s="220"/>
      <c r="AF984" s="220"/>
      <c r="AG984" s="220"/>
      <c r="AH984" s="220"/>
      <c r="AI984" s="220"/>
      <c r="AJ984" s="220"/>
      <c r="AK984" s="220"/>
      <c r="AL984" s="220"/>
      <c r="AM984" s="220"/>
      <c r="AN984" s="220"/>
      <c r="AO984" s="220"/>
      <c r="AP984" s="220"/>
      <c r="AQ984" s="220"/>
      <c r="AR984" s="220"/>
      <c r="AS984" s="220"/>
      <c r="AT984" s="220"/>
      <c r="AU984" s="220"/>
    </row>
    <row r="985" ht="15.75" customHeight="1">
      <c r="A985" s="220"/>
      <c r="B985" s="220"/>
      <c r="C985" s="220"/>
      <c r="D985" s="220"/>
      <c r="E985" s="220"/>
      <c r="F985" s="220"/>
      <c r="G985" s="220"/>
      <c r="H985" s="220"/>
      <c r="I985" s="220"/>
      <c r="J985" s="220"/>
      <c r="K985" s="220"/>
      <c r="L985" s="220"/>
      <c r="M985" s="220"/>
      <c r="N985" s="220"/>
      <c r="O985" s="220"/>
      <c r="P985" s="220"/>
      <c r="Q985" s="220"/>
      <c r="R985" s="220"/>
      <c r="S985" s="220"/>
      <c r="T985" s="220"/>
      <c r="U985" s="220"/>
      <c r="V985" s="220"/>
      <c r="W985" s="220"/>
      <c r="X985" s="220"/>
      <c r="Y985" s="220"/>
      <c r="Z985" s="220"/>
      <c r="AA985" s="220"/>
      <c r="AB985" s="220"/>
      <c r="AC985" s="220"/>
      <c r="AD985" s="220"/>
      <c r="AE985" s="220"/>
      <c r="AF985" s="220"/>
      <c r="AG985" s="220"/>
      <c r="AH985" s="220"/>
      <c r="AI985" s="220"/>
      <c r="AJ985" s="220"/>
      <c r="AK985" s="220"/>
      <c r="AL985" s="220"/>
      <c r="AM985" s="220"/>
      <c r="AN985" s="220"/>
      <c r="AO985" s="220"/>
      <c r="AP985" s="220"/>
      <c r="AQ985" s="220"/>
      <c r="AR985" s="220"/>
      <c r="AS985" s="220"/>
      <c r="AT985" s="220"/>
      <c r="AU985" s="220"/>
    </row>
    <row r="986" ht="15.75" customHeight="1">
      <c r="A986" s="220"/>
      <c r="B986" s="220"/>
      <c r="C986" s="220"/>
      <c r="D986" s="220"/>
      <c r="E986" s="220"/>
      <c r="F986" s="220"/>
      <c r="G986" s="220"/>
      <c r="H986" s="220"/>
      <c r="I986" s="220"/>
      <c r="J986" s="220"/>
      <c r="K986" s="220"/>
      <c r="L986" s="220"/>
      <c r="M986" s="220"/>
      <c r="N986" s="220"/>
      <c r="O986" s="220"/>
      <c r="P986" s="220"/>
      <c r="Q986" s="220"/>
      <c r="R986" s="220"/>
      <c r="S986" s="220"/>
      <c r="T986" s="220"/>
      <c r="U986" s="220"/>
      <c r="V986" s="220"/>
      <c r="W986" s="220"/>
      <c r="X986" s="220"/>
      <c r="Y986" s="220"/>
      <c r="Z986" s="220"/>
      <c r="AA986" s="220"/>
      <c r="AB986" s="220"/>
      <c r="AC986" s="220"/>
      <c r="AD986" s="220"/>
      <c r="AE986" s="220"/>
      <c r="AF986" s="220"/>
      <c r="AG986" s="220"/>
      <c r="AH986" s="220"/>
      <c r="AI986" s="220"/>
      <c r="AJ986" s="220"/>
      <c r="AK986" s="220"/>
      <c r="AL986" s="220"/>
      <c r="AM986" s="220"/>
      <c r="AN986" s="220"/>
      <c r="AO986" s="220"/>
      <c r="AP986" s="220"/>
      <c r="AQ986" s="220"/>
      <c r="AR986" s="220"/>
      <c r="AS986" s="220"/>
      <c r="AT986" s="220"/>
      <c r="AU986" s="220"/>
    </row>
    <row r="987" ht="15.75" customHeight="1">
      <c r="A987" s="220"/>
      <c r="B987" s="220"/>
      <c r="C987" s="220"/>
      <c r="D987" s="220"/>
      <c r="E987" s="220"/>
      <c r="F987" s="220"/>
      <c r="G987" s="220"/>
      <c r="H987" s="220"/>
      <c r="I987" s="220"/>
      <c r="J987" s="220"/>
      <c r="K987" s="220"/>
      <c r="L987" s="220"/>
      <c r="M987" s="220"/>
      <c r="N987" s="220"/>
      <c r="O987" s="220"/>
      <c r="P987" s="220"/>
      <c r="Q987" s="220"/>
      <c r="R987" s="220"/>
      <c r="S987" s="220"/>
      <c r="T987" s="220"/>
      <c r="U987" s="220"/>
      <c r="V987" s="220"/>
      <c r="W987" s="220"/>
      <c r="X987" s="220"/>
      <c r="Y987" s="220"/>
      <c r="Z987" s="220"/>
      <c r="AA987" s="220"/>
      <c r="AB987" s="220"/>
      <c r="AC987" s="220"/>
      <c r="AD987" s="220"/>
      <c r="AE987" s="220"/>
      <c r="AF987" s="220"/>
      <c r="AG987" s="220"/>
      <c r="AH987" s="220"/>
      <c r="AI987" s="220"/>
      <c r="AJ987" s="220"/>
      <c r="AK987" s="220"/>
      <c r="AL987" s="220"/>
      <c r="AM987" s="220"/>
      <c r="AN987" s="220"/>
      <c r="AO987" s="220"/>
      <c r="AP987" s="220"/>
      <c r="AQ987" s="220"/>
      <c r="AR987" s="220"/>
      <c r="AS987" s="220"/>
      <c r="AT987" s="220"/>
      <c r="AU987" s="220"/>
    </row>
    <row r="988" ht="15.75" customHeight="1">
      <c r="A988" s="220"/>
      <c r="B988" s="220"/>
      <c r="C988" s="220"/>
      <c r="D988" s="220"/>
      <c r="E988" s="220"/>
      <c r="F988" s="220"/>
      <c r="G988" s="220"/>
      <c r="H988" s="220"/>
      <c r="I988" s="220"/>
      <c r="J988" s="220"/>
      <c r="K988" s="220"/>
      <c r="L988" s="220"/>
      <c r="M988" s="220"/>
      <c r="N988" s="220"/>
      <c r="O988" s="220"/>
      <c r="P988" s="220"/>
      <c r="Q988" s="220"/>
      <c r="R988" s="220"/>
      <c r="S988" s="220"/>
      <c r="T988" s="220"/>
      <c r="U988" s="220"/>
      <c r="V988" s="220"/>
      <c r="W988" s="220"/>
      <c r="X988" s="220"/>
      <c r="Y988" s="220"/>
      <c r="Z988" s="220"/>
      <c r="AA988" s="220"/>
      <c r="AB988" s="220"/>
      <c r="AC988" s="220"/>
      <c r="AD988" s="220"/>
      <c r="AE988" s="220"/>
      <c r="AF988" s="220"/>
      <c r="AG988" s="220"/>
      <c r="AH988" s="220"/>
      <c r="AI988" s="220"/>
      <c r="AJ988" s="220"/>
      <c r="AK988" s="220"/>
      <c r="AL988" s="220"/>
      <c r="AM988" s="220"/>
      <c r="AN988" s="220"/>
      <c r="AO988" s="220"/>
      <c r="AP988" s="220"/>
      <c r="AQ988" s="220"/>
      <c r="AR988" s="220"/>
      <c r="AS988" s="220"/>
      <c r="AT988" s="220"/>
      <c r="AU988" s="220"/>
    </row>
    <row r="989" ht="15.75" customHeight="1">
      <c r="A989" s="220"/>
      <c r="B989" s="220"/>
      <c r="C989" s="220"/>
      <c r="D989" s="220"/>
      <c r="E989" s="220"/>
      <c r="F989" s="220"/>
      <c r="G989" s="220"/>
      <c r="H989" s="220"/>
      <c r="I989" s="220"/>
      <c r="J989" s="220"/>
      <c r="K989" s="220"/>
      <c r="L989" s="220"/>
      <c r="M989" s="220"/>
      <c r="N989" s="220"/>
      <c r="O989" s="220"/>
      <c r="P989" s="220"/>
      <c r="Q989" s="220"/>
      <c r="R989" s="220"/>
      <c r="S989" s="220"/>
      <c r="T989" s="220"/>
      <c r="U989" s="220"/>
      <c r="V989" s="220"/>
      <c r="W989" s="220"/>
      <c r="X989" s="220"/>
      <c r="Y989" s="220"/>
      <c r="Z989" s="220"/>
      <c r="AA989" s="220"/>
      <c r="AB989" s="220"/>
      <c r="AC989" s="220"/>
      <c r="AD989" s="220"/>
      <c r="AE989" s="220"/>
      <c r="AF989" s="220"/>
      <c r="AG989" s="220"/>
      <c r="AH989" s="220"/>
      <c r="AI989" s="220"/>
      <c r="AJ989" s="220"/>
      <c r="AK989" s="220"/>
      <c r="AL989" s="220"/>
      <c r="AM989" s="220"/>
      <c r="AN989" s="220"/>
      <c r="AO989" s="220"/>
      <c r="AP989" s="220"/>
      <c r="AQ989" s="220"/>
      <c r="AR989" s="220"/>
      <c r="AS989" s="220"/>
      <c r="AT989" s="220"/>
      <c r="AU989" s="220"/>
    </row>
    <row r="990" ht="15.75" customHeight="1">
      <c r="A990" s="220"/>
      <c r="B990" s="220"/>
      <c r="C990" s="220"/>
      <c r="D990" s="220"/>
      <c r="E990" s="220"/>
      <c r="F990" s="220"/>
      <c r="G990" s="220"/>
      <c r="H990" s="220"/>
      <c r="I990" s="220"/>
      <c r="J990" s="220"/>
      <c r="K990" s="220"/>
      <c r="L990" s="220"/>
      <c r="M990" s="220"/>
      <c r="N990" s="220"/>
      <c r="O990" s="220"/>
      <c r="P990" s="220"/>
      <c r="Q990" s="220"/>
      <c r="R990" s="220"/>
      <c r="S990" s="220"/>
      <c r="T990" s="220"/>
      <c r="U990" s="220"/>
      <c r="V990" s="220"/>
      <c r="W990" s="220"/>
      <c r="X990" s="220"/>
      <c r="Y990" s="220"/>
      <c r="Z990" s="220"/>
      <c r="AA990" s="220"/>
      <c r="AB990" s="220"/>
      <c r="AC990" s="220"/>
      <c r="AD990" s="220"/>
      <c r="AE990" s="220"/>
      <c r="AF990" s="220"/>
      <c r="AG990" s="220"/>
      <c r="AH990" s="220"/>
      <c r="AI990" s="220"/>
      <c r="AJ990" s="220"/>
      <c r="AK990" s="220"/>
      <c r="AL990" s="220"/>
      <c r="AM990" s="220"/>
      <c r="AN990" s="220"/>
      <c r="AO990" s="220"/>
      <c r="AP990" s="220"/>
      <c r="AQ990" s="220"/>
      <c r="AR990" s="220"/>
      <c r="AS990" s="220"/>
      <c r="AT990" s="220"/>
      <c r="AU990" s="220"/>
    </row>
    <row r="991" ht="15.75" customHeight="1">
      <c r="A991" s="220"/>
      <c r="B991" s="220"/>
      <c r="C991" s="220"/>
      <c r="D991" s="220"/>
      <c r="E991" s="220"/>
      <c r="F991" s="220"/>
      <c r="G991" s="220"/>
      <c r="H991" s="220"/>
      <c r="I991" s="220"/>
      <c r="J991" s="220"/>
      <c r="K991" s="220"/>
      <c r="L991" s="220"/>
      <c r="M991" s="220"/>
      <c r="N991" s="220"/>
      <c r="O991" s="220"/>
      <c r="P991" s="220"/>
      <c r="Q991" s="220"/>
      <c r="R991" s="220"/>
      <c r="S991" s="220"/>
      <c r="T991" s="220"/>
      <c r="U991" s="220"/>
      <c r="V991" s="220"/>
      <c r="W991" s="220"/>
      <c r="X991" s="220"/>
      <c r="Y991" s="220"/>
      <c r="Z991" s="220"/>
      <c r="AA991" s="220"/>
      <c r="AB991" s="220"/>
      <c r="AC991" s="220"/>
      <c r="AD991" s="220"/>
      <c r="AE991" s="220"/>
      <c r="AF991" s="220"/>
      <c r="AG991" s="220"/>
      <c r="AH991" s="220"/>
      <c r="AI991" s="220"/>
      <c r="AJ991" s="220"/>
      <c r="AK991" s="220"/>
      <c r="AL991" s="220"/>
      <c r="AM991" s="220"/>
      <c r="AN991" s="220"/>
      <c r="AO991" s="220"/>
      <c r="AP991" s="220"/>
      <c r="AQ991" s="220"/>
      <c r="AR991" s="220"/>
      <c r="AS991" s="220"/>
      <c r="AT991" s="220"/>
      <c r="AU991" s="220"/>
    </row>
    <row r="992" ht="15.75" customHeight="1">
      <c r="A992" s="220"/>
      <c r="B992" s="220"/>
      <c r="C992" s="220"/>
      <c r="D992" s="220"/>
      <c r="E992" s="220"/>
      <c r="F992" s="220"/>
      <c r="G992" s="220"/>
      <c r="H992" s="220"/>
      <c r="I992" s="220"/>
      <c r="J992" s="220"/>
      <c r="K992" s="220"/>
      <c r="L992" s="220"/>
      <c r="M992" s="220"/>
      <c r="N992" s="220"/>
      <c r="O992" s="220"/>
      <c r="P992" s="220"/>
      <c r="Q992" s="220"/>
      <c r="R992" s="220"/>
      <c r="S992" s="220"/>
      <c r="T992" s="220"/>
      <c r="U992" s="220"/>
      <c r="V992" s="220"/>
      <c r="W992" s="220"/>
      <c r="X992" s="220"/>
      <c r="Y992" s="220"/>
      <c r="Z992" s="220"/>
      <c r="AA992" s="220"/>
      <c r="AB992" s="220"/>
      <c r="AC992" s="220"/>
      <c r="AD992" s="220"/>
      <c r="AE992" s="220"/>
      <c r="AF992" s="220"/>
      <c r="AG992" s="220"/>
      <c r="AH992" s="220"/>
      <c r="AI992" s="220"/>
      <c r="AJ992" s="220"/>
      <c r="AK992" s="220"/>
      <c r="AL992" s="220"/>
      <c r="AM992" s="220"/>
      <c r="AN992" s="220"/>
      <c r="AO992" s="220"/>
      <c r="AP992" s="220"/>
      <c r="AQ992" s="220"/>
      <c r="AR992" s="220"/>
      <c r="AS992" s="220"/>
      <c r="AT992" s="220"/>
      <c r="AU992" s="220"/>
    </row>
    <row r="993" ht="15.75" customHeight="1">
      <c r="A993" s="220"/>
      <c r="B993" s="220"/>
      <c r="C993" s="220"/>
      <c r="D993" s="220"/>
      <c r="E993" s="220"/>
      <c r="F993" s="220"/>
      <c r="G993" s="220"/>
      <c r="H993" s="220"/>
      <c r="I993" s="220"/>
      <c r="J993" s="220"/>
      <c r="K993" s="220"/>
      <c r="L993" s="220"/>
      <c r="M993" s="220"/>
      <c r="N993" s="220"/>
      <c r="O993" s="220"/>
      <c r="P993" s="220"/>
      <c r="Q993" s="220"/>
      <c r="R993" s="220"/>
      <c r="S993" s="220"/>
      <c r="T993" s="220"/>
      <c r="U993" s="220"/>
      <c r="V993" s="220"/>
      <c r="W993" s="220"/>
      <c r="X993" s="220"/>
      <c r="Y993" s="220"/>
      <c r="Z993" s="220"/>
      <c r="AA993" s="220"/>
      <c r="AB993" s="220"/>
      <c r="AC993" s="220"/>
      <c r="AD993" s="220"/>
      <c r="AE993" s="220"/>
      <c r="AF993" s="220"/>
      <c r="AG993" s="220"/>
      <c r="AH993" s="220"/>
      <c r="AI993" s="220"/>
      <c r="AJ993" s="220"/>
      <c r="AK993" s="220"/>
      <c r="AL993" s="220"/>
      <c r="AM993" s="220"/>
      <c r="AN993" s="220"/>
      <c r="AO993" s="220"/>
      <c r="AP993" s="220"/>
      <c r="AQ993" s="220"/>
      <c r="AR993" s="220"/>
      <c r="AS993" s="220"/>
      <c r="AT993" s="220"/>
      <c r="AU993" s="220"/>
    </row>
    <row r="994" ht="15.75" customHeight="1">
      <c r="A994" s="220"/>
      <c r="B994" s="220"/>
      <c r="C994" s="220"/>
      <c r="D994" s="220"/>
      <c r="E994" s="220"/>
      <c r="F994" s="220"/>
      <c r="G994" s="220"/>
      <c r="H994" s="220"/>
      <c r="I994" s="220"/>
      <c r="J994" s="220"/>
      <c r="K994" s="220"/>
      <c r="L994" s="220"/>
      <c r="M994" s="220"/>
      <c r="N994" s="220"/>
      <c r="O994" s="220"/>
      <c r="P994" s="220"/>
      <c r="Q994" s="220"/>
      <c r="R994" s="220"/>
      <c r="S994" s="220"/>
      <c r="T994" s="220"/>
      <c r="U994" s="220"/>
      <c r="V994" s="220"/>
      <c r="W994" s="220"/>
      <c r="X994" s="220"/>
      <c r="Y994" s="220"/>
      <c r="Z994" s="220"/>
      <c r="AA994" s="220"/>
      <c r="AB994" s="220"/>
      <c r="AC994" s="220"/>
      <c r="AD994" s="220"/>
      <c r="AE994" s="220"/>
      <c r="AF994" s="220"/>
      <c r="AG994" s="220"/>
      <c r="AH994" s="220"/>
      <c r="AI994" s="220"/>
      <c r="AJ994" s="220"/>
      <c r="AK994" s="220"/>
      <c r="AL994" s="220"/>
      <c r="AM994" s="220"/>
      <c r="AN994" s="220"/>
      <c r="AO994" s="220"/>
      <c r="AP994" s="220"/>
      <c r="AQ994" s="220"/>
      <c r="AR994" s="220"/>
      <c r="AS994" s="220"/>
      <c r="AT994" s="220"/>
      <c r="AU994" s="220"/>
    </row>
    <row r="995" ht="15.75" customHeight="1">
      <c r="A995" s="220"/>
      <c r="B995" s="220"/>
      <c r="C995" s="220"/>
      <c r="D995" s="220"/>
      <c r="E995" s="220"/>
      <c r="F995" s="220"/>
      <c r="G995" s="220"/>
      <c r="H995" s="220"/>
      <c r="I995" s="220"/>
      <c r="J995" s="220"/>
      <c r="K995" s="220"/>
      <c r="L995" s="220"/>
      <c r="M995" s="220"/>
      <c r="N995" s="220"/>
      <c r="O995" s="220"/>
      <c r="P995" s="220"/>
      <c r="Q995" s="220"/>
      <c r="R995" s="220"/>
      <c r="S995" s="220"/>
      <c r="T995" s="220"/>
      <c r="U995" s="220"/>
      <c r="V995" s="220"/>
      <c r="W995" s="220"/>
      <c r="X995" s="220"/>
      <c r="Y995" s="220"/>
      <c r="Z995" s="220"/>
      <c r="AA995" s="220"/>
      <c r="AB995" s="220"/>
      <c r="AC995" s="220"/>
      <c r="AD995" s="220"/>
      <c r="AE995" s="220"/>
      <c r="AF995" s="220"/>
      <c r="AG995" s="220"/>
      <c r="AH995" s="220"/>
      <c r="AI995" s="220"/>
      <c r="AJ995" s="220"/>
      <c r="AK995" s="220"/>
      <c r="AL995" s="220"/>
      <c r="AM995" s="220"/>
      <c r="AN995" s="220"/>
      <c r="AO995" s="220"/>
      <c r="AP995" s="220"/>
      <c r="AQ995" s="220"/>
      <c r="AR995" s="220"/>
      <c r="AS995" s="220"/>
      <c r="AT995" s="220"/>
      <c r="AU995" s="220"/>
    </row>
    <row r="996" ht="15.75" customHeight="1">
      <c r="A996" s="220"/>
      <c r="B996" s="220"/>
      <c r="C996" s="220"/>
      <c r="D996" s="220"/>
      <c r="E996" s="220"/>
      <c r="F996" s="220"/>
      <c r="G996" s="220"/>
      <c r="H996" s="220"/>
      <c r="I996" s="220"/>
      <c r="J996" s="220"/>
      <c r="K996" s="220"/>
      <c r="L996" s="220"/>
      <c r="M996" s="220"/>
      <c r="N996" s="220"/>
      <c r="O996" s="220"/>
      <c r="P996" s="220"/>
      <c r="Q996" s="220"/>
      <c r="R996" s="220"/>
      <c r="S996" s="220"/>
      <c r="T996" s="220"/>
      <c r="U996" s="220"/>
      <c r="V996" s="220"/>
      <c r="W996" s="220"/>
      <c r="X996" s="220"/>
      <c r="Y996" s="220"/>
      <c r="Z996" s="220"/>
      <c r="AA996" s="220"/>
      <c r="AB996" s="220"/>
      <c r="AC996" s="220"/>
      <c r="AD996" s="220"/>
      <c r="AE996" s="220"/>
      <c r="AF996" s="220"/>
      <c r="AG996" s="220"/>
      <c r="AH996" s="220"/>
      <c r="AI996" s="220"/>
      <c r="AJ996" s="220"/>
      <c r="AK996" s="220"/>
      <c r="AL996" s="220"/>
      <c r="AM996" s="220"/>
      <c r="AN996" s="220"/>
      <c r="AO996" s="220"/>
      <c r="AP996" s="220"/>
      <c r="AQ996" s="220"/>
      <c r="AR996" s="220"/>
      <c r="AS996" s="220"/>
      <c r="AT996" s="220"/>
      <c r="AU996" s="220"/>
    </row>
    <row r="997" ht="15.75" customHeight="1">
      <c r="A997" s="220"/>
      <c r="B997" s="220"/>
      <c r="C997" s="220"/>
      <c r="D997" s="220"/>
      <c r="E997" s="220"/>
      <c r="F997" s="220"/>
      <c r="G997" s="220"/>
      <c r="H997" s="220"/>
      <c r="I997" s="220"/>
      <c r="J997" s="220"/>
      <c r="K997" s="220"/>
      <c r="L997" s="220"/>
      <c r="M997" s="220"/>
      <c r="N997" s="220"/>
      <c r="O997" s="220"/>
      <c r="P997" s="220"/>
      <c r="Q997" s="220"/>
      <c r="R997" s="220"/>
      <c r="S997" s="220"/>
      <c r="T997" s="220"/>
      <c r="U997" s="220"/>
      <c r="V997" s="220"/>
      <c r="W997" s="220"/>
      <c r="X997" s="220"/>
      <c r="Y997" s="220"/>
      <c r="Z997" s="220"/>
      <c r="AA997" s="220"/>
      <c r="AB997" s="220"/>
      <c r="AC997" s="220"/>
      <c r="AD997" s="220"/>
      <c r="AE997" s="220"/>
      <c r="AF997" s="220"/>
      <c r="AG997" s="220"/>
      <c r="AH997" s="220"/>
      <c r="AI997" s="220"/>
      <c r="AJ997" s="220"/>
      <c r="AK997" s="220"/>
      <c r="AL997" s="220"/>
      <c r="AM997" s="220"/>
      <c r="AN997" s="220"/>
      <c r="AO997" s="220"/>
      <c r="AP997" s="220"/>
      <c r="AQ997" s="220"/>
      <c r="AR997" s="220"/>
      <c r="AS997" s="220"/>
      <c r="AT997" s="220"/>
      <c r="AU997" s="220"/>
    </row>
    <row r="998" ht="15.75" customHeight="1">
      <c r="A998" s="220"/>
      <c r="B998" s="220"/>
      <c r="C998" s="220"/>
      <c r="D998" s="220"/>
      <c r="E998" s="220"/>
      <c r="F998" s="220"/>
      <c r="G998" s="220"/>
      <c r="H998" s="220"/>
      <c r="I998" s="220"/>
      <c r="J998" s="220"/>
      <c r="K998" s="220"/>
      <c r="L998" s="220"/>
      <c r="M998" s="220"/>
      <c r="N998" s="220"/>
      <c r="O998" s="220"/>
      <c r="P998" s="220"/>
      <c r="Q998" s="220"/>
      <c r="R998" s="220"/>
      <c r="S998" s="220"/>
      <c r="T998" s="220"/>
      <c r="U998" s="220"/>
      <c r="V998" s="220"/>
      <c r="W998" s="220"/>
      <c r="X998" s="220"/>
      <c r="Y998" s="220"/>
      <c r="Z998" s="220"/>
      <c r="AA998" s="220"/>
      <c r="AB998" s="220"/>
      <c r="AC998" s="220"/>
      <c r="AD998" s="220"/>
      <c r="AE998" s="220"/>
      <c r="AF998" s="220"/>
      <c r="AG998" s="220"/>
      <c r="AH998" s="220"/>
      <c r="AI998" s="220"/>
      <c r="AJ998" s="220"/>
      <c r="AK998" s="220"/>
      <c r="AL998" s="220"/>
      <c r="AM998" s="220"/>
      <c r="AN998" s="220"/>
      <c r="AO998" s="220"/>
      <c r="AP998" s="220"/>
      <c r="AQ998" s="220"/>
      <c r="AR998" s="220"/>
      <c r="AS998" s="220"/>
      <c r="AT998" s="220"/>
      <c r="AU998" s="220"/>
    </row>
    <row r="999" ht="15.75" customHeight="1">
      <c r="A999" s="220"/>
      <c r="B999" s="220"/>
      <c r="C999" s="220"/>
      <c r="D999" s="220"/>
      <c r="E999" s="220"/>
      <c r="F999" s="220"/>
      <c r="G999" s="220"/>
      <c r="H999" s="220"/>
      <c r="I999" s="220"/>
      <c r="J999" s="220"/>
      <c r="K999" s="220"/>
      <c r="L999" s="220"/>
      <c r="M999" s="220"/>
      <c r="N999" s="220"/>
      <c r="O999" s="220"/>
      <c r="P999" s="220"/>
      <c r="Q999" s="220"/>
      <c r="R999" s="220"/>
      <c r="S999" s="220"/>
      <c r="T999" s="220"/>
      <c r="U999" s="220"/>
      <c r="V999" s="220"/>
      <c r="W999" s="220"/>
      <c r="X999" s="220"/>
      <c r="Y999" s="220"/>
      <c r="Z999" s="220"/>
      <c r="AA999" s="220"/>
      <c r="AB999" s="220"/>
      <c r="AC999" s="220"/>
      <c r="AD999" s="220"/>
      <c r="AE999" s="220"/>
      <c r="AF999" s="220"/>
      <c r="AG999" s="220"/>
      <c r="AH999" s="220"/>
      <c r="AI999" s="220"/>
      <c r="AJ999" s="220"/>
      <c r="AK999" s="220"/>
      <c r="AL999" s="220"/>
      <c r="AM999" s="220"/>
      <c r="AN999" s="220"/>
      <c r="AO999" s="220"/>
      <c r="AP999" s="220"/>
      <c r="AQ999" s="220"/>
      <c r="AR999" s="220"/>
      <c r="AS999" s="220"/>
      <c r="AT999" s="220"/>
      <c r="AU999" s="220"/>
    </row>
    <row r="1000" ht="15.75" customHeight="1">
      <c r="A1000" s="220"/>
      <c r="B1000" s="220"/>
      <c r="C1000" s="220"/>
      <c r="D1000" s="220"/>
      <c r="E1000" s="220"/>
      <c r="F1000" s="220"/>
      <c r="G1000" s="220"/>
      <c r="H1000" s="220"/>
      <c r="I1000" s="220"/>
      <c r="J1000" s="220"/>
      <c r="K1000" s="220"/>
      <c r="L1000" s="220"/>
      <c r="M1000" s="220"/>
      <c r="N1000" s="220"/>
      <c r="O1000" s="220"/>
      <c r="P1000" s="220"/>
      <c r="Q1000" s="220"/>
      <c r="R1000" s="220"/>
      <c r="S1000" s="220"/>
      <c r="T1000" s="220"/>
      <c r="U1000" s="220"/>
      <c r="V1000" s="220"/>
      <c r="W1000" s="220"/>
      <c r="X1000" s="220"/>
      <c r="Y1000" s="220"/>
      <c r="Z1000" s="220"/>
      <c r="AA1000" s="220"/>
      <c r="AB1000" s="220"/>
      <c r="AC1000" s="220"/>
      <c r="AD1000" s="220"/>
      <c r="AE1000" s="220"/>
      <c r="AF1000" s="220"/>
      <c r="AG1000" s="220"/>
      <c r="AH1000" s="220"/>
      <c r="AI1000" s="220"/>
      <c r="AJ1000" s="220"/>
      <c r="AK1000" s="220"/>
      <c r="AL1000" s="220"/>
      <c r="AM1000" s="220"/>
      <c r="AN1000" s="220"/>
      <c r="AO1000" s="220"/>
      <c r="AP1000" s="220"/>
      <c r="AQ1000" s="220"/>
      <c r="AR1000" s="220"/>
      <c r="AS1000" s="220"/>
      <c r="AT1000" s="220"/>
      <c r="AU1000" s="220"/>
    </row>
  </sheetData>
  <conditionalFormatting sqref="H25:AB54">
    <cfRule type="cellIs" dxfId="5" priority="1" operator="greaterThan">
      <formula>0</formula>
    </cfRule>
  </conditionalFormatting>
  <conditionalFormatting sqref="A25:AB54">
    <cfRule type="expression" dxfId="6" priority="2">
      <formula>MOD(INT((ROW()-13)/3),2)=0</formula>
    </cfRule>
  </conditionalFormatting>
  <conditionalFormatting sqref="C58:AB72">
    <cfRule type="cellIs" dxfId="5" priority="3" operator="greaterThan">
      <formula>0</formula>
    </cfRule>
  </conditionalFormatting>
  <conditionalFormatting sqref="A58:AB72">
    <cfRule type="expression" dxfId="6" priority="4">
      <formula>ISEVEN($A58)</formula>
    </cfRule>
  </conditionalFormatting>
  <conditionalFormatting sqref="C76:AB90">
    <cfRule type="cellIs" dxfId="5" priority="5" operator="greaterThan">
      <formula>0</formula>
    </cfRule>
  </conditionalFormatting>
  <conditionalFormatting sqref="A76:AB90">
    <cfRule type="expression" dxfId="6" priority="6">
      <formula>ISEVEN($A76)</formula>
    </cfRule>
  </conditionalFormatting>
  <conditionalFormatting sqref="C94:AB108">
    <cfRule type="cellIs" dxfId="5" priority="7" operator="greaterThan">
      <formula>0</formula>
    </cfRule>
  </conditionalFormatting>
  <conditionalFormatting sqref="A94:AB108">
    <cfRule type="expression" dxfId="6" priority="8">
      <formula>ISEVEN($A94)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2" width="4.5"/>
    <col customWidth="1" min="23" max="26" width="8.63"/>
  </cols>
  <sheetData>
    <row r="1" ht="21.75" customHeight="1">
      <c r="A1" s="79" t="s">
        <v>49</v>
      </c>
    </row>
    <row r="2" ht="19.5" customHeight="1">
      <c r="A2" s="112" t="s">
        <v>114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</row>
    <row r="3">
      <c r="A3" s="145" t="s">
        <v>283</v>
      </c>
      <c r="B3" s="146">
        <v>5.0</v>
      </c>
    </row>
    <row r="4">
      <c r="A4" s="145" t="s">
        <v>284</v>
      </c>
      <c r="B4" s="146">
        <v>1.0</v>
      </c>
    </row>
    <row r="5">
      <c r="A5" s="145" t="s">
        <v>285</v>
      </c>
      <c r="B5" s="146">
        <v>1.0</v>
      </c>
    </row>
    <row r="6">
      <c r="A6" s="145" t="s">
        <v>286</v>
      </c>
      <c r="B6" s="180">
        <v>27.0</v>
      </c>
    </row>
    <row r="7">
      <c r="A7" s="145" t="s">
        <v>190</v>
      </c>
      <c r="B7" s="180">
        <v>1.0</v>
      </c>
    </row>
    <row r="9" ht="19.5" customHeight="1">
      <c r="A9" s="112" t="s">
        <v>116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</row>
    <row r="10" ht="90.0" customHeight="1">
      <c r="A10" s="117" t="s">
        <v>216</v>
      </c>
      <c r="B10" s="217" t="s">
        <v>82</v>
      </c>
      <c r="C10" s="119" t="s">
        <v>68</v>
      </c>
      <c r="D10" s="119" t="s">
        <v>103</v>
      </c>
      <c r="E10" s="119" t="s">
        <v>69</v>
      </c>
      <c r="F10" s="119" t="s">
        <v>70</v>
      </c>
      <c r="G10" s="119" t="s">
        <v>71</v>
      </c>
      <c r="H10" s="119" t="s">
        <v>72</v>
      </c>
      <c r="I10" s="119" t="s">
        <v>73</v>
      </c>
      <c r="J10" s="119" t="s">
        <v>74</v>
      </c>
      <c r="K10" s="119" t="s">
        <v>75</v>
      </c>
      <c r="L10" s="119" t="s">
        <v>76</v>
      </c>
      <c r="M10" s="119" t="s">
        <v>77</v>
      </c>
      <c r="N10" s="119" t="s">
        <v>78</v>
      </c>
      <c r="O10" s="119" t="s">
        <v>118</v>
      </c>
      <c r="P10" s="119" t="s">
        <v>104</v>
      </c>
      <c r="Q10" s="119" t="s">
        <v>105</v>
      </c>
      <c r="R10" s="119" t="s">
        <v>106</v>
      </c>
      <c r="S10" s="119" t="s">
        <v>107</v>
      </c>
      <c r="T10" s="119" t="s">
        <v>108</v>
      </c>
      <c r="U10" s="119" t="s">
        <v>109</v>
      </c>
      <c r="V10" s="119" t="s">
        <v>110</v>
      </c>
    </row>
    <row r="11">
      <c r="A11" s="122">
        <v>1.0</v>
      </c>
      <c r="B11" s="218">
        <v>0.0</v>
      </c>
      <c r="C11" s="121">
        <v>20.0</v>
      </c>
      <c r="D11" s="121">
        <v>0.0</v>
      </c>
      <c r="E11" s="121">
        <v>1.0</v>
      </c>
      <c r="F11" s="121">
        <v>1.0</v>
      </c>
      <c r="G11" s="121">
        <v>1.0</v>
      </c>
      <c r="H11" s="121">
        <v>1.0</v>
      </c>
      <c r="I11" s="121">
        <v>0.0</v>
      </c>
      <c r="J11" s="121">
        <v>0.0</v>
      </c>
      <c r="K11" s="121">
        <v>0.0</v>
      </c>
      <c r="L11" s="121">
        <v>0.0</v>
      </c>
      <c r="M11" s="121">
        <v>0.0</v>
      </c>
      <c r="N11" s="121">
        <v>0.0</v>
      </c>
      <c r="O11" s="121">
        <v>0.0</v>
      </c>
      <c r="P11" s="121">
        <v>0.0</v>
      </c>
      <c r="Q11" s="121">
        <v>0.0</v>
      </c>
      <c r="R11" s="121">
        <v>0.0</v>
      </c>
      <c r="S11" s="121">
        <v>0.0</v>
      </c>
      <c r="T11" s="121">
        <v>0.0</v>
      </c>
      <c r="U11" s="121">
        <v>0.0</v>
      </c>
      <c r="V11" s="121">
        <v>0.0</v>
      </c>
    </row>
    <row r="12">
      <c r="A12" s="122">
        <v>2.0</v>
      </c>
      <c r="B12" s="218">
        <v>0.0</v>
      </c>
      <c r="C12" s="121">
        <v>0.0</v>
      </c>
      <c r="D12" s="121">
        <v>0.0</v>
      </c>
      <c r="E12" s="121">
        <v>0.0</v>
      </c>
      <c r="F12" s="121">
        <v>0.0</v>
      </c>
      <c r="G12" s="121">
        <v>0.0</v>
      </c>
      <c r="H12" s="121">
        <v>0.0</v>
      </c>
      <c r="I12" s="121">
        <v>0.0</v>
      </c>
      <c r="J12" s="121">
        <v>0.0</v>
      </c>
      <c r="K12" s="121">
        <v>0.0</v>
      </c>
      <c r="L12" s="121">
        <v>0.0</v>
      </c>
      <c r="M12" s="121">
        <v>0.0</v>
      </c>
      <c r="N12" s="121">
        <v>0.0</v>
      </c>
      <c r="O12" s="121">
        <v>0.0</v>
      </c>
      <c r="P12" s="121">
        <v>0.0</v>
      </c>
      <c r="Q12" s="121">
        <v>0.0</v>
      </c>
      <c r="R12" s="121">
        <v>0.0</v>
      </c>
      <c r="S12" s="121">
        <v>0.0</v>
      </c>
      <c r="T12" s="121">
        <v>0.0</v>
      </c>
      <c r="U12" s="121">
        <v>0.0</v>
      </c>
      <c r="V12" s="121">
        <v>0.0</v>
      </c>
    </row>
    <row r="13">
      <c r="A13" s="122">
        <v>3.0</v>
      </c>
      <c r="B13" s="218">
        <v>0.0</v>
      </c>
      <c r="C13" s="121">
        <v>0.0</v>
      </c>
      <c r="D13" s="121">
        <v>0.0</v>
      </c>
      <c r="E13" s="121">
        <v>0.0</v>
      </c>
      <c r="F13" s="121">
        <v>0.0</v>
      </c>
      <c r="G13" s="121">
        <v>0.0</v>
      </c>
      <c r="H13" s="121">
        <v>0.0</v>
      </c>
      <c r="I13" s="121">
        <v>0.0</v>
      </c>
      <c r="J13" s="121">
        <v>0.0</v>
      </c>
      <c r="K13" s="121">
        <v>0.0</v>
      </c>
      <c r="L13" s="121">
        <v>0.0</v>
      </c>
      <c r="M13" s="121">
        <v>0.0</v>
      </c>
      <c r="N13" s="121">
        <v>0.0</v>
      </c>
      <c r="O13" s="121">
        <v>0.0</v>
      </c>
      <c r="P13" s="121">
        <v>0.0</v>
      </c>
      <c r="Q13" s="121">
        <v>0.0</v>
      </c>
      <c r="R13" s="121">
        <v>0.0</v>
      </c>
      <c r="S13" s="121">
        <v>0.0</v>
      </c>
      <c r="T13" s="121">
        <v>0.0</v>
      </c>
      <c r="U13" s="121">
        <v>0.0</v>
      </c>
      <c r="V13" s="121">
        <v>0.0</v>
      </c>
    </row>
    <row r="14">
      <c r="A14" s="122">
        <v>4.0</v>
      </c>
      <c r="B14" s="218">
        <v>0.0</v>
      </c>
      <c r="C14" s="121">
        <v>0.0</v>
      </c>
      <c r="D14" s="121">
        <v>0.0</v>
      </c>
      <c r="E14" s="121">
        <v>0.0</v>
      </c>
      <c r="F14" s="121">
        <v>0.0</v>
      </c>
      <c r="G14" s="121">
        <v>0.0</v>
      </c>
      <c r="H14" s="121">
        <v>0.0</v>
      </c>
      <c r="I14" s="121">
        <v>0.0</v>
      </c>
      <c r="J14" s="121">
        <v>0.0</v>
      </c>
      <c r="K14" s="121">
        <v>0.0</v>
      </c>
      <c r="L14" s="121">
        <v>0.0</v>
      </c>
      <c r="M14" s="121">
        <v>0.0</v>
      </c>
      <c r="N14" s="121">
        <v>0.0</v>
      </c>
      <c r="O14" s="121">
        <v>0.0</v>
      </c>
      <c r="P14" s="121">
        <v>0.0</v>
      </c>
      <c r="Q14" s="121">
        <v>0.0</v>
      </c>
      <c r="R14" s="121">
        <v>0.0</v>
      </c>
      <c r="S14" s="121">
        <v>0.0</v>
      </c>
      <c r="T14" s="121">
        <v>0.0</v>
      </c>
      <c r="U14" s="121">
        <v>0.0</v>
      </c>
      <c r="V14" s="121">
        <v>0.0</v>
      </c>
    </row>
    <row r="15">
      <c r="A15" s="122">
        <v>5.0</v>
      </c>
      <c r="B15" s="218">
        <v>0.0</v>
      </c>
      <c r="C15" s="121">
        <v>0.0</v>
      </c>
      <c r="D15" s="121">
        <v>0.0</v>
      </c>
      <c r="E15" s="121">
        <v>0.0</v>
      </c>
      <c r="F15" s="121">
        <v>0.0</v>
      </c>
      <c r="G15" s="121">
        <v>0.0</v>
      </c>
      <c r="H15" s="121">
        <v>0.0</v>
      </c>
      <c r="I15" s="121">
        <v>0.0</v>
      </c>
      <c r="J15" s="121">
        <v>0.0</v>
      </c>
      <c r="K15" s="121">
        <v>0.0</v>
      </c>
      <c r="L15" s="121">
        <v>0.0</v>
      </c>
      <c r="M15" s="121">
        <v>0.0</v>
      </c>
      <c r="N15" s="121">
        <v>0.0</v>
      </c>
      <c r="O15" s="121">
        <v>0.0</v>
      </c>
      <c r="P15" s="121">
        <v>0.0</v>
      </c>
      <c r="Q15" s="121">
        <v>0.0</v>
      </c>
      <c r="R15" s="121">
        <v>0.0</v>
      </c>
      <c r="S15" s="121">
        <v>0.0</v>
      </c>
      <c r="T15" s="121">
        <v>0.0</v>
      </c>
      <c r="U15" s="121">
        <v>0.0</v>
      </c>
      <c r="V15" s="121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5" priority="1" operator="greaterThan">
      <formula>0</formula>
    </cfRule>
  </conditionalFormatting>
  <conditionalFormatting sqref="A11:V15">
    <cfRule type="expression" dxfId="6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44" width="10.88"/>
  </cols>
  <sheetData>
    <row r="1" ht="21.75" customHeight="1">
      <c r="A1" s="79" t="s">
        <v>49</v>
      </c>
      <c r="AH1" s="151" t="s">
        <v>287</v>
      </c>
    </row>
    <row r="2" ht="19.5" customHeight="1">
      <c r="A2" s="112" t="s">
        <v>114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AH2" s="152" t="s">
        <v>160</v>
      </c>
      <c r="AI2" s="170" t="s">
        <v>161</v>
      </c>
    </row>
    <row r="3">
      <c r="A3" s="145" t="s">
        <v>283</v>
      </c>
      <c r="B3" s="146">
        <v>5.0</v>
      </c>
      <c r="AH3" s="152" t="s">
        <v>162</v>
      </c>
      <c r="AI3" s="170" t="s">
        <v>163</v>
      </c>
    </row>
    <row r="4">
      <c r="A4" s="145" t="s">
        <v>284</v>
      </c>
      <c r="B4" s="146">
        <v>1.0</v>
      </c>
    </row>
    <row r="5">
      <c r="A5" s="145" t="s">
        <v>285</v>
      </c>
      <c r="B5" s="146">
        <v>1.0</v>
      </c>
      <c r="AH5" s="157" t="s">
        <v>288</v>
      </c>
      <c r="AI5" s="157" t="s">
        <v>289</v>
      </c>
      <c r="AJ5" s="157" t="s">
        <v>166</v>
      </c>
      <c r="AK5" s="157" t="s">
        <v>290</v>
      </c>
      <c r="AL5" s="157" t="s">
        <v>168</v>
      </c>
      <c r="AM5" s="157" t="s">
        <v>291</v>
      </c>
      <c r="AN5" s="157" t="s">
        <v>170</v>
      </c>
      <c r="AO5" s="157" t="s">
        <v>292</v>
      </c>
      <c r="AP5" s="157" t="s">
        <v>172</v>
      </c>
      <c r="AQ5" s="157" t="s">
        <v>293</v>
      </c>
      <c r="AR5" s="157" t="s">
        <v>174</v>
      </c>
    </row>
    <row r="6">
      <c r="A6" s="145" t="s">
        <v>286</v>
      </c>
      <c r="B6" s="180">
        <v>27.0</v>
      </c>
      <c r="AH6" s="231" t="s">
        <v>49</v>
      </c>
      <c r="AI6" s="159">
        <f t="array" ref="AI6">LET(pos,CHOOSE(MATCH($AI$2,{"p25","p50","p75"},0),SUMIFS(data_event_inst!$K:$K,data_event_inst!$A:$A,"Flock Flurry",data_event_inst!$B:$B,$AI$3,data_event_inst!$C:$C,"0-9"),SUMIFS(data_event_inst!$L:$L,data_event_inst!$A:$A,"Flock Flurry",data_event_inst!$B:$B,$AI$3,data_event_inst!$C:$C,"0-9"),SUMIFS(data_event_inst!$M:$M,data_event_inst!$A:$A,"Flock Flurry",data_event_inst!$B:$B,$AI$3,data_event_inst!$C:$C,"0-9")),IF(pos=0,"n/a",pos))</f>
        <v>3</v>
      </c>
      <c r="AJ6" s="160" t="str">
        <f t="array" ref="AJ6">LET(p,AI6,IF(p="n/a","n/a",IF(p&gt;5,"— (below ladder)",LET(s,INDEX($B$11:$V$15,p,0),b,TEXTJOIN(", ",TRUE,IF(s&gt;0,$B$10:$V$10&amp;": "&amp;ROUND(s,2),"")),IF(b="","{} (rank pays nothing)","{"&amp;b&amp;"}")))))</f>
        <v>{} (rank pays nothing)</v>
      </c>
      <c r="AK6" s="159">
        <f t="array" ref="AK6">LET(pos,CHOOSE(MATCH($AI$2,{"p25","p50","p75"},0),SUMIFS(data_event_inst!$K:$K,data_event_inst!$A:$A,"Flock Flurry",data_event_inst!$B:$B,$AI$3,data_event_inst!$C:$C,"10-19"),SUMIFS(data_event_inst!$L:$L,data_event_inst!$A:$A,"Flock Flurry",data_event_inst!$B:$B,$AI$3,data_event_inst!$C:$C,"10-19"),SUMIFS(data_event_inst!$M:$M,data_event_inst!$A:$A,"Flock Flurry",data_event_inst!$B:$B,$AI$3,data_event_inst!$C:$C,"10-19")),IF(pos=0,"n/a",pos))</f>
        <v>2</v>
      </c>
      <c r="AL6" s="160" t="str">
        <f t="array" ref="AL6">LET(p,AK6,IF(p="n/a","n/a",IF(p&gt;5,"— (below ladder)",LET(s,INDEX($B$11:$V$15,p,0),b,TEXTJOIN(", ",TRUE,IF(s&gt;0,$B$10:$V$10&amp;": "&amp;ROUND(s,2),"")),IF(b="","{} (rank pays nothing)","{"&amp;b&amp;"}")))))</f>
        <v>{} (rank pays nothing)</v>
      </c>
      <c r="AM6" s="159">
        <f t="array" ref="AM6">LET(pos,CHOOSE(MATCH($AI$2,{"p25","p50","p75"},0),SUMIFS(data_event_inst!$K:$K,data_event_inst!$A:$A,"Flock Flurry",data_event_inst!$B:$B,$AI$3,data_event_inst!$C:$C,"20-39"),SUMIFS(data_event_inst!$L:$L,data_event_inst!$A:$A,"Flock Flurry",data_event_inst!$B:$B,$AI$3,data_event_inst!$C:$C,"20-39"),SUMIFS(data_event_inst!$M:$M,data_event_inst!$A:$A,"Flock Flurry",data_event_inst!$B:$B,$AI$3,data_event_inst!$C:$C,"20-39")),IF(pos=0,"n/a",pos))</f>
        <v>2</v>
      </c>
      <c r="AN6" s="160" t="str">
        <f t="array" ref="AN6">LET(p,AM6,IF(p="n/a","n/a",IF(p&gt;5,"— (below ladder)",LET(s,INDEX($B$11:$V$15,p,0),b,TEXTJOIN(", ",TRUE,IF(s&gt;0,$B$10:$V$10&amp;": "&amp;ROUND(s,2),"")),IF(b="","{} (rank pays nothing)","{"&amp;b&amp;"}")))))</f>
        <v>{} (rank pays nothing)</v>
      </c>
      <c r="AO6" s="159">
        <f t="array" ref="AO6">LET(pos,CHOOSE(MATCH($AI$2,{"p25","p50","p75"},0),SUMIFS(data_event_inst!$K:$K,data_event_inst!$A:$A,"Flock Flurry",data_event_inst!$B:$B,$AI$3,data_event_inst!$C:$C,"40-99"),SUMIFS(data_event_inst!$L:$L,data_event_inst!$A:$A,"Flock Flurry",data_event_inst!$B:$B,$AI$3,data_event_inst!$C:$C,"40-99"),SUMIFS(data_event_inst!$M:$M,data_event_inst!$A:$A,"Flock Flurry",data_event_inst!$B:$B,$AI$3,data_event_inst!$C:$C,"40-99")),IF(pos=0,"n/a",pos))</f>
        <v>1</v>
      </c>
      <c r="AP6" s="160" t="str">
        <f t="array" ref="AP6">LET(p,AO6,IF(p="n/a","n/a",IF(p&gt;5,"— (below ladder)",LET(s,INDEX($B$11:$V$15,p,0),b,TEXTJOIN(", ",TRUE,IF(s&gt;0,$B$10:$V$10&amp;": "&amp;ROUND(s,2),"")),IF(b="","{} (rank pays nothing)","{"&amp;b&amp;"}")))))</f>
        <v>{SPT: 20, Red: 1, Chuck: 1, Bomb: 1, Slingshot: 1}</v>
      </c>
      <c r="AQ6" s="159">
        <f t="array" ref="AQ6">LET(pos,CHOOSE(MATCH($AI$2,{"p25","p50","p75"},0),SUMIFS(data_event_inst!$K:$K,data_event_inst!$A:$A,"Flock Flurry",data_event_inst!$B:$B,$AI$3,data_event_inst!$C:$C,"100+"),SUMIFS(data_event_inst!$L:$L,data_event_inst!$A:$A,"Flock Flurry",data_event_inst!$B:$B,$AI$3,data_event_inst!$C:$C,"100+"),SUMIFS(data_event_inst!$M:$M,data_event_inst!$A:$A,"Flock Flurry",data_event_inst!$B:$B,$AI$3,data_event_inst!$C:$C,"100+")),IF(pos=0,"n/a",pos))</f>
        <v>1</v>
      </c>
      <c r="AR6" s="160" t="str">
        <f t="array" ref="AR6">LET(p,AQ6,IF(p="n/a","n/a",IF(p&gt;5,"— (below ladder)",LET(s,INDEX($B$11:$V$15,p,0),b,TEXTJOIN(", ",TRUE,IF(s&gt;0,$B$10:$V$10&amp;": "&amp;ROUND(s,2),"")),IF(b="","{} (rank pays nothing)","{"&amp;b&amp;"}")))))</f>
        <v>{SPT: 20, Red: 1, Chuck: 1, Bomb: 1, Slingshot: 1}</v>
      </c>
    </row>
    <row r="7">
      <c r="A7" s="145" t="s">
        <v>190</v>
      </c>
      <c r="B7" s="180">
        <v>1.0</v>
      </c>
    </row>
    <row r="8">
      <c r="AH8" s="176" t="s">
        <v>294</v>
      </c>
    </row>
    <row r="9" ht="19.5" customHeight="1">
      <c r="A9" s="112" t="s">
        <v>116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AH9" s="176" t="s">
        <v>295</v>
      </c>
    </row>
    <row r="10" ht="90.0" customHeight="1">
      <c r="A10" s="117" t="s">
        <v>216</v>
      </c>
      <c r="B10" s="217" t="s">
        <v>82</v>
      </c>
      <c r="C10" s="119" t="s">
        <v>68</v>
      </c>
      <c r="D10" s="119" t="s">
        <v>103</v>
      </c>
      <c r="E10" s="119" t="s">
        <v>69</v>
      </c>
      <c r="F10" s="119" t="s">
        <v>70</v>
      </c>
      <c r="G10" s="119" t="s">
        <v>71</v>
      </c>
      <c r="H10" s="119" t="s">
        <v>72</v>
      </c>
      <c r="I10" s="119" t="s">
        <v>73</v>
      </c>
      <c r="J10" s="119" t="s">
        <v>74</v>
      </c>
      <c r="K10" s="119" t="s">
        <v>75</v>
      </c>
      <c r="L10" s="119" t="s">
        <v>76</v>
      </c>
      <c r="M10" s="119" t="s">
        <v>77</v>
      </c>
      <c r="N10" s="119" t="s">
        <v>78</v>
      </c>
      <c r="O10" s="119" t="s">
        <v>118</v>
      </c>
      <c r="P10" s="119" t="s">
        <v>104</v>
      </c>
      <c r="Q10" s="119" t="s">
        <v>105</v>
      </c>
      <c r="R10" s="119" t="s">
        <v>106</v>
      </c>
      <c r="S10" s="119" t="s">
        <v>107</v>
      </c>
      <c r="T10" s="119" t="s">
        <v>108</v>
      </c>
      <c r="U10" s="119" t="s">
        <v>109</v>
      </c>
      <c r="V10" s="119" t="s">
        <v>110</v>
      </c>
      <c r="AH10" s="232" t="s">
        <v>296</v>
      </c>
    </row>
    <row r="11">
      <c r="A11" s="122">
        <v>1.0</v>
      </c>
      <c r="B11" s="218">
        <v>0.0</v>
      </c>
      <c r="C11" s="121">
        <v>20.0</v>
      </c>
      <c r="D11" s="121">
        <v>0.0</v>
      </c>
      <c r="E11" s="121">
        <v>1.0</v>
      </c>
      <c r="F11" s="121">
        <v>1.0</v>
      </c>
      <c r="G11" s="121">
        <v>1.0</v>
      </c>
      <c r="H11" s="121">
        <v>1.0</v>
      </c>
      <c r="I11" s="121">
        <v>0.0</v>
      </c>
      <c r="J11" s="121">
        <v>0.0</v>
      </c>
      <c r="K11" s="121">
        <v>0.0</v>
      </c>
      <c r="L11" s="121">
        <v>0.0</v>
      </c>
      <c r="M11" s="121">
        <v>0.0</v>
      </c>
      <c r="N11" s="121">
        <v>0.0</v>
      </c>
      <c r="O11" s="121">
        <v>0.0</v>
      </c>
      <c r="P11" s="121">
        <v>0.0</v>
      </c>
      <c r="Q11" s="121">
        <v>0.0</v>
      </c>
      <c r="R11" s="121">
        <v>0.0</v>
      </c>
      <c r="S11" s="121">
        <v>0.0</v>
      </c>
      <c r="T11" s="121">
        <v>0.0</v>
      </c>
      <c r="U11" s="121">
        <v>0.0</v>
      </c>
      <c r="V11" s="121">
        <v>0.0</v>
      </c>
    </row>
    <row r="12">
      <c r="A12" s="122">
        <v>2.0</v>
      </c>
      <c r="B12" s="218">
        <v>0.0</v>
      </c>
      <c r="C12" s="121">
        <v>0.0</v>
      </c>
      <c r="D12" s="121">
        <v>0.0</v>
      </c>
      <c r="E12" s="121">
        <v>0.0</v>
      </c>
      <c r="F12" s="121">
        <v>0.0</v>
      </c>
      <c r="G12" s="121">
        <v>0.0</v>
      </c>
      <c r="H12" s="121">
        <v>0.0</v>
      </c>
      <c r="I12" s="121">
        <v>0.0</v>
      </c>
      <c r="J12" s="121">
        <v>0.0</v>
      </c>
      <c r="K12" s="121">
        <v>0.0</v>
      </c>
      <c r="L12" s="121">
        <v>0.0</v>
      </c>
      <c r="M12" s="121">
        <v>0.0</v>
      </c>
      <c r="N12" s="121">
        <v>0.0</v>
      </c>
      <c r="O12" s="121">
        <v>0.0</v>
      </c>
      <c r="P12" s="121">
        <v>0.0</v>
      </c>
      <c r="Q12" s="121">
        <v>0.0</v>
      </c>
      <c r="R12" s="121">
        <v>0.0</v>
      </c>
      <c r="S12" s="121">
        <v>0.0</v>
      </c>
      <c r="T12" s="121">
        <v>0.0</v>
      </c>
      <c r="U12" s="121">
        <v>0.0</v>
      </c>
      <c r="V12" s="121">
        <v>0.0</v>
      </c>
    </row>
    <row r="13">
      <c r="A13" s="122">
        <v>3.0</v>
      </c>
      <c r="B13" s="218">
        <v>0.0</v>
      </c>
      <c r="C13" s="121">
        <v>0.0</v>
      </c>
      <c r="D13" s="121">
        <v>0.0</v>
      </c>
      <c r="E13" s="121">
        <v>0.0</v>
      </c>
      <c r="F13" s="121">
        <v>0.0</v>
      </c>
      <c r="G13" s="121">
        <v>0.0</v>
      </c>
      <c r="H13" s="121">
        <v>0.0</v>
      </c>
      <c r="I13" s="121">
        <v>0.0</v>
      </c>
      <c r="J13" s="121">
        <v>0.0</v>
      </c>
      <c r="K13" s="121">
        <v>0.0</v>
      </c>
      <c r="L13" s="121">
        <v>0.0</v>
      </c>
      <c r="M13" s="121">
        <v>0.0</v>
      </c>
      <c r="N13" s="121">
        <v>0.0</v>
      </c>
      <c r="O13" s="121">
        <v>0.0</v>
      </c>
      <c r="P13" s="121">
        <v>0.0</v>
      </c>
      <c r="Q13" s="121">
        <v>0.0</v>
      </c>
      <c r="R13" s="121">
        <v>0.0</v>
      </c>
      <c r="S13" s="121">
        <v>0.0</v>
      </c>
      <c r="T13" s="121">
        <v>0.0</v>
      </c>
      <c r="U13" s="121">
        <v>0.0</v>
      </c>
      <c r="V13" s="121">
        <v>0.0</v>
      </c>
    </row>
    <row r="14">
      <c r="A14" s="122">
        <v>4.0</v>
      </c>
      <c r="B14" s="218">
        <v>0.0</v>
      </c>
      <c r="C14" s="121">
        <v>0.0</v>
      </c>
      <c r="D14" s="121">
        <v>0.0</v>
      </c>
      <c r="E14" s="121">
        <v>0.0</v>
      </c>
      <c r="F14" s="121">
        <v>0.0</v>
      </c>
      <c r="G14" s="121">
        <v>0.0</v>
      </c>
      <c r="H14" s="121">
        <v>0.0</v>
      </c>
      <c r="I14" s="121">
        <v>0.0</v>
      </c>
      <c r="J14" s="121">
        <v>0.0</v>
      </c>
      <c r="K14" s="121">
        <v>0.0</v>
      </c>
      <c r="L14" s="121">
        <v>0.0</v>
      </c>
      <c r="M14" s="121">
        <v>0.0</v>
      </c>
      <c r="N14" s="121">
        <v>0.0</v>
      </c>
      <c r="O14" s="121">
        <v>0.0</v>
      </c>
      <c r="P14" s="121">
        <v>0.0</v>
      </c>
      <c r="Q14" s="121">
        <v>0.0</v>
      </c>
      <c r="R14" s="121">
        <v>0.0</v>
      </c>
      <c r="S14" s="121">
        <v>0.0</v>
      </c>
      <c r="T14" s="121">
        <v>0.0</v>
      </c>
      <c r="U14" s="121">
        <v>0.0</v>
      </c>
      <c r="V14" s="121">
        <v>0.0</v>
      </c>
    </row>
    <row r="15">
      <c r="A15" s="122">
        <v>5.0</v>
      </c>
      <c r="B15" s="218">
        <v>0.0</v>
      </c>
      <c r="C15" s="121">
        <v>0.0</v>
      </c>
      <c r="D15" s="121">
        <v>0.0</v>
      </c>
      <c r="E15" s="121">
        <v>0.0</v>
      </c>
      <c r="F15" s="121">
        <v>0.0</v>
      </c>
      <c r="G15" s="121">
        <v>0.0</v>
      </c>
      <c r="H15" s="121">
        <v>0.0</v>
      </c>
      <c r="I15" s="121">
        <v>0.0</v>
      </c>
      <c r="J15" s="121">
        <v>0.0</v>
      </c>
      <c r="K15" s="121">
        <v>0.0</v>
      </c>
      <c r="L15" s="121">
        <v>0.0</v>
      </c>
      <c r="M15" s="121">
        <v>0.0</v>
      </c>
      <c r="N15" s="121">
        <v>0.0</v>
      </c>
      <c r="O15" s="121">
        <v>0.0</v>
      </c>
      <c r="P15" s="121">
        <v>0.0</v>
      </c>
      <c r="Q15" s="121">
        <v>0.0</v>
      </c>
      <c r="R15" s="121">
        <v>0.0</v>
      </c>
      <c r="S15" s="121">
        <v>0.0</v>
      </c>
      <c r="T15" s="121">
        <v>0.0</v>
      </c>
      <c r="U15" s="121">
        <v>0.0</v>
      </c>
      <c r="V15" s="12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5" priority="1" operator="greaterThan">
      <formula>0</formula>
    </cfRule>
  </conditionalFormatting>
  <conditionalFormatting sqref="A11:V15">
    <cfRule type="expression" dxfId="6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6" width="8.63"/>
  </cols>
  <sheetData>
    <row r="1" ht="21.75" customHeight="1">
      <c r="A1" s="79" t="s">
        <v>297</v>
      </c>
    </row>
    <row r="3" ht="19.5" customHeight="1">
      <c r="A3" s="111" t="s">
        <v>298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</row>
    <row r="4">
      <c r="A4" s="145" t="s">
        <v>299</v>
      </c>
      <c r="B4" s="146">
        <v>10.0</v>
      </c>
    </row>
    <row r="5">
      <c r="A5" s="145" t="s">
        <v>300</v>
      </c>
      <c r="B5" s="146">
        <v>10.0</v>
      </c>
    </row>
    <row r="6">
      <c r="A6" s="145" t="s">
        <v>152</v>
      </c>
      <c r="B6" s="180">
        <v>1.0</v>
      </c>
    </row>
    <row r="8" ht="19.5" customHeight="1">
      <c r="A8" s="111" t="s">
        <v>301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</row>
    <row r="9" ht="90.0" customHeight="1">
      <c r="A9" s="117" t="s">
        <v>216</v>
      </c>
      <c r="B9" s="217" t="s">
        <v>82</v>
      </c>
      <c r="C9" s="119" t="s">
        <v>68</v>
      </c>
      <c r="D9" s="119" t="s">
        <v>103</v>
      </c>
      <c r="E9" s="119" t="s">
        <v>69</v>
      </c>
      <c r="F9" s="119" t="s">
        <v>70</v>
      </c>
      <c r="G9" s="119" t="s">
        <v>71</v>
      </c>
      <c r="H9" s="119" t="s">
        <v>72</v>
      </c>
      <c r="I9" s="119" t="s">
        <v>73</v>
      </c>
      <c r="J9" s="119" t="s">
        <v>74</v>
      </c>
      <c r="K9" s="119" t="s">
        <v>75</v>
      </c>
      <c r="L9" s="119" t="s">
        <v>76</v>
      </c>
      <c r="M9" s="119" t="s">
        <v>77</v>
      </c>
      <c r="N9" s="119" t="s">
        <v>78</v>
      </c>
      <c r="O9" s="119" t="s">
        <v>118</v>
      </c>
      <c r="P9" s="119" t="s">
        <v>104</v>
      </c>
      <c r="Q9" s="119" t="s">
        <v>105</v>
      </c>
      <c r="R9" s="119" t="s">
        <v>106</v>
      </c>
      <c r="S9" s="119" t="s">
        <v>107</v>
      </c>
      <c r="T9" s="119" t="s">
        <v>108</v>
      </c>
      <c r="U9" s="119" t="s">
        <v>109</v>
      </c>
      <c r="V9" s="119" t="s">
        <v>110</v>
      </c>
    </row>
    <row r="10">
      <c r="A10" s="122">
        <v>1.0</v>
      </c>
      <c r="B10" s="218">
        <v>200.0</v>
      </c>
      <c r="C10" s="121">
        <v>0.0</v>
      </c>
      <c r="D10" s="121">
        <v>0.0</v>
      </c>
      <c r="E10" s="121">
        <v>0.0</v>
      </c>
      <c r="F10" s="121">
        <v>0.0</v>
      </c>
      <c r="G10" s="121">
        <v>0.0</v>
      </c>
      <c r="H10" s="121">
        <v>0.0</v>
      </c>
      <c r="I10" s="121">
        <v>0.0</v>
      </c>
      <c r="J10" s="121">
        <v>1.0</v>
      </c>
      <c r="K10" s="121">
        <v>0.0</v>
      </c>
      <c r="L10" s="121">
        <v>0.0</v>
      </c>
      <c r="M10" s="121">
        <v>0.0</v>
      </c>
      <c r="N10" s="121">
        <v>0.0</v>
      </c>
      <c r="O10" s="121">
        <v>0.0</v>
      </c>
      <c r="P10" s="121">
        <v>0.0</v>
      </c>
      <c r="Q10" s="121">
        <v>0.0</v>
      </c>
      <c r="R10" s="121">
        <v>0.0</v>
      </c>
      <c r="S10" s="121">
        <v>0.0</v>
      </c>
      <c r="T10" s="121">
        <v>0.0</v>
      </c>
      <c r="U10" s="121">
        <v>0.0</v>
      </c>
      <c r="V10" s="121">
        <v>0.0</v>
      </c>
    </row>
    <row r="11">
      <c r="A11" s="122">
        <v>2.0</v>
      </c>
      <c r="B11" s="218">
        <v>100.0</v>
      </c>
      <c r="C11" s="121">
        <v>0.0</v>
      </c>
      <c r="D11" s="121">
        <v>0.0</v>
      </c>
      <c r="E11" s="121">
        <v>0.0</v>
      </c>
      <c r="F11" s="121">
        <v>0.0</v>
      </c>
      <c r="G11" s="121">
        <v>0.0</v>
      </c>
      <c r="H11" s="121">
        <v>0.0</v>
      </c>
      <c r="I11" s="121">
        <v>1.0</v>
      </c>
      <c r="J11" s="121">
        <v>0.0</v>
      </c>
      <c r="K11" s="121">
        <v>0.0</v>
      </c>
      <c r="L11" s="121">
        <v>0.0</v>
      </c>
      <c r="M11" s="121">
        <v>0.0</v>
      </c>
      <c r="N11" s="121">
        <v>0.0</v>
      </c>
      <c r="O11" s="121">
        <v>0.0</v>
      </c>
      <c r="P11" s="121">
        <v>0.0</v>
      </c>
      <c r="Q11" s="121">
        <v>0.0</v>
      </c>
      <c r="R11" s="121">
        <v>0.0</v>
      </c>
      <c r="S11" s="121">
        <v>0.0</v>
      </c>
      <c r="T11" s="121">
        <v>0.0</v>
      </c>
      <c r="U11" s="121">
        <v>0.0</v>
      </c>
      <c r="V11" s="121">
        <v>0.0</v>
      </c>
    </row>
    <row r="12">
      <c r="A12" s="122">
        <v>3.0</v>
      </c>
      <c r="B12" s="218">
        <v>50.0</v>
      </c>
      <c r="C12" s="121">
        <v>0.0</v>
      </c>
      <c r="D12" s="121">
        <v>0.0</v>
      </c>
      <c r="E12" s="121">
        <v>0.0</v>
      </c>
      <c r="F12" s="121">
        <v>0.0</v>
      </c>
      <c r="G12" s="121">
        <v>0.0</v>
      </c>
      <c r="H12" s="121">
        <v>0.0</v>
      </c>
      <c r="I12" s="121">
        <v>1.0</v>
      </c>
      <c r="J12" s="121">
        <v>0.0</v>
      </c>
      <c r="K12" s="121">
        <v>0.0</v>
      </c>
      <c r="L12" s="121">
        <v>0.0</v>
      </c>
      <c r="M12" s="121">
        <v>0.0</v>
      </c>
      <c r="N12" s="121">
        <v>0.0</v>
      </c>
      <c r="O12" s="121">
        <v>0.0</v>
      </c>
      <c r="P12" s="121">
        <v>0.0</v>
      </c>
      <c r="Q12" s="121">
        <v>0.0</v>
      </c>
      <c r="R12" s="121">
        <v>0.0</v>
      </c>
      <c r="S12" s="121">
        <v>0.0</v>
      </c>
      <c r="T12" s="121">
        <v>0.0</v>
      </c>
      <c r="U12" s="121">
        <v>0.0</v>
      </c>
      <c r="V12" s="121">
        <v>0.0</v>
      </c>
    </row>
    <row r="13">
      <c r="A13" s="122">
        <v>4.0</v>
      </c>
      <c r="B13" s="218">
        <v>0.0</v>
      </c>
      <c r="C13" s="121">
        <v>0.0</v>
      </c>
      <c r="D13" s="121">
        <v>0.0</v>
      </c>
      <c r="E13" s="121">
        <v>0.0</v>
      </c>
      <c r="F13" s="121">
        <v>0.0</v>
      </c>
      <c r="G13" s="121">
        <v>0.0</v>
      </c>
      <c r="H13" s="121">
        <v>0.0</v>
      </c>
      <c r="I13" s="121">
        <v>1.0</v>
      </c>
      <c r="J13" s="121">
        <v>0.0</v>
      </c>
      <c r="K13" s="121">
        <v>0.0</v>
      </c>
      <c r="L13" s="121">
        <v>0.0</v>
      </c>
      <c r="M13" s="121">
        <v>0.0</v>
      </c>
      <c r="N13" s="121">
        <v>0.0</v>
      </c>
      <c r="O13" s="121">
        <v>0.0</v>
      </c>
      <c r="P13" s="121">
        <v>0.0</v>
      </c>
      <c r="Q13" s="121">
        <v>0.0</v>
      </c>
      <c r="R13" s="121">
        <v>0.0</v>
      </c>
      <c r="S13" s="121">
        <v>0.0</v>
      </c>
      <c r="T13" s="121">
        <v>0.0</v>
      </c>
      <c r="U13" s="121">
        <v>0.0</v>
      </c>
      <c r="V13" s="121">
        <v>0.0</v>
      </c>
    </row>
    <row r="14">
      <c r="A14" s="122">
        <v>5.0</v>
      </c>
      <c r="B14" s="218">
        <v>0.0</v>
      </c>
      <c r="C14" s="121">
        <v>0.0</v>
      </c>
      <c r="D14" s="121">
        <v>0.0</v>
      </c>
      <c r="E14" s="121">
        <v>0.0</v>
      </c>
      <c r="F14" s="121">
        <v>0.0</v>
      </c>
      <c r="G14" s="121">
        <v>0.0</v>
      </c>
      <c r="H14" s="121">
        <v>0.0</v>
      </c>
      <c r="I14" s="121">
        <v>1.0</v>
      </c>
      <c r="J14" s="121">
        <v>0.0</v>
      </c>
      <c r="K14" s="121">
        <v>0.0</v>
      </c>
      <c r="L14" s="121">
        <v>0.0</v>
      </c>
      <c r="M14" s="121">
        <v>0.0</v>
      </c>
      <c r="N14" s="121">
        <v>0.0</v>
      </c>
      <c r="O14" s="121">
        <v>0.0</v>
      </c>
      <c r="P14" s="121">
        <v>0.0</v>
      </c>
      <c r="Q14" s="121">
        <v>0.0</v>
      </c>
      <c r="R14" s="121">
        <v>0.0</v>
      </c>
      <c r="S14" s="121">
        <v>0.0</v>
      </c>
      <c r="T14" s="121">
        <v>0.0</v>
      </c>
      <c r="U14" s="121">
        <v>0.0</v>
      </c>
      <c r="V14" s="121">
        <v>0.0</v>
      </c>
    </row>
    <row r="15">
      <c r="A15" s="122">
        <v>6.0</v>
      </c>
      <c r="B15" s="218">
        <v>0.0</v>
      </c>
      <c r="C15" s="121">
        <v>0.0</v>
      </c>
      <c r="D15" s="121">
        <v>0.0</v>
      </c>
      <c r="E15" s="121">
        <v>0.0</v>
      </c>
      <c r="F15" s="121">
        <v>0.0</v>
      </c>
      <c r="G15" s="121">
        <v>0.0</v>
      </c>
      <c r="H15" s="121">
        <v>1.0</v>
      </c>
      <c r="I15" s="121">
        <v>0.0</v>
      </c>
      <c r="J15" s="121">
        <v>0.0</v>
      </c>
      <c r="K15" s="121">
        <v>0.0</v>
      </c>
      <c r="L15" s="121">
        <v>0.0</v>
      </c>
      <c r="M15" s="121">
        <v>0.0</v>
      </c>
      <c r="N15" s="121">
        <v>0.0</v>
      </c>
      <c r="O15" s="121">
        <v>0.0</v>
      </c>
      <c r="P15" s="121">
        <v>0.0</v>
      </c>
      <c r="Q15" s="121">
        <v>0.0</v>
      </c>
      <c r="R15" s="121">
        <v>0.0</v>
      </c>
      <c r="S15" s="121">
        <v>0.0</v>
      </c>
      <c r="T15" s="121">
        <v>0.0</v>
      </c>
      <c r="U15" s="121">
        <v>0.0</v>
      </c>
      <c r="V15" s="121">
        <v>0.0</v>
      </c>
    </row>
    <row r="16">
      <c r="A16" s="122">
        <v>7.0</v>
      </c>
      <c r="B16" s="218">
        <v>0.0</v>
      </c>
      <c r="C16" s="121">
        <v>0.0</v>
      </c>
      <c r="D16" s="121">
        <v>0.0</v>
      </c>
      <c r="E16" s="121">
        <v>0.0</v>
      </c>
      <c r="F16" s="121">
        <v>0.0</v>
      </c>
      <c r="G16" s="121">
        <v>0.0</v>
      </c>
      <c r="H16" s="121">
        <v>1.0</v>
      </c>
      <c r="I16" s="121">
        <v>0.0</v>
      </c>
      <c r="J16" s="121">
        <v>0.0</v>
      </c>
      <c r="K16" s="121">
        <v>0.0</v>
      </c>
      <c r="L16" s="121">
        <v>0.0</v>
      </c>
      <c r="M16" s="121">
        <v>0.0</v>
      </c>
      <c r="N16" s="121">
        <v>0.0</v>
      </c>
      <c r="O16" s="121">
        <v>0.0</v>
      </c>
      <c r="P16" s="121">
        <v>0.0</v>
      </c>
      <c r="Q16" s="121">
        <v>0.0</v>
      </c>
      <c r="R16" s="121">
        <v>0.0</v>
      </c>
      <c r="S16" s="121">
        <v>0.0</v>
      </c>
      <c r="T16" s="121">
        <v>0.0</v>
      </c>
      <c r="U16" s="121">
        <v>0.0</v>
      </c>
      <c r="V16" s="121">
        <v>0.0</v>
      </c>
    </row>
    <row r="17">
      <c r="A17" s="122">
        <v>8.0</v>
      </c>
      <c r="B17" s="218">
        <v>0.0</v>
      </c>
      <c r="C17" s="121">
        <v>0.0</v>
      </c>
      <c r="D17" s="121">
        <v>0.0</v>
      </c>
      <c r="E17" s="121">
        <v>0.0</v>
      </c>
      <c r="F17" s="121">
        <v>0.0</v>
      </c>
      <c r="G17" s="121">
        <v>0.0</v>
      </c>
      <c r="H17" s="121">
        <v>1.0</v>
      </c>
      <c r="I17" s="121">
        <v>0.0</v>
      </c>
      <c r="J17" s="121">
        <v>0.0</v>
      </c>
      <c r="K17" s="121">
        <v>0.0</v>
      </c>
      <c r="L17" s="121">
        <v>0.0</v>
      </c>
      <c r="M17" s="121">
        <v>0.0</v>
      </c>
      <c r="N17" s="121">
        <v>0.0</v>
      </c>
      <c r="O17" s="121">
        <v>0.0</v>
      </c>
      <c r="P17" s="121">
        <v>0.0</v>
      </c>
      <c r="Q17" s="121">
        <v>0.0</v>
      </c>
      <c r="R17" s="121">
        <v>0.0</v>
      </c>
      <c r="S17" s="121">
        <v>0.0</v>
      </c>
      <c r="T17" s="121">
        <v>0.0</v>
      </c>
      <c r="U17" s="121">
        <v>0.0</v>
      </c>
      <c r="V17" s="121">
        <v>0.0</v>
      </c>
    </row>
    <row r="18">
      <c r="A18" s="122">
        <v>9.0</v>
      </c>
      <c r="B18" s="218">
        <v>0.0</v>
      </c>
      <c r="C18" s="121">
        <v>0.0</v>
      </c>
      <c r="D18" s="121">
        <v>0.0</v>
      </c>
      <c r="E18" s="121">
        <v>0.0</v>
      </c>
      <c r="F18" s="121">
        <v>0.0</v>
      </c>
      <c r="G18" s="121">
        <v>0.0</v>
      </c>
      <c r="H18" s="121">
        <v>1.0</v>
      </c>
      <c r="I18" s="121">
        <v>0.0</v>
      </c>
      <c r="J18" s="121">
        <v>0.0</v>
      </c>
      <c r="K18" s="121">
        <v>0.0</v>
      </c>
      <c r="L18" s="121">
        <v>0.0</v>
      </c>
      <c r="M18" s="121">
        <v>0.0</v>
      </c>
      <c r="N18" s="121">
        <v>0.0</v>
      </c>
      <c r="O18" s="121">
        <v>0.0</v>
      </c>
      <c r="P18" s="121">
        <v>0.0</v>
      </c>
      <c r="Q18" s="121">
        <v>0.0</v>
      </c>
      <c r="R18" s="121">
        <v>0.0</v>
      </c>
      <c r="S18" s="121">
        <v>0.0</v>
      </c>
      <c r="T18" s="121">
        <v>0.0</v>
      </c>
      <c r="U18" s="121">
        <v>0.0</v>
      </c>
      <c r="V18" s="121">
        <v>0.0</v>
      </c>
    </row>
    <row r="19">
      <c r="A19" s="122">
        <v>10.0</v>
      </c>
      <c r="B19" s="218">
        <v>0.0</v>
      </c>
      <c r="C19" s="121">
        <v>0.0</v>
      </c>
      <c r="D19" s="121">
        <v>0.0</v>
      </c>
      <c r="E19" s="121">
        <v>0.0</v>
      </c>
      <c r="F19" s="121">
        <v>0.0</v>
      </c>
      <c r="G19" s="121">
        <v>0.0</v>
      </c>
      <c r="H19" s="121">
        <v>1.0</v>
      </c>
      <c r="I19" s="121">
        <v>0.0</v>
      </c>
      <c r="J19" s="121">
        <v>0.0</v>
      </c>
      <c r="K19" s="121">
        <v>0.0</v>
      </c>
      <c r="L19" s="121">
        <v>0.0</v>
      </c>
      <c r="M19" s="121">
        <v>0.0</v>
      </c>
      <c r="N19" s="121">
        <v>0.0</v>
      </c>
      <c r="O19" s="121">
        <v>0.0</v>
      </c>
      <c r="P19" s="121">
        <v>0.0</v>
      </c>
      <c r="Q19" s="121">
        <v>0.0</v>
      </c>
      <c r="R19" s="121">
        <v>0.0</v>
      </c>
      <c r="S19" s="121">
        <v>0.0</v>
      </c>
      <c r="T19" s="121">
        <v>0.0</v>
      </c>
      <c r="U19" s="121">
        <v>0.0</v>
      </c>
      <c r="V19" s="121">
        <v>0.0</v>
      </c>
    </row>
    <row r="21" ht="19.5" customHeight="1">
      <c r="A21" s="111" t="s">
        <v>302</v>
      </c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</row>
    <row r="22" ht="15.75" customHeight="1">
      <c r="A22" s="145" t="s">
        <v>299</v>
      </c>
      <c r="B22" s="146">
        <v>10.0</v>
      </c>
    </row>
    <row r="23" ht="15.75" customHeight="1">
      <c r="A23" s="145" t="s">
        <v>300</v>
      </c>
      <c r="B23" s="146">
        <v>10.0</v>
      </c>
    </row>
    <row r="24" ht="15.75" customHeight="1">
      <c r="A24" s="145" t="s">
        <v>152</v>
      </c>
      <c r="B24" s="180">
        <v>1.0</v>
      </c>
    </row>
    <row r="25" ht="15.75" customHeight="1"/>
    <row r="26" ht="19.5" customHeight="1">
      <c r="A26" s="111" t="s">
        <v>303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</row>
    <row r="27" ht="90.0" customHeight="1">
      <c r="A27" s="117" t="s">
        <v>216</v>
      </c>
      <c r="B27" s="217" t="s">
        <v>82</v>
      </c>
      <c r="C27" s="119" t="s">
        <v>68</v>
      </c>
      <c r="D27" s="119" t="s">
        <v>103</v>
      </c>
      <c r="E27" s="119" t="s">
        <v>69</v>
      </c>
      <c r="F27" s="119" t="s">
        <v>70</v>
      </c>
      <c r="G27" s="119" t="s">
        <v>71</v>
      </c>
      <c r="H27" s="119" t="s">
        <v>72</v>
      </c>
      <c r="I27" s="119" t="s">
        <v>73</v>
      </c>
      <c r="J27" s="119" t="s">
        <v>74</v>
      </c>
      <c r="K27" s="119" t="s">
        <v>75</v>
      </c>
      <c r="L27" s="119" t="s">
        <v>76</v>
      </c>
      <c r="M27" s="119" t="s">
        <v>77</v>
      </c>
      <c r="N27" s="119" t="s">
        <v>78</v>
      </c>
      <c r="O27" s="119" t="s">
        <v>118</v>
      </c>
      <c r="P27" s="119" t="s">
        <v>104</v>
      </c>
      <c r="Q27" s="119" t="s">
        <v>105</v>
      </c>
      <c r="R27" s="119" t="s">
        <v>106</v>
      </c>
      <c r="S27" s="119" t="s">
        <v>107</v>
      </c>
      <c r="T27" s="119" t="s">
        <v>108</v>
      </c>
      <c r="U27" s="119" t="s">
        <v>109</v>
      </c>
      <c r="V27" s="119" t="s">
        <v>110</v>
      </c>
    </row>
    <row r="28" ht="15.75" customHeight="1">
      <c r="A28" s="122">
        <v>1.0</v>
      </c>
      <c r="B28" s="218">
        <v>200.0</v>
      </c>
      <c r="C28" s="121">
        <v>0.0</v>
      </c>
      <c r="D28" s="121">
        <v>0.0</v>
      </c>
      <c r="E28" s="121">
        <v>0.0</v>
      </c>
      <c r="F28" s="121">
        <v>0.0</v>
      </c>
      <c r="G28" s="121">
        <v>0.0</v>
      </c>
      <c r="H28" s="121">
        <v>0.0</v>
      </c>
      <c r="I28" s="121">
        <v>0.0</v>
      </c>
      <c r="J28" s="121">
        <v>1.0</v>
      </c>
      <c r="K28" s="121">
        <v>0.0</v>
      </c>
      <c r="L28" s="121">
        <v>0.0</v>
      </c>
      <c r="M28" s="121">
        <v>0.0</v>
      </c>
      <c r="N28" s="121">
        <v>0.0</v>
      </c>
      <c r="O28" s="121">
        <v>0.0</v>
      </c>
      <c r="P28" s="121">
        <v>0.0</v>
      </c>
      <c r="Q28" s="121">
        <v>0.0</v>
      </c>
      <c r="R28" s="121">
        <v>0.0</v>
      </c>
      <c r="S28" s="121">
        <v>0.0</v>
      </c>
      <c r="T28" s="121">
        <v>0.0</v>
      </c>
      <c r="U28" s="121">
        <v>0.0</v>
      </c>
      <c r="V28" s="121">
        <v>0.0</v>
      </c>
    </row>
    <row r="29" ht="15.75" customHeight="1">
      <c r="A29" s="122">
        <v>2.0</v>
      </c>
      <c r="B29" s="218">
        <v>100.0</v>
      </c>
      <c r="C29" s="121">
        <v>0.0</v>
      </c>
      <c r="D29" s="121">
        <v>0.0</v>
      </c>
      <c r="E29" s="121">
        <v>0.0</v>
      </c>
      <c r="F29" s="121">
        <v>0.0</v>
      </c>
      <c r="G29" s="121">
        <v>0.0</v>
      </c>
      <c r="H29" s="121">
        <v>0.0</v>
      </c>
      <c r="I29" s="121">
        <v>1.0</v>
      </c>
      <c r="J29" s="121">
        <v>0.0</v>
      </c>
      <c r="K29" s="121">
        <v>0.0</v>
      </c>
      <c r="L29" s="121">
        <v>0.0</v>
      </c>
      <c r="M29" s="121">
        <v>0.0</v>
      </c>
      <c r="N29" s="121">
        <v>0.0</v>
      </c>
      <c r="O29" s="121">
        <v>0.0</v>
      </c>
      <c r="P29" s="121">
        <v>0.0</v>
      </c>
      <c r="Q29" s="121">
        <v>0.0</v>
      </c>
      <c r="R29" s="121">
        <v>0.0</v>
      </c>
      <c r="S29" s="121">
        <v>0.0</v>
      </c>
      <c r="T29" s="121">
        <v>0.0</v>
      </c>
      <c r="U29" s="121">
        <v>0.0</v>
      </c>
      <c r="V29" s="121">
        <v>0.0</v>
      </c>
    </row>
    <row r="30" ht="15.75" customHeight="1">
      <c r="A30" s="122">
        <v>3.0</v>
      </c>
      <c r="B30" s="218">
        <v>50.0</v>
      </c>
      <c r="C30" s="121">
        <v>0.0</v>
      </c>
      <c r="D30" s="121">
        <v>0.0</v>
      </c>
      <c r="E30" s="121">
        <v>0.0</v>
      </c>
      <c r="F30" s="121">
        <v>0.0</v>
      </c>
      <c r="G30" s="121">
        <v>0.0</v>
      </c>
      <c r="H30" s="121">
        <v>0.0</v>
      </c>
      <c r="I30" s="121">
        <v>1.0</v>
      </c>
      <c r="J30" s="121">
        <v>0.0</v>
      </c>
      <c r="K30" s="121">
        <v>0.0</v>
      </c>
      <c r="L30" s="121">
        <v>0.0</v>
      </c>
      <c r="M30" s="121">
        <v>0.0</v>
      </c>
      <c r="N30" s="121">
        <v>0.0</v>
      </c>
      <c r="O30" s="121">
        <v>0.0</v>
      </c>
      <c r="P30" s="121">
        <v>0.0</v>
      </c>
      <c r="Q30" s="121">
        <v>0.0</v>
      </c>
      <c r="R30" s="121">
        <v>0.0</v>
      </c>
      <c r="S30" s="121">
        <v>0.0</v>
      </c>
      <c r="T30" s="121">
        <v>0.0</v>
      </c>
      <c r="U30" s="121">
        <v>0.0</v>
      </c>
      <c r="V30" s="121">
        <v>0.0</v>
      </c>
    </row>
    <row r="31" ht="15.75" customHeight="1">
      <c r="A31" s="122">
        <v>4.0</v>
      </c>
      <c r="B31" s="218">
        <v>0.0</v>
      </c>
      <c r="C31" s="121">
        <v>0.0</v>
      </c>
      <c r="D31" s="121">
        <v>0.0</v>
      </c>
      <c r="E31" s="121">
        <v>0.0</v>
      </c>
      <c r="F31" s="121">
        <v>0.0</v>
      </c>
      <c r="G31" s="121">
        <v>0.0</v>
      </c>
      <c r="H31" s="121">
        <v>0.0</v>
      </c>
      <c r="I31" s="121">
        <v>1.0</v>
      </c>
      <c r="J31" s="121">
        <v>0.0</v>
      </c>
      <c r="K31" s="121">
        <v>0.0</v>
      </c>
      <c r="L31" s="121">
        <v>0.0</v>
      </c>
      <c r="M31" s="121">
        <v>0.0</v>
      </c>
      <c r="N31" s="121">
        <v>0.0</v>
      </c>
      <c r="O31" s="121">
        <v>0.0</v>
      </c>
      <c r="P31" s="121">
        <v>0.0</v>
      </c>
      <c r="Q31" s="121">
        <v>0.0</v>
      </c>
      <c r="R31" s="121">
        <v>0.0</v>
      </c>
      <c r="S31" s="121">
        <v>0.0</v>
      </c>
      <c r="T31" s="121">
        <v>0.0</v>
      </c>
      <c r="U31" s="121">
        <v>0.0</v>
      </c>
      <c r="V31" s="121">
        <v>0.0</v>
      </c>
    </row>
    <row r="32" ht="15.75" customHeight="1">
      <c r="A32" s="122">
        <v>5.0</v>
      </c>
      <c r="B32" s="218">
        <v>0.0</v>
      </c>
      <c r="C32" s="121">
        <v>0.0</v>
      </c>
      <c r="D32" s="121">
        <v>0.0</v>
      </c>
      <c r="E32" s="121">
        <v>0.0</v>
      </c>
      <c r="F32" s="121">
        <v>0.0</v>
      </c>
      <c r="G32" s="121">
        <v>0.0</v>
      </c>
      <c r="H32" s="121">
        <v>0.0</v>
      </c>
      <c r="I32" s="121">
        <v>1.0</v>
      </c>
      <c r="J32" s="121">
        <v>0.0</v>
      </c>
      <c r="K32" s="121">
        <v>0.0</v>
      </c>
      <c r="L32" s="121">
        <v>0.0</v>
      </c>
      <c r="M32" s="121">
        <v>0.0</v>
      </c>
      <c r="N32" s="121">
        <v>0.0</v>
      </c>
      <c r="O32" s="121">
        <v>0.0</v>
      </c>
      <c r="P32" s="121">
        <v>0.0</v>
      </c>
      <c r="Q32" s="121">
        <v>0.0</v>
      </c>
      <c r="R32" s="121">
        <v>0.0</v>
      </c>
      <c r="S32" s="121">
        <v>0.0</v>
      </c>
      <c r="T32" s="121">
        <v>0.0</v>
      </c>
      <c r="U32" s="121">
        <v>0.0</v>
      </c>
      <c r="V32" s="121">
        <v>0.0</v>
      </c>
    </row>
    <row r="33" ht="15.75" customHeight="1">
      <c r="A33" s="122">
        <v>6.0</v>
      </c>
      <c r="B33" s="218">
        <v>0.0</v>
      </c>
      <c r="C33" s="121">
        <v>0.0</v>
      </c>
      <c r="D33" s="121">
        <v>0.0</v>
      </c>
      <c r="E33" s="121">
        <v>0.0</v>
      </c>
      <c r="F33" s="121">
        <v>0.0</v>
      </c>
      <c r="G33" s="121">
        <v>0.0</v>
      </c>
      <c r="H33" s="121">
        <v>1.0</v>
      </c>
      <c r="I33" s="121">
        <v>0.0</v>
      </c>
      <c r="J33" s="121">
        <v>0.0</v>
      </c>
      <c r="K33" s="121">
        <v>0.0</v>
      </c>
      <c r="L33" s="121">
        <v>0.0</v>
      </c>
      <c r="M33" s="121">
        <v>0.0</v>
      </c>
      <c r="N33" s="121">
        <v>0.0</v>
      </c>
      <c r="O33" s="121">
        <v>0.0</v>
      </c>
      <c r="P33" s="121">
        <v>0.0</v>
      </c>
      <c r="Q33" s="121">
        <v>0.0</v>
      </c>
      <c r="R33" s="121">
        <v>0.0</v>
      </c>
      <c r="S33" s="121">
        <v>0.0</v>
      </c>
      <c r="T33" s="121">
        <v>0.0</v>
      </c>
      <c r="U33" s="121">
        <v>0.0</v>
      </c>
      <c r="V33" s="121">
        <v>0.0</v>
      </c>
    </row>
    <row r="34" ht="15.75" customHeight="1">
      <c r="A34" s="122">
        <v>7.0</v>
      </c>
      <c r="B34" s="218">
        <v>0.0</v>
      </c>
      <c r="C34" s="121">
        <v>0.0</v>
      </c>
      <c r="D34" s="121">
        <v>0.0</v>
      </c>
      <c r="E34" s="121">
        <v>0.0</v>
      </c>
      <c r="F34" s="121">
        <v>0.0</v>
      </c>
      <c r="G34" s="121">
        <v>0.0</v>
      </c>
      <c r="H34" s="121">
        <v>1.0</v>
      </c>
      <c r="I34" s="121">
        <v>0.0</v>
      </c>
      <c r="J34" s="121">
        <v>0.0</v>
      </c>
      <c r="K34" s="121">
        <v>0.0</v>
      </c>
      <c r="L34" s="121">
        <v>0.0</v>
      </c>
      <c r="M34" s="121">
        <v>0.0</v>
      </c>
      <c r="N34" s="121">
        <v>0.0</v>
      </c>
      <c r="O34" s="121">
        <v>0.0</v>
      </c>
      <c r="P34" s="121">
        <v>0.0</v>
      </c>
      <c r="Q34" s="121">
        <v>0.0</v>
      </c>
      <c r="R34" s="121">
        <v>0.0</v>
      </c>
      <c r="S34" s="121">
        <v>0.0</v>
      </c>
      <c r="T34" s="121">
        <v>0.0</v>
      </c>
      <c r="U34" s="121">
        <v>0.0</v>
      </c>
      <c r="V34" s="121">
        <v>0.0</v>
      </c>
    </row>
    <row r="35" ht="15.75" customHeight="1">
      <c r="A35" s="122">
        <v>8.0</v>
      </c>
      <c r="B35" s="218">
        <v>0.0</v>
      </c>
      <c r="C35" s="121">
        <v>0.0</v>
      </c>
      <c r="D35" s="121">
        <v>0.0</v>
      </c>
      <c r="E35" s="121">
        <v>0.0</v>
      </c>
      <c r="F35" s="121">
        <v>0.0</v>
      </c>
      <c r="G35" s="121">
        <v>0.0</v>
      </c>
      <c r="H35" s="121">
        <v>1.0</v>
      </c>
      <c r="I35" s="121">
        <v>0.0</v>
      </c>
      <c r="J35" s="121">
        <v>0.0</v>
      </c>
      <c r="K35" s="121">
        <v>0.0</v>
      </c>
      <c r="L35" s="121">
        <v>0.0</v>
      </c>
      <c r="M35" s="121">
        <v>0.0</v>
      </c>
      <c r="N35" s="121">
        <v>0.0</v>
      </c>
      <c r="O35" s="121">
        <v>0.0</v>
      </c>
      <c r="P35" s="121">
        <v>0.0</v>
      </c>
      <c r="Q35" s="121">
        <v>0.0</v>
      </c>
      <c r="R35" s="121">
        <v>0.0</v>
      </c>
      <c r="S35" s="121">
        <v>0.0</v>
      </c>
      <c r="T35" s="121">
        <v>0.0</v>
      </c>
      <c r="U35" s="121">
        <v>0.0</v>
      </c>
      <c r="V35" s="121">
        <v>0.0</v>
      </c>
    </row>
    <row r="36" ht="15.75" customHeight="1">
      <c r="A36" s="122">
        <v>9.0</v>
      </c>
      <c r="B36" s="218">
        <v>0.0</v>
      </c>
      <c r="C36" s="121">
        <v>0.0</v>
      </c>
      <c r="D36" s="121">
        <v>0.0</v>
      </c>
      <c r="E36" s="121">
        <v>0.0</v>
      </c>
      <c r="F36" s="121">
        <v>0.0</v>
      </c>
      <c r="G36" s="121">
        <v>0.0</v>
      </c>
      <c r="H36" s="121">
        <v>1.0</v>
      </c>
      <c r="I36" s="121">
        <v>0.0</v>
      </c>
      <c r="J36" s="121">
        <v>0.0</v>
      </c>
      <c r="K36" s="121">
        <v>0.0</v>
      </c>
      <c r="L36" s="121">
        <v>0.0</v>
      </c>
      <c r="M36" s="121">
        <v>0.0</v>
      </c>
      <c r="N36" s="121">
        <v>0.0</v>
      </c>
      <c r="O36" s="121">
        <v>0.0</v>
      </c>
      <c r="P36" s="121">
        <v>0.0</v>
      </c>
      <c r="Q36" s="121">
        <v>0.0</v>
      </c>
      <c r="R36" s="121">
        <v>0.0</v>
      </c>
      <c r="S36" s="121">
        <v>0.0</v>
      </c>
      <c r="T36" s="121">
        <v>0.0</v>
      </c>
      <c r="U36" s="121">
        <v>0.0</v>
      </c>
      <c r="V36" s="121">
        <v>0.0</v>
      </c>
    </row>
    <row r="37" ht="15.75" customHeight="1">
      <c r="A37" s="122">
        <v>10.0</v>
      </c>
      <c r="B37" s="218">
        <v>0.0</v>
      </c>
      <c r="C37" s="121">
        <v>0.0</v>
      </c>
      <c r="D37" s="121">
        <v>0.0</v>
      </c>
      <c r="E37" s="121">
        <v>0.0</v>
      </c>
      <c r="F37" s="121">
        <v>0.0</v>
      </c>
      <c r="G37" s="121">
        <v>0.0</v>
      </c>
      <c r="H37" s="121">
        <v>1.0</v>
      </c>
      <c r="I37" s="121">
        <v>0.0</v>
      </c>
      <c r="J37" s="121">
        <v>0.0</v>
      </c>
      <c r="K37" s="121">
        <v>0.0</v>
      </c>
      <c r="L37" s="121">
        <v>0.0</v>
      </c>
      <c r="M37" s="121">
        <v>0.0</v>
      </c>
      <c r="N37" s="121">
        <v>0.0</v>
      </c>
      <c r="O37" s="121">
        <v>0.0</v>
      </c>
      <c r="P37" s="121">
        <v>0.0</v>
      </c>
      <c r="Q37" s="121">
        <v>0.0</v>
      </c>
      <c r="R37" s="121">
        <v>0.0</v>
      </c>
      <c r="S37" s="121">
        <v>0.0</v>
      </c>
      <c r="T37" s="121">
        <v>0.0</v>
      </c>
      <c r="U37" s="121">
        <v>0.0</v>
      </c>
      <c r="V37" s="121">
        <v>0.0</v>
      </c>
    </row>
    <row r="38" ht="15.75" customHeight="1"/>
    <row r="39" ht="19.5" customHeight="1">
      <c r="A39" s="111" t="s">
        <v>304</v>
      </c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</row>
    <row r="40" ht="15.75" customHeight="1">
      <c r="A40" s="145" t="s">
        <v>299</v>
      </c>
      <c r="B40" s="146">
        <v>10.0</v>
      </c>
    </row>
    <row r="41" ht="15.75" customHeight="1">
      <c r="A41" s="145" t="s">
        <v>300</v>
      </c>
      <c r="B41" s="146">
        <v>10.0</v>
      </c>
    </row>
    <row r="42" ht="15.75" customHeight="1">
      <c r="A42" s="145" t="s">
        <v>152</v>
      </c>
      <c r="B42" s="180">
        <v>1.0</v>
      </c>
    </row>
    <row r="43" ht="15.75" customHeight="1"/>
    <row r="44" ht="19.5" customHeight="1">
      <c r="A44" s="111" t="s">
        <v>305</v>
      </c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</row>
    <row r="45" ht="90.0" customHeight="1">
      <c r="A45" s="117" t="s">
        <v>216</v>
      </c>
      <c r="B45" s="217" t="s">
        <v>82</v>
      </c>
      <c r="C45" s="119" t="s">
        <v>68</v>
      </c>
      <c r="D45" s="119" t="s">
        <v>103</v>
      </c>
      <c r="E45" s="119" t="s">
        <v>69</v>
      </c>
      <c r="F45" s="119" t="s">
        <v>70</v>
      </c>
      <c r="G45" s="119" t="s">
        <v>71</v>
      </c>
      <c r="H45" s="119" t="s">
        <v>72</v>
      </c>
      <c r="I45" s="119" t="s">
        <v>73</v>
      </c>
      <c r="J45" s="119" t="s">
        <v>74</v>
      </c>
      <c r="K45" s="119" t="s">
        <v>75</v>
      </c>
      <c r="L45" s="119" t="s">
        <v>76</v>
      </c>
      <c r="M45" s="119" t="s">
        <v>77</v>
      </c>
      <c r="N45" s="119" t="s">
        <v>78</v>
      </c>
      <c r="O45" s="119" t="s">
        <v>118</v>
      </c>
      <c r="P45" s="119" t="s">
        <v>104</v>
      </c>
      <c r="Q45" s="119" t="s">
        <v>105</v>
      </c>
      <c r="R45" s="119" t="s">
        <v>106</v>
      </c>
      <c r="S45" s="119" t="s">
        <v>107</v>
      </c>
      <c r="T45" s="119" t="s">
        <v>108</v>
      </c>
      <c r="U45" s="119" t="s">
        <v>109</v>
      </c>
      <c r="V45" s="119" t="s">
        <v>110</v>
      </c>
    </row>
    <row r="46" ht="15.75" customHeight="1">
      <c r="A46" s="122">
        <v>1.0</v>
      </c>
      <c r="B46" s="218">
        <v>200.0</v>
      </c>
      <c r="C46" s="121">
        <v>0.0</v>
      </c>
      <c r="D46" s="121">
        <v>0.0</v>
      </c>
      <c r="E46" s="121">
        <v>0.0</v>
      </c>
      <c r="F46" s="121">
        <v>0.0</v>
      </c>
      <c r="G46" s="121">
        <v>0.0</v>
      </c>
      <c r="H46" s="121">
        <v>0.0</v>
      </c>
      <c r="I46" s="121">
        <v>0.0</v>
      </c>
      <c r="J46" s="121">
        <v>1.0</v>
      </c>
      <c r="K46" s="121">
        <v>0.0</v>
      </c>
      <c r="L46" s="121">
        <v>0.0</v>
      </c>
      <c r="M46" s="121">
        <v>0.0</v>
      </c>
      <c r="N46" s="121">
        <v>0.0</v>
      </c>
      <c r="O46" s="121">
        <v>0.0</v>
      </c>
      <c r="P46" s="121">
        <v>0.0</v>
      </c>
      <c r="Q46" s="121">
        <v>0.0</v>
      </c>
      <c r="R46" s="121">
        <v>0.0</v>
      </c>
      <c r="S46" s="121">
        <v>0.0</v>
      </c>
      <c r="T46" s="121">
        <v>0.0</v>
      </c>
      <c r="U46" s="121">
        <v>0.0</v>
      </c>
      <c r="V46" s="121">
        <v>0.0</v>
      </c>
    </row>
    <row r="47" ht="15.75" customHeight="1">
      <c r="A47" s="122">
        <v>2.0</v>
      </c>
      <c r="B47" s="218">
        <v>100.0</v>
      </c>
      <c r="C47" s="121">
        <v>0.0</v>
      </c>
      <c r="D47" s="121">
        <v>0.0</v>
      </c>
      <c r="E47" s="121">
        <v>0.0</v>
      </c>
      <c r="F47" s="121">
        <v>0.0</v>
      </c>
      <c r="G47" s="121">
        <v>0.0</v>
      </c>
      <c r="H47" s="121">
        <v>0.0</v>
      </c>
      <c r="I47" s="121">
        <v>1.0</v>
      </c>
      <c r="J47" s="121">
        <v>0.0</v>
      </c>
      <c r="K47" s="121">
        <v>0.0</v>
      </c>
      <c r="L47" s="121">
        <v>0.0</v>
      </c>
      <c r="M47" s="121">
        <v>0.0</v>
      </c>
      <c r="N47" s="121">
        <v>0.0</v>
      </c>
      <c r="O47" s="121">
        <v>0.0</v>
      </c>
      <c r="P47" s="121">
        <v>0.0</v>
      </c>
      <c r="Q47" s="121">
        <v>0.0</v>
      </c>
      <c r="R47" s="121">
        <v>0.0</v>
      </c>
      <c r="S47" s="121">
        <v>0.0</v>
      </c>
      <c r="T47" s="121">
        <v>0.0</v>
      </c>
      <c r="U47" s="121">
        <v>0.0</v>
      </c>
      <c r="V47" s="121">
        <v>0.0</v>
      </c>
    </row>
    <row r="48" ht="15.75" customHeight="1">
      <c r="A48" s="122">
        <v>3.0</v>
      </c>
      <c r="B48" s="218">
        <v>50.0</v>
      </c>
      <c r="C48" s="121">
        <v>0.0</v>
      </c>
      <c r="D48" s="121">
        <v>0.0</v>
      </c>
      <c r="E48" s="121">
        <v>0.0</v>
      </c>
      <c r="F48" s="121">
        <v>0.0</v>
      </c>
      <c r="G48" s="121">
        <v>0.0</v>
      </c>
      <c r="H48" s="121">
        <v>0.0</v>
      </c>
      <c r="I48" s="121">
        <v>1.0</v>
      </c>
      <c r="J48" s="121">
        <v>0.0</v>
      </c>
      <c r="K48" s="121">
        <v>0.0</v>
      </c>
      <c r="L48" s="121">
        <v>0.0</v>
      </c>
      <c r="M48" s="121">
        <v>0.0</v>
      </c>
      <c r="N48" s="121">
        <v>0.0</v>
      </c>
      <c r="O48" s="121">
        <v>0.0</v>
      </c>
      <c r="P48" s="121">
        <v>0.0</v>
      </c>
      <c r="Q48" s="121">
        <v>0.0</v>
      </c>
      <c r="R48" s="121">
        <v>0.0</v>
      </c>
      <c r="S48" s="121">
        <v>0.0</v>
      </c>
      <c r="T48" s="121">
        <v>0.0</v>
      </c>
      <c r="U48" s="121">
        <v>0.0</v>
      </c>
      <c r="V48" s="121">
        <v>0.0</v>
      </c>
    </row>
    <row r="49" ht="15.75" customHeight="1">
      <c r="A49" s="122">
        <v>4.0</v>
      </c>
      <c r="B49" s="218">
        <v>0.0</v>
      </c>
      <c r="C49" s="121">
        <v>0.0</v>
      </c>
      <c r="D49" s="121">
        <v>0.0</v>
      </c>
      <c r="E49" s="121">
        <v>0.0</v>
      </c>
      <c r="F49" s="121">
        <v>0.0</v>
      </c>
      <c r="G49" s="121">
        <v>0.0</v>
      </c>
      <c r="H49" s="121">
        <v>0.0</v>
      </c>
      <c r="I49" s="121">
        <v>1.0</v>
      </c>
      <c r="J49" s="121">
        <v>0.0</v>
      </c>
      <c r="K49" s="121">
        <v>0.0</v>
      </c>
      <c r="L49" s="121">
        <v>0.0</v>
      </c>
      <c r="M49" s="121">
        <v>0.0</v>
      </c>
      <c r="N49" s="121">
        <v>0.0</v>
      </c>
      <c r="O49" s="121">
        <v>0.0</v>
      </c>
      <c r="P49" s="121">
        <v>0.0</v>
      </c>
      <c r="Q49" s="121">
        <v>0.0</v>
      </c>
      <c r="R49" s="121">
        <v>0.0</v>
      </c>
      <c r="S49" s="121">
        <v>0.0</v>
      </c>
      <c r="T49" s="121">
        <v>0.0</v>
      </c>
      <c r="U49" s="121">
        <v>0.0</v>
      </c>
      <c r="V49" s="121">
        <v>0.0</v>
      </c>
    </row>
    <row r="50" ht="15.75" customHeight="1">
      <c r="A50" s="122">
        <v>5.0</v>
      </c>
      <c r="B50" s="218">
        <v>0.0</v>
      </c>
      <c r="C50" s="121">
        <v>0.0</v>
      </c>
      <c r="D50" s="121">
        <v>0.0</v>
      </c>
      <c r="E50" s="121">
        <v>0.0</v>
      </c>
      <c r="F50" s="121">
        <v>0.0</v>
      </c>
      <c r="G50" s="121">
        <v>0.0</v>
      </c>
      <c r="H50" s="121">
        <v>0.0</v>
      </c>
      <c r="I50" s="121">
        <v>1.0</v>
      </c>
      <c r="J50" s="121">
        <v>0.0</v>
      </c>
      <c r="K50" s="121">
        <v>0.0</v>
      </c>
      <c r="L50" s="121">
        <v>0.0</v>
      </c>
      <c r="M50" s="121">
        <v>0.0</v>
      </c>
      <c r="N50" s="121">
        <v>0.0</v>
      </c>
      <c r="O50" s="121">
        <v>0.0</v>
      </c>
      <c r="P50" s="121">
        <v>0.0</v>
      </c>
      <c r="Q50" s="121">
        <v>0.0</v>
      </c>
      <c r="R50" s="121">
        <v>0.0</v>
      </c>
      <c r="S50" s="121">
        <v>0.0</v>
      </c>
      <c r="T50" s="121">
        <v>0.0</v>
      </c>
      <c r="U50" s="121">
        <v>0.0</v>
      </c>
      <c r="V50" s="121">
        <v>0.0</v>
      </c>
    </row>
    <row r="51" ht="15.75" customHeight="1">
      <c r="A51" s="122">
        <v>6.0</v>
      </c>
      <c r="B51" s="218">
        <v>0.0</v>
      </c>
      <c r="C51" s="121">
        <v>0.0</v>
      </c>
      <c r="D51" s="121">
        <v>0.0</v>
      </c>
      <c r="E51" s="121">
        <v>0.0</v>
      </c>
      <c r="F51" s="121">
        <v>0.0</v>
      </c>
      <c r="G51" s="121">
        <v>0.0</v>
      </c>
      <c r="H51" s="121">
        <v>1.0</v>
      </c>
      <c r="I51" s="121">
        <v>0.0</v>
      </c>
      <c r="J51" s="121">
        <v>0.0</v>
      </c>
      <c r="K51" s="121">
        <v>0.0</v>
      </c>
      <c r="L51" s="121">
        <v>0.0</v>
      </c>
      <c r="M51" s="121">
        <v>0.0</v>
      </c>
      <c r="N51" s="121">
        <v>0.0</v>
      </c>
      <c r="O51" s="121">
        <v>0.0</v>
      </c>
      <c r="P51" s="121">
        <v>0.0</v>
      </c>
      <c r="Q51" s="121">
        <v>0.0</v>
      </c>
      <c r="R51" s="121">
        <v>0.0</v>
      </c>
      <c r="S51" s="121">
        <v>0.0</v>
      </c>
      <c r="T51" s="121">
        <v>0.0</v>
      </c>
      <c r="U51" s="121">
        <v>0.0</v>
      </c>
      <c r="V51" s="121">
        <v>0.0</v>
      </c>
    </row>
    <row r="52" ht="15.75" customHeight="1">
      <c r="A52" s="122">
        <v>7.0</v>
      </c>
      <c r="B52" s="218">
        <v>0.0</v>
      </c>
      <c r="C52" s="121">
        <v>0.0</v>
      </c>
      <c r="D52" s="121">
        <v>0.0</v>
      </c>
      <c r="E52" s="121">
        <v>0.0</v>
      </c>
      <c r="F52" s="121">
        <v>0.0</v>
      </c>
      <c r="G52" s="121">
        <v>0.0</v>
      </c>
      <c r="H52" s="121">
        <v>1.0</v>
      </c>
      <c r="I52" s="121">
        <v>0.0</v>
      </c>
      <c r="J52" s="121">
        <v>0.0</v>
      </c>
      <c r="K52" s="121">
        <v>0.0</v>
      </c>
      <c r="L52" s="121">
        <v>0.0</v>
      </c>
      <c r="M52" s="121">
        <v>0.0</v>
      </c>
      <c r="N52" s="121">
        <v>0.0</v>
      </c>
      <c r="O52" s="121">
        <v>0.0</v>
      </c>
      <c r="P52" s="121">
        <v>0.0</v>
      </c>
      <c r="Q52" s="121">
        <v>0.0</v>
      </c>
      <c r="R52" s="121">
        <v>0.0</v>
      </c>
      <c r="S52" s="121">
        <v>0.0</v>
      </c>
      <c r="T52" s="121">
        <v>0.0</v>
      </c>
      <c r="U52" s="121">
        <v>0.0</v>
      </c>
      <c r="V52" s="121">
        <v>0.0</v>
      </c>
    </row>
    <row r="53" ht="15.75" customHeight="1">
      <c r="A53" s="122">
        <v>8.0</v>
      </c>
      <c r="B53" s="218">
        <v>0.0</v>
      </c>
      <c r="C53" s="121">
        <v>0.0</v>
      </c>
      <c r="D53" s="121">
        <v>0.0</v>
      </c>
      <c r="E53" s="121">
        <v>0.0</v>
      </c>
      <c r="F53" s="121">
        <v>0.0</v>
      </c>
      <c r="G53" s="121">
        <v>0.0</v>
      </c>
      <c r="H53" s="121">
        <v>1.0</v>
      </c>
      <c r="I53" s="121">
        <v>0.0</v>
      </c>
      <c r="J53" s="121">
        <v>0.0</v>
      </c>
      <c r="K53" s="121">
        <v>0.0</v>
      </c>
      <c r="L53" s="121">
        <v>0.0</v>
      </c>
      <c r="M53" s="121">
        <v>0.0</v>
      </c>
      <c r="N53" s="121">
        <v>0.0</v>
      </c>
      <c r="O53" s="121">
        <v>0.0</v>
      </c>
      <c r="P53" s="121">
        <v>0.0</v>
      </c>
      <c r="Q53" s="121">
        <v>0.0</v>
      </c>
      <c r="R53" s="121">
        <v>0.0</v>
      </c>
      <c r="S53" s="121">
        <v>0.0</v>
      </c>
      <c r="T53" s="121">
        <v>0.0</v>
      </c>
      <c r="U53" s="121">
        <v>0.0</v>
      </c>
      <c r="V53" s="121">
        <v>0.0</v>
      </c>
    </row>
    <row r="54" ht="15.75" customHeight="1">
      <c r="A54" s="122">
        <v>9.0</v>
      </c>
      <c r="B54" s="218">
        <v>0.0</v>
      </c>
      <c r="C54" s="121">
        <v>0.0</v>
      </c>
      <c r="D54" s="121">
        <v>0.0</v>
      </c>
      <c r="E54" s="121">
        <v>0.0</v>
      </c>
      <c r="F54" s="121">
        <v>0.0</v>
      </c>
      <c r="G54" s="121">
        <v>0.0</v>
      </c>
      <c r="H54" s="121">
        <v>1.0</v>
      </c>
      <c r="I54" s="121">
        <v>0.0</v>
      </c>
      <c r="J54" s="121">
        <v>0.0</v>
      </c>
      <c r="K54" s="121">
        <v>0.0</v>
      </c>
      <c r="L54" s="121">
        <v>0.0</v>
      </c>
      <c r="M54" s="121">
        <v>0.0</v>
      </c>
      <c r="N54" s="121">
        <v>0.0</v>
      </c>
      <c r="O54" s="121">
        <v>0.0</v>
      </c>
      <c r="P54" s="121">
        <v>0.0</v>
      </c>
      <c r="Q54" s="121">
        <v>0.0</v>
      </c>
      <c r="R54" s="121">
        <v>0.0</v>
      </c>
      <c r="S54" s="121">
        <v>0.0</v>
      </c>
      <c r="T54" s="121">
        <v>0.0</v>
      </c>
      <c r="U54" s="121">
        <v>0.0</v>
      </c>
      <c r="V54" s="121">
        <v>0.0</v>
      </c>
    </row>
    <row r="55" ht="15.75" customHeight="1">
      <c r="A55" s="122">
        <v>10.0</v>
      </c>
      <c r="B55" s="218">
        <v>0.0</v>
      </c>
      <c r="C55" s="121">
        <v>0.0</v>
      </c>
      <c r="D55" s="121">
        <v>0.0</v>
      </c>
      <c r="E55" s="121">
        <v>0.0</v>
      </c>
      <c r="F55" s="121">
        <v>0.0</v>
      </c>
      <c r="G55" s="121">
        <v>0.0</v>
      </c>
      <c r="H55" s="121">
        <v>1.0</v>
      </c>
      <c r="I55" s="121">
        <v>0.0</v>
      </c>
      <c r="J55" s="121">
        <v>0.0</v>
      </c>
      <c r="K55" s="121">
        <v>0.0</v>
      </c>
      <c r="L55" s="121">
        <v>0.0</v>
      </c>
      <c r="M55" s="121">
        <v>0.0</v>
      </c>
      <c r="N55" s="121">
        <v>0.0</v>
      </c>
      <c r="O55" s="121">
        <v>0.0</v>
      </c>
      <c r="P55" s="121">
        <v>0.0</v>
      </c>
      <c r="Q55" s="121">
        <v>0.0</v>
      </c>
      <c r="R55" s="121">
        <v>0.0</v>
      </c>
      <c r="S55" s="121">
        <v>0.0</v>
      </c>
      <c r="T55" s="121">
        <v>0.0</v>
      </c>
      <c r="U55" s="121">
        <v>0.0</v>
      </c>
      <c r="V55" s="121">
        <v>0.0</v>
      </c>
    </row>
    <row r="56" ht="15.75" customHeight="1"/>
    <row r="57" ht="19.5" customHeight="1">
      <c r="A57" s="111" t="s">
        <v>306</v>
      </c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</row>
    <row r="58" ht="15.75" customHeight="1">
      <c r="A58" s="145" t="s">
        <v>299</v>
      </c>
      <c r="B58" s="146">
        <v>10.0</v>
      </c>
    </row>
    <row r="59" ht="15.75" customHeight="1">
      <c r="A59" s="145" t="s">
        <v>300</v>
      </c>
      <c r="B59" s="146">
        <v>10.0</v>
      </c>
    </row>
    <row r="60" ht="15.75" customHeight="1">
      <c r="A60" s="145" t="s">
        <v>152</v>
      </c>
      <c r="B60" s="180">
        <v>1.0</v>
      </c>
    </row>
    <row r="61" ht="15.75" customHeight="1"/>
    <row r="62" ht="19.5" customHeight="1">
      <c r="A62" s="111" t="s">
        <v>307</v>
      </c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</row>
    <row r="63" ht="90.0" customHeight="1">
      <c r="A63" s="117" t="s">
        <v>216</v>
      </c>
      <c r="B63" s="217" t="s">
        <v>82</v>
      </c>
      <c r="C63" s="119" t="s">
        <v>68</v>
      </c>
      <c r="D63" s="119" t="s">
        <v>103</v>
      </c>
      <c r="E63" s="119" t="s">
        <v>69</v>
      </c>
      <c r="F63" s="119" t="s">
        <v>70</v>
      </c>
      <c r="G63" s="119" t="s">
        <v>71</v>
      </c>
      <c r="H63" s="119" t="s">
        <v>72</v>
      </c>
      <c r="I63" s="119" t="s">
        <v>73</v>
      </c>
      <c r="J63" s="119" t="s">
        <v>74</v>
      </c>
      <c r="K63" s="119" t="s">
        <v>75</v>
      </c>
      <c r="L63" s="119" t="s">
        <v>76</v>
      </c>
      <c r="M63" s="119" t="s">
        <v>77</v>
      </c>
      <c r="N63" s="119" t="s">
        <v>78</v>
      </c>
      <c r="O63" s="119" t="s">
        <v>118</v>
      </c>
      <c r="P63" s="119" t="s">
        <v>104</v>
      </c>
      <c r="Q63" s="119" t="s">
        <v>105</v>
      </c>
      <c r="R63" s="119" t="s">
        <v>106</v>
      </c>
      <c r="S63" s="119" t="s">
        <v>107</v>
      </c>
      <c r="T63" s="119" t="s">
        <v>108</v>
      </c>
      <c r="U63" s="119" t="s">
        <v>109</v>
      </c>
      <c r="V63" s="119" t="s">
        <v>110</v>
      </c>
    </row>
    <row r="64" ht="15.75" customHeight="1">
      <c r="A64" s="122">
        <v>1.0</v>
      </c>
      <c r="B64" s="218">
        <v>200.0</v>
      </c>
      <c r="C64" s="121">
        <v>0.0</v>
      </c>
      <c r="D64" s="121">
        <v>0.0</v>
      </c>
      <c r="E64" s="121">
        <v>0.0</v>
      </c>
      <c r="F64" s="121">
        <v>0.0</v>
      </c>
      <c r="G64" s="121">
        <v>0.0</v>
      </c>
      <c r="H64" s="121">
        <v>0.0</v>
      </c>
      <c r="I64" s="121">
        <v>0.0</v>
      </c>
      <c r="J64" s="121">
        <v>1.0</v>
      </c>
      <c r="K64" s="121">
        <v>0.0</v>
      </c>
      <c r="L64" s="121">
        <v>0.0</v>
      </c>
      <c r="M64" s="121">
        <v>0.0</v>
      </c>
      <c r="N64" s="121">
        <v>0.0</v>
      </c>
      <c r="O64" s="121">
        <v>0.0</v>
      </c>
      <c r="P64" s="121">
        <v>0.0</v>
      </c>
      <c r="Q64" s="121">
        <v>0.0</v>
      </c>
      <c r="R64" s="121">
        <v>0.0</v>
      </c>
      <c r="S64" s="121">
        <v>0.0</v>
      </c>
      <c r="T64" s="121">
        <v>0.0</v>
      </c>
      <c r="U64" s="121">
        <v>0.0</v>
      </c>
      <c r="V64" s="121">
        <v>0.0</v>
      </c>
    </row>
    <row r="65" ht="15.75" customHeight="1">
      <c r="A65" s="122">
        <v>2.0</v>
      </c>
      <c r="B65" s="218">
        <v>100.0</v>
      </c>
      <c r="C65" s="121">
        <v>0.0</v>
      </c>
      <c r="D65" s="121">
        <v>0.0</v>
      </c>
      <c r="E65" s="121">
        <v>0.0</v>
      </c>
      <c r="F65" s="121">
        <v>0.0</v>
      </c>
      <c r="G65" s="121">
        <v>0.0</v>
      </c>
      <c r="H65" s="121">
        <v>0.0</v>
      </c>
      <c r="I65" s="121">
        <v>1.0</v>
      </c>
      <c r="J65" s="121">
        <v>0.0</v>
      </c>
      <c r="K65" s="121">
        <v>0.0</v>
      </c>
      <c r="L65" s="121">
        <v>0.0</v>
      </c>
      <c r="M65" s="121">
        <v>0.0</v>
      </c>
      <c r="N65" s="121">
        <v>0.0</v>
      </c>
      <c r="O65" s="121">
        <v>0.0</v>
      </c>
      <c r="P65" s="121">
        <v>0.0</v>
      </c>
      <c r="Q65" s="121">
        <v>0.0</v>
      </c>
      <c r="R65" s="121">
        <v>0.0</v>
      </c>
      <c r="S65" s="121">
        <v>0.0</v>
      </c>
      <c r="T65" s="121">
        <v>0.0</v>
      </c>
      <c r="U65" s="121">
        <v>0.0</v>
      </c>
      <c r="V65" s="121">
        <v>0.0</v>
      </c>
    </row>
    <row r="66" ht="15.75" customHeight="1">
      <c r="A66" s="122">
        <v>3.0</v>
      </c>
      <c r="B66" s="218">
        <v>50.0</v>
      </c>
      <c r="C66" s="121">
        <v>0.0</v>
      </c>
      <c r="D66" s="121">
        <v>0.0</v>
      </c>
      <c r="E66" s="121">
        <v>0.0</v>
      </c>
      <c r="F66" s="121">
        <v>0.0</v>
      </c>
      <c r="G66" s="121">
        <v>0.0</v>
      </c>
      <c r="H66" s="121">
        <v>0.0</v>
      </c>
      <c r="I66" s="121">
        <v>1.0</v>
      </c>
      <c r="J66" s="121">
        <v>0.0</v>
      </c>
      <c r="K66" s="121">
        <v>0.0</v>
      </c>
      <c r="L66" s="121">
        <v>0.0</v>
      </c>
      <c r="M66" s="121">
        <v>0.0</v>
      </c>
      <c r="N66" s="121">
        <v>0.0</v>
      </c>
      <c r="O66" s="121">
        <v>0.0</v>
      </c>
      <c r="P66" s="121">
        <v>0.0</v>
      </c>
      <c r="Q66" s="121">
        <v>0.0</v>
      </c>
      <c r="R66" s="121">
        <v>0.0</v>
      </c>
      <c r="S66" s="121">
        <v>0.0</v>
      </c>
      <c r="T66" s="121">
        <v>0.0</v>
      </c>
      <c r="U66" s="121">
        <v>0.0</v>
      </c>
      <c r="V66" s="121">
        <v>0.0</v>
      </c>
    </row>
    <row r="67" ht="15.75" customHeight="1">
      <c r="A67" s="122">
        <v>4.0</v>
      </c>
      <c r="B67" s="218">
        <v>0.0</v>
      </c>
      <c r="C67" s="121">
        <v>0.0</v>
      </c>
      <c r="D67" s="121">
        <v>0.0</v>
      </c>
      <c r="E67" s="121">
        <v>0.0</v>
      </c>
      <c r="F67" s="121">
        <v>0.0</v>
      </c>
      <c r="G67" s="121">
        <v>0.0</v>
      </c>
      <c r="H67" s="121">
        <v>0.0</v>
      </c>
      <c r="I67" s="121">
        <v>1.0</v>
      </c>
      <c r="J67" s="121">
        <v>0.0</v>
      </c>
      <c r="K67" s="121">
        <v>0.0</v>
      </c>
      <c r="L67" s="121">
        <v>0.0</v>
      </c>
      <c r="M67" s="121">
        <v>0.0</v>
      </c>
      <c r="N67" s="121">
        <v>0.0</v>
      </c>
      <c r="O67" s="121">
        <v>0.0</v>
      </c>
      <c r="P67" s="121">
        <v>0.0</v>
      </c>
      <c r="Q67" s="121">
        <v>0.0</v>
      </c>
      <c r="R67" s="121">
        <v>0.0</v>
      </c>
      <c r="S67" s="121">
        <v>0.0</v>
      </c>
      <c r="T67" s="121">
        <v>0.0</v>
      </c>
      <c r="U67" s="121">
        <v>0.0</v>
      </c>
      <c r="V67" s="121">
        <v>0.0</v>
      </c>
    </row>
    <row r="68" ht="15.75" customHeight="1">
      <c r="A68" s="122">
        <v>5.0</v>
      </c>
      <c r="B68" s="218">
        <v>0.0</v>
      </c>
      <c r="C68" s="121">
        <v>0.0</v>
      </c>
      <c r="D68" s="121">
        <v>0.0</v>
      </c>
      <c r="E68" s="121">
        <v>0.0</v>
      </c>
      <c r="F68" s="121">
        <v>0.0</v>
      </c>
      <c r="G68" s="121">
        <v>0.0</v>
      </c>
      <c r="H68" s="121">
        <v>0.0</v>
      </c>
      <c r="I68" s="121">
        <v>1.0</v>
      </c>
      <c r="J68" s="121">
        <v>0.0</v>
      </c>
      <c r="K68" s="121">
        <v>0.0</v>
      </c>
      <c r="L68" s="121">
        <v>0.0</v>
      </c>
      <c r="M68" s="121">
        <v>0.0</v>
      </c>
      <c r="N68" s="121">
        <v>0.0</v>
      </c>
      <c r="O68" s="121">
        <v>0.0</v>
      </c>
      <c r="P68" s="121">
        <v>0.0</v>
      </c>
      <c r="Q68" s="121">
        <v>0.0</v>
      </c>
      <c r="R68" s="121">
        <v>0.0</v>
      </c>
      <c r="S68" s="121">
        <v>0.0</v>
      </c>
      <c r="T68" s="121">
        <v>0.0</v>
      </c>
      <c r="U68" s="121">
        <v>0.0</v>
      </c>
      <c r="V68" s="121">
        <v>0.0</v>
      </c>
    </row>
    <row r="69" ht="15.75" customHeight="1">
      <c r="A69" s="122">
        <v>6.0</v>
      </c>
      <c r="B69" s="218">
        <v>0.0</v>
      </c>
      <c r="C69" s="121">
        <v>0.0</v>
      </c>
      <c r="D69" s="121">
        <v>0.0</v>
      </c>
      <c r="E69" s="121">
        <v>0.0</v>
      </c>
      <c r="F69" s="121">
        <v>0.0</v>
      </c>
      <c r="G69" s="121">
        <v>0.0</v>
      </c>
      <c r="H69" s="121">
        <v>1.0</v>
      </c>
      <c r="I69" s="121">
        <v>0.0</v>
      </c>
      <c r="J69" s="121">
        <v>0.0</v>
      </c>
      <c r="K69" s="121">
        <v>0.0</v>
      </c>
      <c r="L69" s="121">
        <v>0.0</v>
      </c>
      <c r="M69" s="121">
        <v>0.0</v>
      </c>
      <c r="N69" s="121">
        <v>0.0</v>
      </c>
      <c r="O69" s="121">
        <v>0.0</v>
      </c>
      <c r="P69" s="121">
        <v>0.0</v>
      </c>
      <c r="Q69" s="121">
        <v>0.0</v>
      </c>
      <c r="R69" s="121">
        <v>0.0</v>
      </c>
      <c r="S69" s="121">
        <v>0.0</v>
      </c>
      <c r="T69" s="121">
        <v>0.0</v>
      </c>
      <c r="U69" s="121">
        <v>0.0</v>
      </c>
      <c r="V69" s="121">
        <v>0.0</v>
      </c>
    </row>
    <row r="70" ht="15.75" customHeight="1">
      <c r="A70" s="122">
        <v>7.0</v>
      </c>
      <c r="B70" s="218">
        <v>0.0</v>
      </c>
      <c r="C70" s="121">
        <v>0.0</v>
      </c>
      <c r="D70" s="121">
        <v>0.0</v>
      </c>
      <c r="E70" s="121">
        <v>0.0</v>
      </c>
      <c r="F70" s="121">
        <v>0.0</v>
      </c>
      <c r="G70" s="121">
        <v>0.0</v>
      </c>
      <c r="H70" s="121">
        <v>1.0</v>
      </c>
      <c r="I70" s="121">
        <v>0.0</v>
      </c>
      <c r="J70" s="121">
        <v>0.0</v>
      </c>
      <c r="K70" s="121">
        <v>0.0</v>
      </c>
      <c r="L70" s="121">
        <v>0.0</v>
      </c>
      <c r="M70" s="121">
        <v>0.0</v>
      </c>
      <c r="N70" s="121">
        <v>0.0</v>
      </c>
      <c r="O70" s="121">
        <v>0.0</v>
      </c>
      <c r="P70" s="121">
        <v>0.0</v>
      </c>
      <c r="Q70" s="121">
        <v>0.0</v>
      </c>
      <c r="R70" s="121">
        <v>0.0</v>
      </c>
      <c r="S70" s="121">
        <v>0.0</v>
      </c>
      <c r="T70" s="121">
        <v>0.0</v>
      </c>
      <c r="U70" s="121">
        <v>0.0</v>
      </c>
      <c r="V70" s="121">
        <v>0.0</v>
      </c>
    </row>
    <row r="71" ht="15.75" customHeight="1">
      <c r="A71" s="122">
        <v>8.0</v>
      </c>
      <c r="B71" s="218">
        <v>0.0</v>
      </c>
      <c r="C71" s="121">
        <v>0.0</v>
      </c>
      <c r="D71" s="121">
        <v>0.0</v>
      </c>
      <c r="E71" s="121">
        <v>0.0</v>
      </c>
      <c r="F71" s="121">
        <v>0.0</v>
      </c>
      <c r="G71" s="121">
        <v>0.0</v>
      </c>
      <c r="H71" s="121">
        <v>1.0</v>
      </c>
      <c r="I71" s="121">
        <v>0.0</v>
      </c>
      <c r="J71" s="121">
        <v>0.0</v>
      </c>
      <c r="K71" s="121">
        <v>0.0</v>
      </c>
      <c r="L71" s="121">
        <v>0.0</v>
      </c>
      <c r="M71" s="121">
        <v>0.0</v>
      </c>
      <c r="N71" s="121">
        <v>0.0</v>
      </c>
      <c r="O71" s="121">
        <v>0.0</v>
      </c>
      <c r="P71" s="121">
        <v>0.0</v>
      </c>
      <c r="Q71" s="121">
        <v>0.0</v>
      </c>
      <c r="R71" s="121">
        <v>0.0</v>
      </c>
      <c r="S71" s="121">
        <v>0.0</v>
      </c>
      <c r="T71" s="121">
        <v>0.0</v>
      </c>
      <c r="U71" s="121">
        <v>0.0</v>
      </c>
      <c r="V71" s="121">
        <v>0.0</v>
      </c>
    </row>
    <row r="72" ht="15.75" customHeight="1">
      <c r="A72" s="122">
        <v>9.0</v>
      </c>
      <c r="B72" s="218">
        <v>0.0</v>
      </c>
      <c r="C72" s="121">
        <v>0.0</v>
      </c>
      <c r="D72" s="121">
        <v>0.0</v>
      </c>
      <c r="E72" s="121">
        <v>0.0</v>
      </c>
      <c r="F72" s="121">
        <v>0.0</v>
      </c>
      <c r="G72" s="121">
        <v>0.0</v>
      </c>
      <c r="H72" s="121">
        <v>1.0</v>
      </c>
      <c r="I72" s="121">
        <v>0.0</v>
      </c>
      <c r="J72" s="121">
        <v>0.0</v>
      </c>
      <c r="K72" s="121">
        <v>0.0</v>
      </c>
      <c r="L72" s="121">
        <v>0.0</v>
      </c>
      <c r="M72" s="121">
        <v>0.0</v>
      </c>
      <c r="N72" s="121">
        <v>0.0</v>
      </c>
      <c r="O72" s="121">
        <v>0.0</v>
      </c>
      <c r="P72" s="121">
        <v>0.0</v>
      </c>
      <c r="Q72" s="121">
        <v>0.0</v>
      </c>
      <c r="R72" s="121">
        <v>0.0</v>
      </c>
      <c r="S72" s="121">
        <v>0.0</v>
      </c>
      <c r="T72" s="121">
        <v>0.0</v>
      </c>
      <c r="U72" s="121">
        <v>0.0</v>
      </c>
      <c r="V72" s="121">
        <v>0.0</v>
      </c>
    </row>
    <row r="73" ht="15.75" customHeight="1">
      <c r="A73" s="122">
        <v>10.0</v>
      </c>
      <c r="B73" s="218">
        <v>0.0</v>
      </c>
      <c r="C73" s="121">
        <v>0.0</v>
      </c>
      <c r="D73" s="121">
        <v>0.0</v>
      </c>
      <c r="E73" s="121">
        <v>0.0</v>
      </c>
      <c r="F73" s="121">
        <v>0.0</v>
      </c>
      <c r="G73" s="121">
        <v>0.0</v>
      </c>
      <c r="H73" s="121">
        <v>1.0</v>
      </c>
      <c r="I73" s="121">
        <v>0.0</v>
      </c>
      <c r="J73" s="121">
        <v>0.0</v>
      </c>
      <c r="K73" s="121">
        <v>0.0</v>
      </c>
      <c r="L73" s="121">
        <v>0.0</v>
      </c>
      <c r="M73" s="121">
        <v>0.0</v>
      </c>
      <c r="N73" s="121">
        <v>0.0</v>
      </c>
      <c r="O73" s="121">
        <v>0.0</v>
      </c>
      <c r="P73" s="121">
        <v>0.0</v>
      </c>
      <c r="Q73" s="121">
        <v>0.0</v>
      </c>
      <c r="R73" s="121">
        <v>0.0</v>
      </c>
      <c r="S73" s="121">
        <v>0.0</v>
      </c>
      <c r="T73" s="121">
        <v>0.0</v>
      </c>
      <c r="U73" s="121">
        <v>0.0</v>
      </c>
      <c r="V73" s="121">
        <v>0.0</v>
      </c>
    </row>
    <row r="74" ht="15.75" customHeight="1"/>
    <row r="75" ht="19.5" customHeight="1">
      <c r="A75" s="111" t="s">
        <v>308</v>
      </c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</row>
    <row r="76" ht="15.75" customHeight="1">
      <c r="A76" s="145" t="s">
        <v>299</v>
      </c>
      <c r="B76" s="146">
        <v>10.0</v>
      </c>
    </row>
    <row r="77" ht="15.75" customHeight="1">
      <c r="A77" s="145" t="s">
        <v>300</v>
      </c>
      <c r="B77" s="146">
        <v>10.0</v>
      </c>
    </row>
    <row r="78" ht="15.75" customHeight="1">
      <c r="A78" s="145" t="s">
        <v>152</v>
      </c>
      <c r="B78" s="180">
        <v>1.0</v>
      </c>
    </row>
    <row r="79" ht="15.75" customHeight="1"/>
    <row r="80" ht="19.5" customHeight="1">
      <c r="A80" s="111" t="s">
        <v>309</v>
      </c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</row>
    <row r="81" ht="90.0" customHeight="1">
      <c r="A81" s="117" t="s">
        <v>216</v>
      </c>
      <c r="B81" s="217" t="s">
        <v>82</v>
      </c>
      <c r="C81" s="119" t="s">
        <v>68</v>
      </c>
      <c r="D81" s="119" t="s">
        <v>103</v>
      </c>
      <c r="E81" s="119" t="s">
        <v>69</v>
      </c>
      <c r="F81" s="119" t="s">
        <v>70</v>
      </c>
      <c r="G81" s="119" t="s">
        <v>71</v>
      </c>
      <c r="H81" s="119" t="s">
        <v>72</v>
      </c>
      <c r="I81" s="119" t="s">
        <v>73</v>
      </c>
      <c r="J81" s="119" t="s">
        <v>74</v>
      </c>
      <c r="K81" s="119" t="s">
        <v>75</v>
      </c>
      <c r="L81" s="119" t="s">
        <v>76</v>
      </c>
      <c r="M81" s="119" t="s">
        <v>77</v>
      </c>
      <c r="N81" s="119" t="s">
        <v>78</v>
      </c>
      <c r="O81" s="119" t="s">
        <v>118</v>
      </c>
      <c r="P81" s="119" t="s">
        <v>104</v>
      </c>
      <c r="Q81" s="119" t="s">
        <v>105</v>
      </c>
      <c r="R81" s="119" t="s">
        <v>106</v>
      </c>
      <c r="S81" s="119" t="s">
        <v>107</v>
      </c>
      <c r="T81" s="119" t="s">
        <v>108</v>
      </c>
      <c r="U81" s="119" t="s">
        <v>109</v>
      </c>
      <c r="V81" s="119" t="s">
        <v>110</v>
      </c>
    </row>
    <row r="82" ht="15.75" customHeight="1">
      <c r="A82" s="122">
        <v>1.0</v>
      </c>
      <c r="B82" s="218">
        <v>200.0</v>
      </c>
      <c r="C82" s="121">
        <v>0.0</v>
      </c>
      <c r="D82" s="121">
        <v>0.0</v>
      </c>
      <c r="E82" s="121">
        <v>0.0</v>
      </c>
      <c r="F82" s="121">
        <v>0.0</v>
      </c>
      <c r="G82" s="121">
        <v>0.0</v>
      </c>
      <c r="H82" s="121">
        <v>0.0</v>
      </c>
      <c r="I82" s="121">
        <v>0.0</v>
      </c>
      <c r="J82" s="121">
        <v>1.0</v>
      </c>
      <c r="K82" s="121">
        <v>0.0</v>
      </c>
      <c r="L82" s="121">
        <v>0.0</v>
      </c>
      <c r="M82" s="121">
        <v>0.0</v>
      </c>
      <c r="N82" s="121">
        <v>0.0</v>
      </c>
      <c r="O82" s="121">
        <v>0.0</v>
      </c>
      <c r="P82" s="121">
        <v>0.0</v>
      </c>
      <c r="Q82" s="121">
        <v>0.0</v>
      </c>
      <c r="R82" s="121">
        <v>0.0</v>
      </c>
      <c r="S82" s="121">
        <v>0.0</v>
      </c>
      <c r="T82" s="121">
        <v>0.0</v>
      </c>
      <c r="U82" s="121">
        <v>0.0</v>
      </c>
      <c r="V82" s="121">
        <v>0.0</v>
      </c>
    </row>
    <row r="83" ht="15.75" customHeight="1">
      <c r="A83" s="122">
        <v>2.0</v>
      </c>
      <c r="B83" s="218">
        <v>100.0</v>
      </c>
      <c r="C83" s="121">
        <v>0.0</v>
      </c>
      <c r="D83" s="121">
        <v>0.0</v>
      </c>
      <c r="E83" s="121">
        <v>0.0</v>
      </c>
      <c r="F83" s="121">
        <v>0.0</v>
      </c>
      <c r="G83" s="121">
        <v>0.0</v>
      </c>
      <c r="H83" s="121">
        <v>0.0</v>
      </c>
      <c r="I83" s="121">
        <v>1.0</v>
      </c>
      <c r="J83" s="121">
        <v>0.0</v>
      </c>
      <c r="K83" s="121">
        <v>0.0</v>
      </c>
      <c r="L83" s="121">
        <v>0.0</v>
      </c>
      <c r="M83" s="121">
        <v>0.0</v>
      </c>
      <c r="N83" s="121">
        <v>0.0</v>
      </c>
      <c r="O83" s="121">
        <v>0.0</v>
      </c>
      <c r="P83" s="121">
        <v>0.0</v>
      </c>
      <c r="Q83" s="121">
        <v>0.0</v>
      </c>
      <c r="R83" s="121">
        <v>0.0</v>
      </c>
      <c r="S83" s="121">
        <v>0.0</v>
      </c>
      <c r="T83" s="121">
        <v>0.0</v>
      </c>
      <c r="U83" s="121">
        <v>0.0</v>
      </c>
      <c r="V83" s="121">
        <v>0.0</v>
      </c>
    </row>
    <row r="84" ht="15.75" customHeight="1">
      <c r="A84" s="122">
        <v>3.0</v>
      </c>
      <c r="B84" s="218">
        <v>50.0</v>
      </c>
      <c r="C84" s="121">
        <v>0.0</v>
      </c>
      <c r="D84" s="121">
        <v>0.0</v>
      </c>
      <c r="E84" s="121">
        <v>0.0</v>
      </c>
      <c r="F84" s="121">
        <v>0.0</v>
      </c>
      <c r="G84" s="121">
        <v>0.0</v>
      </c>
      <c r="H84" s="121">
        <v>0.0</v>
      </c>
      <c r="I84" s="121">
        <v>1.0</v>
      </c>
      <c r="J84" s="121">
        <v>0.0</v>
      </c>
      <c r="K84" s="121">
        <v>0.0</v>
      </c>
      <c r="L84" s="121">
        <v>0.0</v>
      </c>
      <c r="M84" s="121">
        <v>0.0</v>
      </c>
      <c r="N84" s="121">
        <v>0.0</v>
      </c>
      <c r="O84" s="121">
        <v>0.0</v>
      </c>
      <c r="P84" s="121">
        <v>0.0</v>
      </c>
      <c r="Q84" s="121">
        <v>0.0</v>
      </c>
      <c r="R84" s="121">
        <v>0.0</v>
      </c>
      <c r="S84" s="121">
        <v>0.0</v>
      </c>
      <c r="T84" s="121">
        <v>0.0</v>
      </c>
      <c r="U84" s="121">
        <v>0.0</v>
      </c>
      <c r="V84" s="121">
        <v>0.0</v>
      </c>
    </row>
    <row r="85" ht="15.75" customHeight="1">
      <c r="A85" s="122">
        <v>4.0</v>
      </c>
      <c r="B85" s="218">
        <v>0.0</v>
      </c>
      <c r="C85" s="121">
        <v>0.0</v>
      </c>
      <c r="D85" s="121">
        <v>0.0</v>
      </c>
      <c r="E85" s="121">
        <v>0.0</v>
      </c>
      <c r="F85" s="121">
        <v>0.0</v>
      </c>
      <c r="G85" s="121">
        <v>0.0</v>
      </c>
      <c r="H85" s="121">
        <v>0.0</v>
      </c>
      <c r="I85" s="121">
        <v>1.0</v>
      </c>
      <c r="J85" s="121">
        <v>0.0</v>
      </c>
      <c r="K85" s="121">
        <v>0.0</v>
      </c>
      <c r="L85" s="121">
        <v>0.0</v>
      </c>
      <c r="M85" s="121">
        <v>0.0</v>
      </c>
      <c r="N85" s="121">
        <v>0.0</v>
      </c>
      <c r="O85" s="121">
        <v>0.0</v>
      </c>
      <c r="P85" s="121">
        <v>0.0</v>
      </c>
      <c r="Q85" s="121">
        <v>0.0</v>
      </c>
      <c r="R85" s="121">
        <v>0.0</v>
      </c>
      <c r="S85" s="121">
        <v>0.0</v>
      </c>
      <c r="T85" s="121">
        <v>0.0</v>
      </c>
      <c r="U85" s="121">
        <v>0.0</v>
      </c>
      <c r="V85" s="121">
        <v>0.0</v>
      </c>
    </row>
    <row r="86" ht="15.75" customHeight="1">
      <c r="A86" s="122">
        <v>5.0</v>
      </c>
      <c r="B86" s="218">
        <v>0.0</v>
      </c>
      <c r="C86" s="121">
        <v>0.0</v>
      </c>
      <c r="D86" s="121">
        <v>0.0</v>
      </c>
      <c r="E86" s="121">
        <v>0.0</v>
      </c>
      <c r="F86" s="121">
        <v>0.0</v>
      </c>
      <c r="G86" s="121">
        <v>0.0</v>
      </c>
      <c r="H86" s="121">
        <v>0.0</v>
      </c>
      <c r="I86" s="121">
        <v>1.0</v>
      </c>
      <c r="J86" s="121">
        <v>0.0</v>
      </c>
      <c r="K86" s="121">
        <v>0.0</v>
      </c>
      <c r="L86" s="121">
        <v>0.0</v>
      </c>
      <c r="M86" s="121">
        <v>0.0</v>
      </c>
      <c r="N86" s="121">
        <v>0.0</v>
      </c>
      <c r="O86" s="121">
        <v>0.0</v>
      </c>
      <c r="P86" s="121">
        <v>0.0</v>
      </c>
      <c r="Q86" s="121">
        <v>0.0</v>
      </c>
      <c r="R86" s="121">
        <v>0.0</v>
      </c>
      <c r="S86" s="121">
        <v>0.0</v>
      </c>
      <c r="T86" s="121">
        <v>0.0</v>
      </c>
      <c r="U86" s="121">
        <v>0.0</v>
      </c>
      <c r="V86" s="121">
        <v>0.0</v>
      </c>
    </row>
    <row r="87" ht="15.75" customHeight="1">
      <c r="A87" s="122">
        <v>6.0</v>
      </c>
      <c r="B87" s="218">
        <v>0.0</v>
      </c>
      <c r="C87" s="121">
        <v>0.0</v>
      </c>
      <c r="D87" s="121">
        <v>0.0</v>
      </c>
      <c r="E87" s="121">
        <v>0.0</v>
      </c>
      <c r="F87" s="121">
        <v>0.0</v>
      </c>
      <c r="G87" s="121">
        <v>0.0</v>
      </c>
      <c r="H87" s="121">
        <v>1.0</v>
      </c>
      <c r="I87" s="121">
        <v>0.0</v>
      </c>
      <c r="J87" s="121">
        <v>0.0</v>
      </c>
      <c r="K87" s="121">
        <v>0.0</v>
      </c>
      <c r="L87" s="121">
        <v>0.0</v>
      </c>
      <c r="M87" s="121">
        <v>0.0</v>
      </c>
      <c r="N87" s="121">
        <v>0.0</v>
      </c>
      <c r="O87" s="121">
        <v>0.0</v>
      </c>
      <c r="P87" s="121">
        <v>0.0</v>
      </c>
      <c r="Q87" s="121">
        <v>0.0</v>
      </c>
      <c r="R87" s="121">
        <v>0.0</v>
      </c>
      <c r="S87" s="121">
        <v>0.0</v>
      </c>
      <c r="T87" s="121">
        <v>0.0</v>
      </c>
      <c r="U87" s="121">
        <v>0.0</v>
      </c>
      <c r="V87" s="121">
        <v>0.0</v>
      </c>
    </row>
    <row r="88" ht="15.75" customHeight="1">
      <c r="A88" s="122">
        <v>7.0</v>
      </c>
      <c r="B88" s="218">
        <v>0.0</v>
      </c>
      <c r="C88" s="121">
        <v>0.0</v>
      </c>
      <c r="D88" s="121">
        <v>0.0</v>
      </c>
      <c r="E88" s="121">
        <v>0.0</v>
      </c>
      <c r="F88" s="121">
        <v>0.0</v>
      </c>
      <c r="G88" s="121">
        <v>0.0</v>
      </c>
      <c r="H88" s="121">
        <v>1.0</v>
      </c>
      <c r="I88" s="121">
        <v>0.0</v>
      </c>
      <c r="J88" s="121">
        <v>0.0</v>
      </c>
      <c r="K88" s="121">
        <v>0.0</v>
      </c>
      <c r="L88" s="121">
        <v>0.0</v>
      </c>
      <c r="M88" s="121">
        <v>0.0</v>
      </c>
      <c r="N88" s="121">
        <v>0.0</v>
      </c>
      <c r="O88" s="121">
        <v>0.0</v>
      </c>
      <c r="P88" s="121">
        <v>0.0</v>
      </c>
      <c r="Q88" s="121">
        <v>0.0</v>
      </c>
      <c r="R88" s="121">
        <v>0.0</v>
      </c>
      <c r="S88" s="121">
        <v>0.0</v>
      </c>
      <c r="T88" s="121">
        <v>0.0</v>
      </c>
      <c r="U88" s="121">
        <v>0.0</v>
      </c>
      <c r="V88" s="121">
        <v>0.0</v>
      </c>
    </row>
    <row r="89" ht="15.75" customHeight="1">
      <c r="A89" s="122">
        <v>8.0</v>
      </c>
      <c r="B89" s="218">
        <v>0.0</v>
      </c>
      <c r="C89" s="121">
        <v>0.0</v>
      </c>
      <c r="D89" s="121">
        <v>0.0</v>
      </c>
      <c r="E89" s="121">
        <v>0.0</v>
      </c>
      <c r="F89" s="121">
        <v>0.0</v>
      </c>
      <c r="G89" s="121">
        <v>0.0</v>
      </c>
      <c r="H89" s="121">
        <v>1.0</v>
      </c>
      <c r="I89" s="121">
        <v>0.0</v>
      </c>
      <c r="J89" s="121">
        <v>0.0</v>
      </c>
      <c r="K89" s="121">
        <v>0.0</v>
      </c>
      <c r="L89" s="121">
        <v>0.0</v>
      </c>
      <c r="M89" s="121">
        <v>0.0</v>
      </c>
      <c r="N89" s="121">
        <v>0.0</v>
      </c>
      <c r="O89" s="121">
        <v>0.0</v>
      </c>
      <c r="P89" s="121">
        <v>0.0</v>
      </c>
      <c r="Q89" s="121">
        <v>0.0</v>
      </c>
      <c r="R89" s="121">
        <v>0.0</v>
      </c>
      <c r="S89" s="121">
        <v>0.0</v>
      </c>
      <c r="T89" s="121">
        <v>0.0</v>
      </c>
      <c r="U89" s="121">
        <v>0.0</v>
      </c>
      <c r="V89" s="121">
        <v>0.0</v>
      </c>
    </row>
    <row r="90" ht="15.75" customHeight="1">
      <c r="A90" s="122">
        <v>9.0</v>
      </c>
      <c r="B90" s="218">
        <v>0.0</v>
      </c>
      <c r="C90" s="121">
        <v>0.0</v>
      </c>
      <c r="D90" s="121">
        <v>0.0</v>
      </c>
      <c r="E90" s="121">
        <v>0.0</v>
      </c>
      <c r="F90" s="121">
        <v>0.0</v>
      </c>
      <c r="G90" s="121">
        <v>0.0</v>
      </c>
      <c r="H90" s="121">
        <v>1.0</v>
      </c>
      <c r="I90" s="121">
        <v>0.0</v>
      </c>
      <c r="J90" s="121">
        <v>0.0</v>
      </c>
      <c r="K90" s="121">
        <v>0.0</v>
      </c>
      <c r="L90" s="121">
        <v>0.0</v>
      </c>
      <c r="M90" s="121">
        <v>0.0</v>
      </c>
      <c r="N90" s="121">
        <v>0.0</v>
      </c>
      <c r="O90" s="121">
        <v>0.0</v>
      </c>
      <c r="P90" s="121">
        <v>0.0</v>
      </c>
      <c r="Q90" s="121">
        <v>0.0</v>
      </c>
      <c r="R90" s="121">
        <v>0.0</v>
      </c>
      <c r="S90" s="121">
        <v>0.0</v>
      </c>
      <c r="T90" s="121">
        <v>0.0</v>
      </c>
      <c r="U90" s="121">
        <v>0.0</v>
      </c>
      <c r="V90" s="121">
        <v>0.0</v>
      </c>
    </row>
    <row r="91" ht="15.75" customHeight="1">
      <c r="A91" s="122">
        <v>10.0</v>
      </c>
      <c r="B91" s="218">
        <v>0.0</v>
      </c>
      <c r="C91" s="121">
        <v>0.0</v>
      </c>
      <c r="D91" s="121">
        <v>0.0</v>
      </c>
      <c r="E91" s="121">
        <v>0.0</v>
      </c>
      <c r="F91" s="121">
        <v>0.0</v>
      </c>
      <c r="G91" s="121">
        <v>0.0</v>
      </c>
      <c r="H91" s="121">
        <v>1.0</v>
      </c>
      <c r="I91" s="121">
        <v>0.0</v>
      </c>
      <c r="J91" s="121">
        <v>0.0</v>
      </c>
      <c r="K91" s="121">
        <v>0.0</v>
      </c>
      <c r="L91" s="121">
        <v>0.0</v>
      </c>
      <c r="M91" s="121">
        <v>0.0</v>
      </c>
      <c r="N91" s="121">
        <v>0.0</v>
      </c>
      <c r="O91" s="121">
        <v>0.0</v>
      </c>
      <c r="P91" s="121">
        <v>0.0</v>
      </c>
      <c r="Q91" s="121">
        <v>0.0</v>
      </c>
      <c r="R91" s="121">
        <v>0.0</v>
      </c>
      <c r="S91" s="121">
        <v>0.0</v>
      </c>
      <c r="T91" s="121">
        <v>0.0</v>
      </c>
      <c r="U91" s="121">
        <v>0.0</v>
      </c>
      <c r="V91" s="121">
        <v>0.0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conditionalFormatting sqref="B10:V19">
    <cfRule type="cellIs" dxfId="5" priority="1" operator="greaterThan">
      <formula>0</formula>
    </cfRule>
  </conditionalFormatting>
  <conditionalFormatting sqref="A10:V19">
    <cfRule type="expression" dxfId="6" priority="2">
      <formula>ISEVEN(ROW()-9+1)</formula>
    </cfRule>
  </conditionalFormatting>
  <conditionalFormatting sqref="B28:V37">
    <cfRule type="cellIs" dxfId="5" priority="3" operator="greaterThan">
      <formula>0</formula>
    </cfRule>
  </conditionalFormatting>
  <conditionalFormatting sqref="A28:V37">
    <cfRule type="expression" dxfId="6" priority="4">
      <formula>ISEVEN(ROW()-26+1)</formula>
    </cfRule>
  </conditionalFormatting>
  <conditionalFormatting sqref="B46:V55">
    <cfRule type="cellIs" dxfId="5" priority="5" operator="greaterThan">
      <formula>0</formula>
    </cfRule>
  </conditionalFormatting>
  <conditionalFormatting sqref="A46:V55">
    <cfRule type="expression" dxfId="6" priority="6">
      <formula>ISEVEN(ROW()-43+1)</formula>
    </cfRule>
  </conditionalFormatting>
  <conditionalFormatting sqref="B64:V73">
    <cfRule type="cellIs" dxfId="5" priority="7" operator="greaterThan">
      <formula>0</formula>
    </cfRule>
  </conditionalFormatting>
  <conditionalFormatting sqref="A64:V73">
    <cfRule type="expression" dxfId="6" priority="8">
      <formula>ISEVEN(ROW()-60+1)</formula>
    </cfRule>
  </conditionalFormatting>
  <conditionalFormatting sqref="B82:V91">
    <cfRule type="cellIs" dxfId="5" priority="9" operator="greaterThan">
      <formula>0</formula>
    </cfRule>
  </conditionalFormatting>
  <conditionalFormatting sqref="A82:V91">
    <cfRule type="expression" dxfId="6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35" width="8.13"/>
    <col customWidth="1" min="36" max="36" width="18.38"/>
    <col customWidth="1" min="37" max="37" width="8.13"/>
    <col customWidth="1" min="38" max="38" width="18.38"/>
    <col customWidth="1" min="39" max="39" width="8.13"/>
    <col customWidth="1" min="40" max="40" width="18.38"/>
    <col customWidth="1" min="41" max="41" width="8.13"/>
    <col customWidth="1" min="42" max="42" width="18.38"/>
    <col customWidth="1" min="43" max="43" width="8.13"/>
    <col customWidth="1" min="44" max="44" width="18.38"/>
  </cols>
  <sheetData>
    <row r="1" ht="21.75" customHeight="1">
      <c r="A1" s="150" t="s">
        <v>297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AH1" s="151" t="s">
        <v>287</v>
      </c>
    </row>
    <row r="2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AH2" s="152" t="s">
        <v>160</v>
      </c>
      <c r="AI2" s="153" t="s">
        <v>161</v>
      </c>
    </row>
    <row r="3" ht="19.5" customHeight="1">
      <c r="A3" s="111" t="s">
        <v>298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AH3" s="152" t="s">
        <v>162</v>
      </c>
      <c r="AI3" s="170" t="s">
        <v>163</v>
      </c>
    </row>
    <row r="4">
      <c r="A4" s="154" t="s">
        <v>299</v>
      </c>
      <c r="B4" s="156">
        <v>10.0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</row>
    <row r="5">
      <c r="A5" s="154" t="s">
        <v>300</v>
      </c>
      <c r="B5" s="156">
        <v>10.0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AH5" s="157" t="s">
        <v>288</v>
      </c>
      <c r="AI5" s="157" t="s">
        <v>289</v>
      </c>
      <c r="AJ5" s="157" t="s">
        <v>166</v>
      </c>
      <c r="AK5" s="157" t="s">
        <v>290</v>
      </c>
      <c r="AL5" s="157" t="s">
        <v>168</v>
      </c>
      <c r="AM5" s="157" t="s">
        <v>291</v>
      </c>
      <c r="AN5" s="157" t="s">
        <v>170</v>
      </c>
      <c r="AO5" s="157" t="s">
        <v>292</v>
      </c>
      <c r="AP5" s="157" t="s">
        <v>172</v>
      </c>
      <c r="AQ5" s="157" t="s">
        <v>293</v>
      </c>
      <c r="AR5" s="157" t="s">
        <v>174</v>
      </c>
    </row>
    <row r="6">
      <c r="A6" s="154" t="s">
        <v>152</v>
      </c>
      <c r="B6" s="155">
        <v>2.0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AH6" s="231" t="s">
        <v>310</v>
      </c>
      <c r="AI6" s="159">
        <f t="array" ref="AI6">LET(pos,CHOOSE(MATCH($AI$2,{"p25","p50","p75"},0),SUMIFS(data_event_inst!$K:$K,data_event_inst!$A:$A,"Red",data_event_inst!$B:$B,$AI$3,data_event_inst!$C:$C,"0-9"),SUMIFS(data_event_inst!$L:$L,data_event_inst!$A:$A,"Red",data_event_inst!$B:$B,$AI$3,data_event_inst!$C:$C,"0-9"),SUMIFS(data_event_inst!$M:$M,data_event_inst!$A:$A,"Red",data_event_inst!$B:$B,$AI$3,data_event_inst!$C:$C,"0-9")),IF(pos=0,"n/a",pos))</f>
        <v>10</v>
      </c>
      <c r="AJ6" s="160" t="str">
        <f t="array" ref="AJ6">LET(p,AI6,IF(p="n/a","n/a",IF(p&gt;10,"— (below ladder)",LET(s,INDEX($B$10:$V$19,p,0),b,TEXTJOIN(", ",TRUE,IF(s&gt;0,$B$9:$V$9&amp;": "&amp;ROUND(s,2),"")),IF(b="","{} (rank pays nothing)","{"&amp;b&amp;"}")))))</f>
        <v>{Slingshot: 1}</v>
      </c>
      <c r="AK6" s="159">
        <f t="array" ref="AK6">LET(pos,CHOOSE(MATCH($AI$2,{"p25","p50","p75"},0),SUMIFS(data_event_inst!$K:$K,data_event_inst!$A:$A,"Red",data_event_inst!$B:$B,$AI$3,data_event_inst!$C:$C,"10-19"),SUMIFS(data_event_inst!$L:$L,data_event_inst!$A:$A,"Red",data_event_inst!$B:$B,$AI$3,data_event_inst!$C:$C,"10-19"),SUMIFS(data_event_inst!$M:$M,data_event_inst!$A:$A,"Red",data_event_inst!$B:$B,$AI$3,data_event_inst!$C:$C,"10-19")),IF(pos=0,"n/a",pos))</f>
        <v>6</v>
      </c>
      <c r="AL6" s="160" t="str">
        <f t="array" ref="AL6">LET(p,AK6,IF(p="n/a","n/a",IF(p&gt;10,"— (below ladder)",LET(s,INDEX($B$10:$V$19,p,0),b,TEXTJOIN(", ",TRUE,IF(s&gt;0,$B$9:$V$9&amp;": "&amp;ROUND(s,2),"")),IF(b="","{} (rank pays nothing)","{"&amp;b&amp;"}")))))</f>
        <v>{Slingshot: 1}</v>
      </c>
      <c r="AM6" s="159">
        <f t="array" ref="AM6">LET(pos,CHOOSE(MATCH($AI$2,{"p25","p50","p75"},0),SUMIFS(data_event_inst!$K:$K,data_event_inst!$A:$A,"Red",data_event_inst!$B:$B,$AI$3,data_event_inst!$C:$C,"20-39"),SUMIFS(data_event_inst!$L:$L,data_event_inst!$A:$A,"Red",data_event_inst!$B:$B,$AI$3,data_event_inst!$C:$C,"20-39"),SUMIFS(data_event_inst!$M:$M,data_event_inst!$A:$A,"Red",data_event_inst!$B:$B,$AI$3,data_event_inst!$C:$C,"20-39")),IF(pos=0,"n/a",pos))</f>
        <v>4</v>
      </c>
      <c r="AN6" s="160" t="str">
        <f t="array" ref="AN6">LET(p,AM6,IF(p="n/a","n/a",IF(p&gt;10,"— (below ladder)",LET(s,INDEX($B$10:$V$19,p,0),b,TEXTJOIN(", ",TRUE,IF(s&gt;0,$B$9:$V$9&amp;": "&amp;ROUND(s,2),"")),IF(b="","{} (rank pays nothing)","{"&amp;b&amp;"}")))))</f>
        <v>{Shuffle: 1}</v>
      </c>
      <c r="AO6" s="159">
        <f t="array" ref="AO6">LET(pos,CHOOSE(MATCH($AI$2,{"p25","p50","p75"},0),SUMIFS(data_event_inst!$K:$K,data_event_inst!$A:$A,"Red",data_event_inst!$B:$B,$AI$3,data_event_inst!$C:$C,"40-99"),SUMIFS(data_event_inst!$L:$L,data_event_inst!$A:$A,"Red",data_event_inst!$B:$B,$AI$3,data_event_inst!$C:$C,"40-99"),SUMIFS(data_event_inst!$M:$M,data_event_inst!$A:$A,"Red",data_event_inst!$B:$B,$AI$3,data_event_inst!$C:$C,"40-99")),IF(pos=0,"n/a",pos))</f>
        <v>2</v>
      </c>
      <c r="AP6" s="160" t="str">
        <f t="array" ref="AP6">LET(p,AO6,IF(p="n/a","n/a",IF(p&gt;10,"— (below ladder)",LET(s,INDEX($B$10:$V$19,p,0),b,TEXTJOIN(", ",TRUE,IF(s&gt;0,$B$9:$V$9&amp;": "&amp;ROUND(s,2),"")),IF(b="","{} (rank pays nothing)","{"&amp;b&amp;"}")))))</f>
        <v>{Coins: 100, Shuffle: 1}</v>
      </c>
      <c r="AQ6" s="159">
        <f t="array" ref="AQ6">LET(pos,CHOOSE(MATCH($AI$2,{"p25","p50","p75"},0),SUMIFS(data_event_inst!$K:$K,data_event_inst!$A:$A,"Red",data_event_inst!$B:$B,$AI$3,data_event_inst!$C:$C,"100+"),SUMIFS(data_event_inst!$L:$L,data_event_inst!$A:$A,"Red",data_event_inst!$B:$B,$AI$3,data_event_inst!$C:$C,"100+"),SUMIFS(data_event_inst!$M:$M,data_event_inst!$A:$A,"Red",data_event_inst!$B:$B,$AI$3,data_event_inst!$C:$C,"100+")),IF(pos=0,"n/a",pos))</f>
        <v>1</v>
      </c>
      <c r="AR6" s="160" t="str">
        <f t="array" ref="AR6">LET(p,AQ6,IF(p="n/a","n/a",IF(p&gt;10,"— (below ladder)",LET(s,INDEX($B$10:$V$19,p,0),b,TEXTJOIN(", ",TRUE,IF(s&gt;0,$B$9:$V$9&amp;": "&amp;ROUND(s,2),"")),IF(b="","{} (rank pays nothing)","{"&amp;b&amp;"}")))))</f>
        <v>{Coins: 200, Comet: 1}</v>
      </c>
    </row>
    <row r="7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AH7" s="231" t="s">
        <v>311</v>
      </c>
      <c r="AI7" s="159">
        <f t="array" ref="AI7">LET(pos,CHOOSE(MATCH($AI$2,{"p25","p50","p75"},0),SUMIFS(data_event_inst!$K:$K,data_event_inst!$A:$A,"Chuck",data_event_inst!$B:$B,$AI$3,data_event_inst!$C:$C,"0-9"),SUMIFS(data_event_inst!$L:$L,data_event_inst!$A:$A,"Chuck",data_event_inst!$B:$B,$AI$3,data_event_inst!$C:$C,"0-9"),SUMIFS(data_event_inst!$M:$M,data_event_inst!$A:$A,"Chuck",data_event_inst!$B:$B,$AI$3,data_event_inst!$C:$C,"0-9")),IF(pos=0,"n/a",pos))</f>
        <v>10</v>
      </c>
      <c r="AJ7" s="160" t="str">
        <f t="array" ref="AJ7">LET(p,AI7,IF(p="n/a","n/a",IF(p&gt;10,"— (below ladder)",LET(s,INDEX($B$28:$V$37,p,0),b,TEXTJOIN(", ",TRUE,IF(s&gt;0,$B$27:$V$27&amp;": "&amp;ROUND(s,2),"")),IF(b="","{} (rank pays nothing)","{"&amp;b&amp;"}")))))</f>
        <v>{Slingshot: 1}</v>
      </c>
      <c r="AK7" s="159">
        <f t="array" ref="AK7">LET(pos,CHOOSE(MATCH($AI$2,{"p25","p50","p75"},0),SUMIFS(data_event_inst!$K:$K,data_event_inst!$A:$A,"Chuck",data_event_inst!$B:$B,$AI$3,data_event_inst!$C:$C,"10-19"),SUMIFS(data_event_inst!$L:$L,data_event_inst!$A:$A,"Chuck",data_event_inst!$B:$B,$AI$3,data_event_inst!$C:$C,"10-19"),SUMIFS(data_event_inst!$M:$M,data_event_inst!$A:$A,"Chuck",data_event_inst!$B:$B,$AI$3,data_event_inst!$C:$C,"10-19")),IF(pos=0,"n/a",pos))</f>
        <v>6</v>
      </c>
      <c r="AL7" s="160" t="str">
        <f t="array" ref="AL7">LET(p,AK7,IF(p="n/a","n/a",IF(p&gt;10,"— (below ladder)",LET(s,INDEX($B$28:$V$37,p,0),b,TEXTJOIN(", ",TRUE,IF(s&gt;0,$B$27:$V$27&amp;": "&amp;ROUND(s,2),"")),IF(b="","{} (rank pays nothing)","{"&amp;b&amp;"}")))))</f>
        <v>{Slingshot: 1}</v>
      </c>
      <c r="AM7" s="159">
        <f t="array" ref="AM7">LET(pos,CHOOSE(MATCH($AI$2,{"p25","p50","p75"},0),SUMIFS(data_event_inst!$K:$K,data_event_inst!$A:$A,"Chuck",data_event_inst!$B:$B,$AI$3,data_event_inst!$C:$C,"20-39"),SUMIFS(data_event_inst!$L:$L,data_event_inst!$A:$A,"Chuck",data_event_inst!$B:$B,$AI$3,data_event_inst!$C:$C,"20-39"),SUMIFS(data_event_inst!$M:$M,data_event_inst!$A:$A,"Chuck",data_event_inst!$B:$B,$AI$3,data_event_inst!$C:$C,"20-39")),IF(pos=0,"n/a",pos))</f>
        <v>4</v>
      </c>
      <c r="AN7" s="160" t="str">
        <f t="array" ref="AN7">LET(p,AM7,IF(p="n/a","n/a",IF(p&gt;10,"— (below ladder)",LET(s,INDEX($B$28:$V$37,p,0),b,TEXTJOIN(", ",TRUE,IF(s&gt;0,$B$27:$V$27&amp;": "&amp;ROUND(s,2),"")),IF(b="","{} (rank pays nothing)","{"&amp;b&amp;"}")))))</f>
        <v>{Shuffle: 1}</v>
      </c>
      <c r="AO7" s="159">
        <f t="array" ref="AO7">LET(pos,CHOOSE(MATCH($AI$2,{"p25","p50","p75"},0),SUMIFS(data_event_inst!$K:$K,data_event_inst!$A:$A,"Chuck",data_event_inst!$B:$B,$AI$3,data_event_inst!$C:$C,"40-99"),SUMIFS(data_event_inst!$L:$L,data_event_inst!$A:$A,"Chuck",data_event_inst!$B:$B,$AI$3,data_event_inst!$C:$C,"40-99"),SUMIFS(data_event_inst!$M:$M,data_event_inst!$A:$A,"Chuck",data_event_inst!$B:$B,$AI$3,data_event_inst!$C:$C,"40-99")),IF(pos=0,"n/a",pos))</f>
        <v>2</v>
      </c>
      <c r="AP7" s="160" t="str">
        <f t="array" ref="AP7">LET(p,AO7,IF(p="n/a","n/a",IF(p&gt;10,"— (below ladder)",LET(s,INDEX($B$28:$V$37,p,0),b,TEXTJOIN(", ",TRUE,IF(s&gt;0,$B$27:$V$27&amp;": "&amp;ROUND(s,2),"")),IF(b="","{} (rank pays nothing)","{"&amp;b&amp;"}")))))</f>
        <v>{Coins: 100, Shuffle: 1}</v>
      </c>
      <c r="AQ7" s="159">
        <f t="array" ref="AQ7">LET(pos,CHOOSE(MATCH($AI$2,{"p25","p50","p75"},0),SUMIFS(data_event_inst!$K:$K,data_event_inst!$A:$A,"Chuck",data_event_inst!$B:$B,$AI$3,data_event_inst!$C:$C,"100+"),SUMIFS(data_event_inst!$L:$L,data_event_inst!$A:$A,"Chuck",data_event_inst!$B:$B,$AI$3,data_event_inst!$C:$C,"100+"),SUMIFS(data_event_inst!$M:$M,data_event_inst!$A:$A,"Chuck",data_event_inst!$B:$B,$AI$3,data_event_inst!$C:$C,"100+")),IF(pos=0,"n/a",pos))</f>
        <v>1</v>
      </c>
      <c r="AR7" s="160" t="str">
        <f t="array" ref="AR7">LET(p,AQ7,IF(p="n/a","n/a",IF(p&gt;10,"— (below ladder)",LET(s,INDEX($B$28:$V$37,p,0),b,TEXTJOIN(", ",TRUE,IF(s&gt;0,$B$27:$V$27&amp;": "&amp;ROUND(s,2),"")),IF(b="","{} (rank pays nothing)","{"&amp;b&amp;"}")))))</f>
        <v>{Coins: 200, Comet: 1}</v>
      </c>
    </row>
    <row r="8" ht="19.5" customHeight="1">
      <c r="A8" s="111" t="s">
        <v>301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AH8" s="231" t="s">
        <v>312</v>
      </c>
      <c r="AI8" s="159">
        <f t="array" ref="AI8">LET(pos,CHOOSE(MATCH($AI$2,{"p25","p50","p75"},0),SUMIFS(data_event_inst!$K:$K,data_event_inst!$A:$A,"Bomb",data_event_inst!$B:$B,$AI$3,data_event_inst!$C:$C,"0-9"),SUMIFS(data_event_inst!$L:$L,data_event_inst!$A:$A,"Bomb",data_event_inst!$B:$B,$AI$3,data_event_inst!$C:$C,"0-9"),SUMIFS(data_event_inst!$M:$M,data_event_inst!$A:$A,"Bomb",data_event_inst!$B:$B,$AI$3,data_event_inst!$C:$C,"0-9")),IF(pos=0,"n/a",pos))</f>
        <v>11</v>
      </c>
      <c r="AJ8" s="160" t="str">
        <f t="array" ref="AJ8">LET(p,AI8,IF(p="n/a","n/a",IF(p&gt;10,"— (below ladder)",LET(s,INDEX($B$46:$V$55,p,0),b,TEXTJOIN(", ",TRUE,IF(s&gt;0,$B$45:$V$45&amp;": "&amp;ROUND(s,2),"")),IF(b="","{} (rank pays nothing)","{"&amp;b&amp;"}")))))</f>
        <v>— (below ladder)</v>
      </c>
      <c r="AK8" s="159">
        <f t="array" ref="AK8">LET(pos,CHOOSE(MATCH($AI$2,{"p25","p50","p75"},0),SUMIFS(data_event_inst!$K:$K,data_event_inst!$A:$A,"Bomb",data_event_inst!$B:$B,$AI$3,data_event_inst!$C:$C,"10-19"),SUMIFS(data_event_inst!$L:$L,data_event_inst!$A:$A,"Bomb",data_event_inst!$B:$B,$AI$3,data_event_inst!$C:$C,"10-19"),SUMIFS(data_event_inst!$M:$M,data_event_inst!$A:$A,"Bomb",data_event_inst!$B:$B,$AI$3,data_event_inst!$C:$C,"10-19")),IF(pos=0,"n/a",pos))</f>
        <v>8</v>
      </c>
      <c r="AL8" s="160" t="str">
        <f t="array" ref="AL8">LET(p,AK8,IF(p="n/a","n/a",IF(p&gt;10,"— (below ladder)",LET(s,INDEX($B$46:$V$55,p,0),b,TEXTJOIN(", ",TRUE,IF(s&gt;0,$B$45:$V$45&amp;": "&amp;ROUND(s,2),"")),IF(b="","{} (rank pays nothing)","{"&amp;b&amp;"}")))))</f>
        <v>{Slingshot: 1}</v>
      </c>
      <c r="AM8" s="159">
        <f t="array" ref="AM8">LET(pos,CHOOSE(MATCH($AI$2,{"p25","p50","p75"},0),SUMIFS(data_event_inst!$K:$K,data_event_inst!$A:$A,"Bomb",data_event_inst!$B:$B,$AI$3,data_event_inst!$C:$C,"20-39"),SUMIFS(data_event_inst!$L:$L,data_event_inst!$A:$A,"Bomb",data_event_inst!$B:$B,$AI$3,data_event_inst!$C:$C,"20-39"),SUMIFS(data_event_inst!$M:$M,data_event_inst!$A:$A,"Bomb",data_event_inst!$B:$B,$AI$3,data_event_inst!$C:$C,"20-39")),IF(pos=0,"n/a",pos))</f>
        <v>5</v>
      </c>
      <c r="AN8" s="160" t="str">
        <f t="array" ref="AN8">LET(p,AM8,IF(p="n/a","n/a",IF(p&gt;10,"— (below ladder)",LET(s,INDEX($B$46:$V$55,p,0),b,TEXTJOIN(", ",TRUE,IF(s&gt;0,$B$45:$V$45&amp;": "&amp;ROUND(s,2),"")),IF(b="","{} (rank pays nothing)","{"&amp;b&amp;"}")))))</f>
        <v>{Shuffle: 1}</v>
      </c>
      <c r="AO8" s="159">
        <f t="array" ref="AO8">LET(pos,CHOOSE(MATCH($AI$2,{"p25","p50","p75"},0),SUMIFS(data_event_inst!$K:$K,data_event_inst!$A:$A,"Bomb",data_event_inst!$B:$B,$AI$3,data_event_inst!$C:$C,"40-99"),SUMIFS(data_event_inst!$L:$L,data_event_inst!$A:$A,"Bomb",data_event_inst!$B:$B,$AI$3,data_event_inst!$C:$C,"40-99"),SUMIFS(data_event_inst!$M:$M,data_event_inst!$A:$A,"Bomb",data_event_inst!$B:$B,$AI$3,data_event_inst!$C:$C,"40-99")),IF(pos=0,"n/a",pos))</f>
        <v>3</v>
      </c>
      <c r="AP8" s="160" t="str">
        <f t="array" ref="AP8">LET(p,AO8,IF(p="n/a","n/a",IF(p&gt;10,"— (below ladder)",LET(s,INDEX($B$46:$V$55,p,0),b,TEXTJOIN(", ",TRUE,IF(s&gt;0,$B$45:$V$45&amp;": "&amp;ROUND(s,2),"")),IF(b="","{} (rank pays nothing)","{"&amp;b&amp;"}")))))</f>
        <v>{Coins: 50, Shuffle: 1}</v>
      </c>
      <c r="AQ8" s="159">
        <f t="array" ref="AQ8">LET(pos,CHOOSE(MATCH($AI$2,{"p25","p50","p75"},0),SUMIFS(data_event_inst!$K:$K,data_event_inst!$A:$A,"Bomb",data_event_inst!$B:$B,$AI$3,data_event_inst!$C:$C,"100+"),SUMIFS(data_event_inst!$L:$L,data_event_inst!$A:$A,"Bomb",data_event_inst!$B:$B,$AI$3,data_event_inst!$C:$C,"100+"),SUMIFS(data_event_inst!$M:$M,data_event_inst!$A:$A,"Bomb",data_event_inst!$B:$B,$AI$3,data_event_inst!$C:$C,"100+")),IF(pos=0,"n/a",pos))</f>
        <v>1</v>
      </c>
      <c r="AR8" s="160" t="str">
        <f t="array" ref="AR8">LET(p,AQ8,IF(p="n/a","n/a",IF(p&gt;10,"— (below ladder)",LET(s,INDEX($B$46:$V$55,p,0),b,TEXTJOIN(", ",TRUE,IF(s&gt;0,$B$45:$V$45&amp;": "&amp;ROUND(s,2),"")),IF(b="","{} (rank pays nothing)","{"&amp;b&amp;"}")))))</f>
        <v>{Coins: 200, Comet: 1}</v>
      </c>
    </row>
    <row r="9" ht="90.0" customHeight="1">
      <c r="A9" s="162" t="s">
        <v>216</v>
      </c>
      <c r="B9" s="233" t="s">
        <v>82</v>
      </c>
      <c r="C9" s="164" t="s">
        <v>68</v>
      </c>
      <c r="D9" s="164" t="s">
        <v>103</v>
      </c>
      <c r="E9" s="164" t="s">
        <v>69</v>
      </c>
      <c r="F9" s="164" t="s">
        <v>70</v>
      </c>
      <c r="G9" s="164" t="s">
        <v>71</v>
      </c>
      <c r="H9" s="164" t="s">
        <v>72</v>
      </c>
      <c r="I9" s="164" t="s">
        <v>73</v>
      </c>
      <c r="J9" s="164" t="s">
        <v>74</v>
      </c>
      <c r="K9" s="164" t="s">
        <v>75</v>
      </c>
      <c r="L9" s="164" t="s">
        <v>76</v>
      </c>
      <c r="M9" s="164" t="s">
        <v>77</v>
      </c>
      <c r="N9" s="164" t="s">
        <v>78</v>
      </c>
      <c r="O9" s="164" t="s">
        <v>118</v>
      </c>
      <c r="P9" s="164" t="s">
        <v>104</v>
      </c>
      <c r="Q9" s="164" t="s">
        <v>105</v>
      </c>
      <c r="R9" s="164" t="s">
        <v>106</v>
      </c>
      <c r="S9" s="164" t="s">
        <v>107</v>
      </c>
      <c r="T9" s="164" t="s">
        <v>108</v>
      </c>
      <c r="U9" s="164" t="s">
        <v>109</v>
      </c>
      <c r="V9" s="164" t="s">
        <v>110</v>
      </c>
      <c r="AH9" s="231" t="s">
        <v>50</v>
      </c>
      <c r="AI9" s="159">
        <f t="array" ref="AI9">LET(pos,CHOOSE(MATCH($AI$2,{"p25","p50","p75"},0),SUMIFS(data_event_inst!$K:$K,data_event_inst!$A:$A,"Level Race",data_event_inst!$B:$B,$AI$3,data_event_inst!$C:$C,"0-9"),SUMIFS(data_event_inst!$L:$L,data_event_inst!$A:$A,"Level Race",data_event_inst!$B:$B,$AI$3,data_event_inst!$C:$C,"0-9"),SUMIFS(data_event_inst!$M:$M,data_event_inst!$A:$A,"Level Race",data_event_inst!$B:$B,$AI$3,data_event_inst!$C:$C,"0-9")),IF(pos=0,"n/a",pos))</f>
        <v>10</v>
      </c>
      <c r="AJ9" s="160" t="str">
        <f t="array" ref="AJ9">LET(p,AI9,IF(p="n/a","n/a",IF(p&gt;10,"— (below ladder)",LET(s,INDEX($B$64:$V$73,p,0),b,TEXTJOIN(", ",TRUE,IF(s&gt;0,$B$63:$V$63&amp;": "&amp;ROUND(s,2),"")),IF(b="","{} (rank pays nothing)","{"&amp;b&amp;"}")))))</f>
        <v>{Slingshot: 1}</v>
      </c>
      <c r="AK9" s="159">
        <f t="array" ref="AK9">LET(pos,CHOOSE(MATCH($AI$2,{"p25","p50","p75"},0),SUMIFS(data_event_inst!$K:$K,data_event_inst!$A:$A,"Level Race",data_event_inst!$B:$B,$AI$3,data_event_inst!$C:$C,"10-19"),SUMIFS(data_event_inst!$L:$L,data_event_inst!$A:$A,"Level Race",data_event_inst!$B:$B,$AI$3,data_event_inst!$C:$C,"10-19"),SUMIFS(data_event_inst!$M:$M,data_event_inst!$A:$A,"Level Race",data_event_inst!$B:$B,$AI$3,data_event_inst!$C:$C,"10-19")),IF(pos=0,"n/a",pos))</f>
        <v>6</v>
      </c>
      <c r="AL9" s="160" t="str">
        <f t="array" ref="AL9">LET(p,AK9,IF(p="n/a","n/a",IF(p&gt;10,"— (below ladder)",LET(s,INDEX($B$64:$V$73,p,0),b,TEXTJOIN(", ",TRUE,IF(s&gt;0,$B$63:$V$63&amp;": "&amp;ROUND(s,2),"")),IF(b="","{} (rank pays nothing)","{"&amp;b&amp;"}")))))</f>
        <v>{Slingshot: 1}</v>
      </c>
      <c r="AM9" s="159">
        <f t="array" ref="AM9">LET(pos,CHOOSE(MATCH($AI$2,{"p25","p50","p75"},0),SUMIFS(data_event_inst!$K:$K,data_event_inst!$A:$A,"Level Race",data_event_inst!$B:$B,$AI$3,data_event_inst!$C:$C,"20-39"),SUMIFS(data_event_inst!$L:$L,data_event_inst!$A:$A,"Level Race",data_event_inst!$B:$B,$AI$3,data_event_inst!$C:$C,"20-39"),SUMIFS(data_event_inst!$M:$M,data_event_inst!$A:$A,"Level Race",data_event_inst!$B:$B,$AI$3,data_event_inst!$C:$C,"20-39")),IF(pos=0,"n/a",pos))</f>
        <v>4</v>
      </c>
      <c r="AN9" s="160" t="str">
        <f t="array" ref="AN9">LET(p,AM9,IF(p="n/a","n/a",IF(p&gt;10,"— (below ladder)",LET(s,INDEX($B$64:$V$73,p,0),b,TEXTJOIN(", ",TRUE,IF(s&gt;0,$B$63:$V$63&amp;": "&amp;ROUND(s,2),"")),IF(b="","{} (rank pays nothing)","{"&amp;b&amp;"}")))))</f>
        <v>{Shuffle: 1}</v>
      </c>
      <c r="AO9" s="159">
        <f t="array" ref="AO9">LET(pos,CHOOSE(MATCH($AI$2,{"p25","p50","p75"},0),SUMIFS(data_event_inst!$K:$K,data_event_inst!$A:$A,"Level Race",data_event_inst!$B:$B,$AI$3,data_event_inst!$C:$C,"40-99"),SUMIFS(data_event_inst!$L:$L,data_event_inst!$A:$A,"Level Race",data_event_inst!$B:$B,$AI$3,data_event_inst!$C:$C,"40-99"),SUMIFS(data_event_inst!$M:$M,data_event_inst!$A:$A,"Level Race",data_event_inst!$B:$B,$AI$3,data_event_inst!$C:$C,"40-99")),IF(pos=0,"n/a",pos))</f>
        <v>2</v>
      </c>
      <c r="AP9" s="160" t="str">
        <f t="array" ref="AP9">LET(p,AO9,IF(p="n/a","n/a",IF(p&gt;10,"— (below ladder)",LET(s,INDEX($B$64:$V$73,p,0),b,TEXTJOIN(", ",TRUE,IF(s&gt;0,$B$63:$V$63&amp;": "&amp;ROUND(s,2),"")),IF(b="","{} (rank pays nothing)","{"&amp;b&amp;"}")))))</f>
        <v>{Coins: 100, Shuffle: 1}</v>
      </c>
      <c r="AQ9" s="159">
        <f t="array" ref="AQ9">LET(pos,CHOOSE(MATCH($AI$2,{"p25","p50","p75"},0),SUMIFS(data_event_inst!$K:$K,data_event_inst!$A:$A,"Level Race",data_event_inst!$B:$B,$AI$3,data_event_inst!$C:$C,"100+"),SUMIFS(data_event_inst!$L:$L,data_event_inst!$A:$A,"Level Race",data_event_inst!$B:$B,$AI$3,data_event_inst!$C:$C,"100+"),SUMIFS(data_event_inst!$M:$M,data_event_inst!$A:$A,"Level Race",data_event_inst!$B:$B,$AI$3,data_event_inst!$C:$C,"100+")),IF(pos=0,"n/a",pos))</f>
        <v>1</v>
      </c>
      <c r="AR9" s="160" t="str">
        <f t="array" ref="AR9">LET(p,AQ9,IF(p="n/a","n/a",IF(p&gt;10,"— (below ladder)",LET(s,INDEX($B$64:$V$73,p,0),b,TEXTJOIN(", ",TRUE,IF(s&gt;0,$B$63:$V$63&amp;": "&amp;ROUND(s,2),"")),IF(b="","{} (rank pays nothing)","{"&amp;b&amp;"}")))))</f>
        <v>{Coins: 200, Comet: 1}</v>
      </c>
    </row>
    <row r="10">
      <c r="A10" s="166">
        <v>1.0</v>
      </c>
      <c r="B10" s="234">
        <v>200.0</v>
      </c>
      <c r="C10" s="165">
        <v>0.0</v>
      </c>
      <c r="D10" s="165">
        <v>0.0</v>
      </c>
      <c r="E10" s="165">
        <v>0.0</v>
      </c>
      <c r="F10" s="165">
        <v>0.0</v>
      </c>
      <c r="G10" s="165">
        <v>0.0</v>
      </c>
      <c r="H10" s="165">
        <v>0.0</v>
      </c>
      <c r="I10" s="165">
        <v>0.0</v>
      </c>
      <c r="J10" s="165">
        <v>1.0</v>
      </c>
      <c r="K10" s="165">
        <v>0.0</v>
      </c>
      <c r="L10" s="165">
        <v>0.0</v>
      </c>
      <c r="M10" s="165">
        <v>0.0</v>
      </c>
      <c r="N10" s="165">
        <v>0.0</v>
      </c>
      <c r="O10" s="165">
        <v>0.0</v>
      </c>
      <c r="P10" s="165">
        <v>0.0</v>
      </c>
      <c r="Q10" s="165">
        <v>0.0</v>
      </c>
      <c r="R10" s="165">
        <v>0.0</v>
      </c>
      <c r="S10" s="165">
        <v>0.0</v>
      </c>
      <c r="T10" s="165">
        <v>0.0</v>
      </c>
      <c r="U10" s="165">
        <v>0.0</v>
      </c>
      <c r="V10" s="165">
        <v>0.0</v>
      </c>
      <c r="AH10" s="231" t="s">
        <v>46</v>
      </c>
      <c r="AI10" s="159">
        <f t="array" ref="AI10">LET(pos,CHOOSE(MATCH($AI$2,{"p25","p50","p75"},0),SUMIFS(data_event_inst!$K:$K,data_event_inst!$A:$A,"Flash Race",data_event_inst!$B:$B,$AI$3,data_event_inst!$C:$C,"0-9"),SUMIFS(data_event_inst!$L:$L,data_event_inst!$A:$A,"Flash Race",data_event_inst!$B:$B,$AI$3,data_event_inst!$C:$C,"0-9"),SUMIFS(data_event_inst!$M:$M,data_event_inst!$A:$A,"Flash Race",data_event_inst!$B:$B,$AI$3,data_event_inst!$C:$C,"0-9")),IF(pos=0,"n/a",pos))</f>
        <v>4</v>
      </c>
      <c r="AJ10" s="160" t="str">
        <f t="array" ref="AJ10">LET(p,AI10,IF(p="n/a","n/a",IF(p&gt;10,"— (below ladder)",LET(s,INDEX($B$82:$V$91,p,0),b,TEXTJOIN(", ",TRUE,IF(s&gt;0,$B$81:$V$81&amp;": "&amp;ROUND(s,2),"")),IF(b="","{} (rank pays nothing)","{"&amp;b&amp;"}")))))</f>
        <v>{Shuffle: 1}</v>
      </c>
      <c r="AK10" s="159">
        <f t="array" ref="AK10">LET(pos,CHOOSE(MATCH($AI$2,{"p25","p50","p75"},0),SUMIFS(data_event_inst!$K:$K,data_event_inst!$A:$A,"Flash Race",data_event_inst!$B:$B,$AI$3,data_event_inst!$C:$C,"10-19"),SUMIFS(data_event_inst!$L:$L,data_event_inst!$A:$A,"Flash Race",data_event_inst!$B:$B,$AI$3,data_event_inst!$C:$C,"10-19"),SUMIFS(data_event_inst!$M:$M,data_event_inst!$A:$A,"Flash Race",data_event_inst!$B:$B,$AI$3,data_event_inst!$C:$C,"10-19")),IF(pos=0,"n/a",pos))</f>
        <v>3</v>
      </c>
      <c r="AL10" s="160" t="str">
        <f t="array" ref="AL10">LET(p,AK10,IF(p="n/a","n/a",IF(p&gt;10,"— (below ladder)",LET(s,INDEX($B$82:$V$91,p,0),b,TEXTJOIN(", ",TRUE,IF(s&gt;0,$B$81:$V$81&amp;": "&amp;ROUND(s,2),"")),IF(b="","{} (rank pays nothing)","{"&amp;b&amp;"}")))))</f>
        <v>{Coins: 50, Shuffle: 1}</v>
      </c>
      <c r="AM10" s="159">
        <f t="array" ref="AM10">LET(pos,CHOOSE(MATCH($AI$2,{"p25","p50","p75"},0),SUMIFS(data_event_inst!$K:$K,data_event_inst!$A:$A,"Flash Race",data_event_inst!$B:$B,$AI$3,data_event_inst!$C:$C,"20-39"),SUMIFS(data_event_inst!$L:$L,data_event_inst!$A:$A,"Flash Race",data_event_inst!$B:$B,$AI$3,data_event_inst!$C:$C,"20-39"),SUMIFS(data_event_inst!$M:$M,data_event_inst!$A:$A,"Flash Race",data_event_inst!$B:$B,$AI$3,data_event_inst!$C:$C,"20-39")),IF(pos=0,"n/a",pos))</f>
        <v>3</v>
      </c>
      <c r="AN10" s="160" t="str">
        <f t="array" ref="AN10">LET(p,AM10,IF(p="n/a","n/a",IF(p&gt;10,"— (below ladder)",LET(s,INDEX($B$82:$V$91,p,0),b,TEXTJOIN(", ",TRUE,IF(s&gt;0,$B$81:$V$81&amp;": "&amp;ROUND(s,2),"")),IF(b="","{} (rank pays nothing)","{"&amp;b&amp;"}")))))</f>
        <v>{Coins: 50, Shuffle: 1}</v>
      </c>
      <c r="AO10" s="159">
        <f t="array" ref="AO10">LET(pos,CHOOSE(MATCH($AI$2,{"p25","p50","p75"},0),SUMIFS(data_event_inst!$K:$K,data_event_inst!$A:$A,"Flash Race",data_event_inst!$B:$B,$AI$3,data_event_inst!$C:$C,"40-99"),SUMIFS(data_event_inst!$L:$L,data_event_inst!$A:$A,"Flash Race",data_event_inst!$B:$B,$AI$3,data_event_inst!$C:$C,"40-99"),SUMIFS(data_event_inst!$M:$M,data_event_inst!$A:$A,"Flash Race",data_event_inst!$B:$B,$AI$3,data_event_inst!$C:$C,"40-99")),IF(pos=0,"n/a",pos))</f>
        <v>2</v>
      </c>
      <c r="AP10" s="160" t="str">
        <f t="array" ref="AP10">LET(p,AO10,IF(p="n/a","n/a",IF(p&gt;10,"— (below ladder)",LET(s,INDEX($B$82:$V$91,p,0),b,TEXTJOIN(", ",TRUE,IF(s&gt;0,$B$81:$V$81&amp;": "&amp;ROUND(s,2),"")),IF(b="","{} (rank pays nothing)","{"&amp;b&amp;"}")))))</f>
        <v>{Coins: 100, Shuffle: 1}</v>
      </c>
      <c r="AQ10" s="159">
        <f t="array" ref="AQ10">LET(pos,CHOOSE(MATCH($AI$2,{"p25","p50","p75"},0),SUMIFS(data_event_inst!$K:$K,data_event_inst!$A:$A,"Flash Race",data_event_inst!$B:$B,$AI$3,data_event_inst!$C:$C,"100+"),SUMIFS(data_event_inst!$L:$L,data_event_inst!$A:$A,"Flash Race",data_event_inst!$B:$B,$AI$3,data_event_inst!$C:$C,"100+"),SUMIFS(data_event_inst!$M:$M,data_event_inst!$A:$A,"Flash Race",data_event_inst!$B:$B,$AI$3,data_event_inst!$C:$C,"100+")),IF(pos=0,"n/a",pos))</f>
        <v>2</v>
      </c>
      <c r="AR10" s="160" t="str">
        <f t="array" ref="AR10">LET(p,AQ10,IF(p="n/a","n/a",IF(p&gt;10,"— (below ladder)",LET(s,INDEX($B$82:$V$91,p,0),b,TEXTJOIN(", ",TRUE,IF(s&gt;0,$B$81:$V$81&amp;": "&amp;ROUND(s,2),"")),IF(b="","{} (rank pays nothing)","{"&amp;b&amp;"}")))))</f>
        <v>{Coins: 100, Shuffle: 1}</v>
      </c>
    </row>
    <row r="11">
      <c r="A11" s="166">
        <v>2.0</v>
      </c>
      <c r="B11" s="234">
        <v>100.0</v>
      </c>
      <c r="C11" s="165">
        <v>0.0</v>
      </c>
      <c r="D11" s="165">
        <v>0.0</v>
      </c>
      <c r="E11" s="165">
        <v>0.0</v>
      </c>
      <c r="F11" s="165">
        <v>0.0</v>
      </c>
      <c r="G11" s="165">
        <v>0.0</v>
      </c>
      <c r="H11" s="165">
        <v>0.0</v>
      </c>
      <c r="I11" s="165">
        <v>1.0</v>
      </c>
      <c r="J11" s="165">
        <v>0.0</v>
      </c>
      <c r="K11" s="165">
        <v>0.0</v>
      </c>
      <c r="L11" s="165">
        <v>0.0</v>
      </c>
      <c r="M11" s="165">
        <v>0.0</v>
      </c>
      <c r="N11" s="165">
        <v>0.0</v>
      </c>
      <c r="O11" s="165">
        <v>0.0</v>
      </c>
      <c r="P11" s="165">
        <v>0.0</v>
      </c>
      <c r="Q11" s="165">
        <v>0.0</v>
      </c>
      <c r="R11" s="165">
        <v>0.0</v>
      </c>
      <c r="S11" s="165">
        <v>0.0</v>
      </c>
      <c r="T11" s="165">
        <v>0.0</v>
      </c>
      <c r="U11" s="165">
        <v>0.0</v>
      </c>
      <c r="V11" s="165">
        <v>0.0</v>
      </c>
    </row>
    <row r="12">
      <c r="A12" s="166">
        <v>3.0</v>
      </c>
      <c r="B12" s="234">
        <v>50.0</v>
      </c>
      <c r="C12" s="165">
        <v>0.0</v>
      </c>
      <c r="D12" s="165">
        <v>0.0</v>
      </c>
      <c r="E12" s="165">
        <v>0.0</v>
      </c>
      <c r="F12" s="165">
        <v>0.0</v>
      </c>
      <c r="G12" s="165">
        <v>0.0</v>
      </c>
      <c r="H12" s="165">
        <v>0.0</v>
      </c>
      <c r="I12" s="165">
        <v>1.0</v>
      </c>
      <c r="J12" s="165">
        <v>0.0</v>
      </c>
      <c r="K12" s="165">
        <v>0.0</v>
      </c>
      <c r="L12" s="165">
        <v>0.0</v>
      </c>
      <c r="M12" s="165">
        <v>0.0</v>
      </c>
      <c r="N12" s="165">
        <v>0.0</v>
      </c>
      <c r="O12" s="165">
        <v>0.0</v>
      </c>
      <c r="P12" s="165">
        <v>0.0</v>
      </c>
      <c r="Q12" s="165">
        <v>0.0</v>
      </c>
      <c r="R12" s="165">
        <v>0.0</v>
      </c>
      <c r="S12" s="165">
        <v>0.0</v>
      </c>
      <c r="T12" s="165">
        <v>0.0</v>
      </c>
      <c r="U12" s="165">
        <v>0.0</v>
      </c>
      <c r="V12" s="165">
        <v>0.0</v>
      </c>
      <c r="AH12" s="176" t="s">
        <v>294</v>
      </c>
    </row>
    <row r="13">
      <c r="A13" s="166">
        <v>4.0</v>
      </c>
      <c r="B13" s="234">
        <v>0.0</v>
      </c>
      <c r="C13" s="165">
        <v>0.0</v>
      </c>
      <c r="D13" s="165">
        <v>0.0</v>
      </c>
      <c r="E13" s="165">
        <v>0.0</v>
      </c>
      <c r="F13" s="165">
        <v>0.0</v>
      </c>
      <c r="G13" s="165">
        <v>0.0</v>
      </c>
      <c r="H13" s="165">
        <v>0.0</v>
      </c>
      <c r="I13" s="165">
        <v>1.0</v>
      </c>
      <c r="J13" s="165">
        <v>0.0</v>
      </c>
      <c r="K13" s="165">
        <v>0.0</v>
      </c>
      <c r="L13" s="165">
        <v>0.0</v>
      </c>
      <c r="M13" s="165">
        <v>0.0</v>
      </c>
      <c r="N13" s="165">
        <v>0.0</v>
      </c>
      <c r="O13" s="165">
        <v>0.0</v>
      </c>
      <c r="P13" s="165">
        <v>0.0</v>
      </c>
      <c r="Q13" s="165">
        <v>0.0</v>
      </c>
      <c r="R13" s="165">
        <v>0.0</v>
      </c>
      <c r="S13" s="165">
        <v>0.0</v>
      </c>
      <c r="T13" s="165">
        <v>0.0</v>
      </c>
      <c r="U13" s="165">
        <v>0.0</v>
      </c>
      <c r="V13" s="165">
        <v>0.0</v>
      </c>
      <c r="AH13" s="232" t="s">
        <v>313</v>
      </c>
    </row>
    <row r="14">
      <c r="A14" s="166">
        <v>5.0</v>
      </c>
      <c r="B14" s="234">
        <v>0.0</v>
      </c>
      <c r="C14" s="165">
        <v>0.0</v>
      </c>
      <c r="D14" s="165">
        <v>0.0</v>
      </c>
      <c r="E14" s="165">
        <v>0.0</v>
      </c>
      <c r="F14" s="165">
        <v>0.0</v>
      </c>
      <c r="G14" s="165">
        <v>0.0</v>
      </c>
      <c r="H14" s="165">
        <v>0.0</v>
      </c>
      <c r="I14" s="165">
        <v>1.0</v>
      </c>
      <c r="J14" s="165">
        <v>0.0</v>
      </c>
      <c r="K14" s="165">
        <v>0.0</v>
      </c>
      <c r="L14" s="165">
        <v>0.0</v>
      </c>
      <c r="M14" s="165">
        <v>0.0</v>
      </c>
      <c r="N14" s="165">
        <v>0.0</v>
      </c>
      <c r="O14" s="165">
        <v>0.0</v>
      </c>
      <c r="P14" s="165">
        <v>0.0</v>
      </c>
      <c r="Q14" s="165">
        <v>0.0</v>
      </c>
      <c r="R14" s="165">
        <v>0.0</v>
      </c>
      <c r="S14" s="165">
        <v>0.0</v>
      </c>
      <c r="T14" s="165">
        <v>0.0</v>
      </c>
      <c r="U14" s="165">
        <v>0.0</v>
      </c>
      <c r="V14" s="165">
        <v>0.0</v>
      </c>
      <c r="AH14" s="232" t="s">
        <v>314</v>
      </c>
    </row>
    <row r="15">
      <c r="A15" s="166">
        <v>6.0</v>
      </c>
      <c r="B15" s="234">
        <v>0.0</v>
      </c>
      <c r="C15" s="165">
        <v>0.0</v>
      </c>
      <c r="D15" s="165">
        <v>0.0</v>
      </c>
      <c r="E15" s="165">
        <v>0.0</v>
      </c>
      <c r="F15" s="165">
        <v>0.0</v>
      </c>
      <c r="G15" s="165">
        <v>0.0</v>
      </c>
      <c r="H15" s="165">
        <v>1.0</v>
      </c>
      <c r="I15" s="165">
        <v>0.0</v>
      </c>
      <c r="J15" s="165">
        <v>0.0</v>
      </c>
      <c r="K15" s="165">
        <v>0.0</v>
      </c>
      <c r="L15" s="165">
        <v>0.0</v>
      </c>
      <c r="M15" s="165">
        <v>0.0</v>
      </c>
      <c r="N15" s="165">
        <v>0.0</v>
      </c>
      <c r="O15" s="165">
        <v>0.0</v>
      </c>
      <c r="P15" s="165">
        <v>0.0</v>
      </c>
      <c r="Q15" s="165">
        <v>0.0</v>
      </c>
      <c r="R15" s="165">
        <v>0.0</v>
      </c>
      <c r="S15" s="165">
        <v>0.0</v>
      </c>
      <c r="T15" s="165">
        <v>0.0</v>
      </c>
      <c r="U15" s="165">
        <v>0.0</v>
      </c>
      <c r="V15" s="165">
        <v>0.0</v>
      </c>
      <c r="AH15" s="232" t="s">
        <v>315</v>
      </c>
    </row>
    <row r="16">
      <c r="A16" s="166">
        <v>7.0</v>
      </c>
      <c r="B16" s="234">
        <v>0.0</v>
      </c>
      <c r="C16" s="165">
        <v>0.0</v>
      </c>
      <c r="D16" s="165">
        <v>0.0</v>
      </c>
      <c r="E16" s="165">
        <v>0.0</v>
      </c>
      <c r="F16" s="165">
        <v>0.0</v>
      </c>
      <c r="G16" s="165">
        <v>0.0</v>
      </c>
      <c r="H16" s="165">
        <v>1.0</v>
      </c>
      <c r="I16" s="165">
        <v>0.0</v>
      </c>
      <c r="J16" s="165">
        <v>0.0</v>
      </c>
      <c r="K16" s="165">
        <v>0.0</v>
      </c>
      <c r="L16" s="165">
        <v>0.0</v>
      </c>
      <c r="M16" s="165">
        <v>0.0</v>
      </c>
      <c r="N16" s="165">
        <v>0.0</v>
      </c>
      <c r="O16" s="165">
        <v>0.0</v>
      </c>
      <c r="P16" s="165">
        <v>0.0</v>
      </c>
      <c r="Q16" s="165">
        <v>0.0</v>
      </c>
      <c r="R16" s="165">
        <v>0.0</v>
      </c>
      <c r="S16" s="165">
        <v>0.0</v>
      </c>
      <c r="T16" s="165">
        <v>0.0</v>
      </c>
      <c r="U16" s="165">
        <v>0.0</v>
      </c>
      <c r="V16" s="165">
        <v>0.0</v>
      </c>
    </row>
    <row r="17">
      <c r="A17" s="166">
        <v>8.0</v>
      </c>
      <c r="B17" s="234">
        <v>0.0</v>
      </c>
      <c r="C17" s="165">
        <v>0.0</v>
      </c>
      <c r="D17" s="165">
        <v>0.0</v>
      </c>
      <c r="E17" s="165">
        <v>0.0</v>
      </c>
      <c r="F17" s="165">
        <v>0.0</v>
      </c>
      <c r="G17" s="165">
        <v>0.0</v>
      </c>
      <c r="H17" s="165">
        <v>1.0</v>
      </c>
      <c r="I17" s="165">
        <v>0.0</v>
      </c>
      <c r="J17" s="165">
        <v>0.0</v>
      </c>
      <c r="K17" s="165">
        <v>0.0</v>
      </c>
      <c r="L17" s="165">
        <v>0.0</v>
      </c>
      <c r="M17" s="165">
        <v>0.0</v>
      </c>
      <c r="N17" s="165">
        <v>0.0</v>
      </c>
      <c r="O17" s="165">
        <v>0.0</v>
      </c>
      <c r="P17" s="165">
        <v>0.0</v>
      </c>
      <c r="Q17" s="165">
        <v>0.0</v>
      </c>
      <c r="R17" s="165">
        <v>0.0</v>
      </c>
      <c r="S17" s="165">
        <v>0.0</v>
      </c>
      <c r="T17" s="165">
        <v>0.0</v>
      </c>
      <c r="U17" s="165">
        <v>0.0</v>
      </c>
      <c r="V17" s="165">
        <v>0.0</v>
      </c>
    </row>
    <row r="18">
      <c r="A18" s="166">
        <v>9.0</v>
      </c>
      <c r="B18" s="234">
        <v>0.0</v>
      </c>
      <c r="C18" s="165">
        <v>0.0</v>
      </c>
      <c r="D18" s="165">
        <v>0.0</v>
      </c>
      <c r="E18" s="165">
        <v>0.0</v>
      </c>
      <c r="F18" s="165">
        <v>0.0</v>
      </c>
      <c r="G18" s="165">
        <v>0.0</v>
      </c>
      <c r="H18" s="165">
        <v>1.0</v>
      </c>
      <c r="I18" s="165">
        <v>0.0</v>
      </c>
      <c r="J18" s="165">
        <v>0.0</v>
      </c>
      <c r="K18" s="165">
        <v>0.0</v>
      </c>
      <c r="L18" s="165">
        <v>0.0</v>
      </c>
      <c r="M18" s="165">
        <v>0.0</v>
      </c>
      <c r="N18" s="165">
        <v>0.0</v>
      </c>
      <c r="O18" s="165">
        <v>0.0</v>
      </c>
      <c r="P18" s="165">
        <v>0.0</v>
      </c>
      <c r="Q18" s="165">
        <v>0.0</v>
      </c>
      <c r="R18" s="165">
        <v>0.0</v>
      </c>
      <c r="S18" s="165">
        <v>0.0</v>
      </c>
      <c r="T18" s="165">
        <v>0.0</v>
      </c>
      <c r="U18" s="165">
        <v>0.0</v>
      </c>
      <c r="V18" s="165">
        <v>0.0</v>
      </c>
    </row>
    <row r="19">
      <c r="A19" s="166">
        <v>10.0</v>
      </c>
      <c r="B19" s="234">
        <v>0.0</v>
      </c>
      <c r="C19" s="165">
        <v>0.0</v>
      </c>
      <c r="D19" s="165">
        <v>0.0</v>
      </c>
      <c r="E19" s="165">
        <v>0.0</v>
      </c>
      <c r="F19" s="165">
        <v>0.0</v>
      </c>
      <c r="G19" s="165">
        <v>0.0</v>
      </c>
      <c r="H19" s="165">
        <v>1.0</v>
      </c>
      <c r="I19" s="165">
        <v>0.0</v>
      </c>
      <c r="J19" s="165">
        <v>0.0</v>
      </c>
      <c r="K19" s="165">
        <v>0.0</v>
      </c>
      <c r="L19" s="165">
        <v>0.0</v>
      </c>
      <c r="M19" s="165">
        <v>0.0</v>
      </c>
      <c r="N19" s="165">
        <v>0.0</v>
      </c>
      <c r="O19" s="165">
        <v>0.0</v>
      </c>
      <c r="P19" s="165">
        <v>0.0</v>
      </c>
      <c r="Q19" s="165">
        <v>0.0</v>
      </c>
      <c r="R19" s="165">
        <v>0.0</v>
      </c>
      <c r="S19" s="165">
        <v>0.0</v>
      </c>
      <c r="T19" s="165">
        <v>0.0</v>
      </c>
      <c r="U19" s="165">
        <v>0.0</v>
      </c>
      <c r="V19" s="165">
        <v>0.0</v>
      </c>
    </row>
    <row r="20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</row>
    <row r="21" ht="19.5" customHeight="1">
      <c r="A21" s="111" t="s">
        <v>302</v>
      </c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</row>
    <row r="22" ht="15.75" customHeight="1">
      <c r="A22" s="154" t="s">
        <v>299</v>
      </c>
      <c r="B22" s="156">
        <v>10.0</v>
      </c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</row>
    <row r="23" ht="15.75" customHeight="1">
      <c r="A23" s="154" t="s">
        <v>300</v>
      </c>
      <c r="B23" s="156">
        <v>10.0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</row>
    <row r="24" ht="15.75" customHeight="1">
      <c r="A24" s="154" t="s">
        <v>152</v>
      </c>
      <c r="B24" s="155">
        <v>2.0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</row>
    <row r="25" ht="15.75" customHeight="1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</row>
    <row r="26" ht="19.5" customHeight="1">
      <c r="A26" s="111" t="s">
        <v>303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</row>
    <row r="27" ht="90.0" customHeight="1">
      <c r="A27" s="162" t="s">
        <v>216</v>
      </c>
      <c r="B27" s="233" t="s">
        <v>82</v>
      </c>
      <c r="C27" s="164" t="s">
        <v>68</v>
      </c>
      <c r="D27" s="164" t="s">
        <v>103</v>
      </c>
      <c r="E27" s="164" t="s">
        <v>69</v>
      </c>
      <c r="F27" s="164" t="s">
        <v>70</v>
      </c>
      <c r="G27" s="164" t="s">
        <v>71</v>
      </c>
      <c r="H27" s="164" t="s">
        <v>72</v>
      </c>
      <c r="I27" s="164" t="s">
        <v>73</v>
      </c>
      <c r="J27" s="164" t="s">
        <v>74</v>
      </c>
      <c r="K27" s="164" t="s">
        <v>75</v>
      </c>
      <c r="L27" s="164" t="s">
        <v>76</v>
      </c>
      <c r="M27" s="164" t="s">
        <v>77</v>
      </c>
      <c r="N27" s="164" t="s">
        <v>78</v>
      </c>
      <c r="O27" s="164" t="s">
        <v>118</v>
      </c>
      <c r="P27" s="164" t="s">
        <v>104</v>
      </c>
      <c r="Q27" s="164" t="s">
        <v>105</v>
      </c>
      <c r="R27" s="164" t="s">
        <v>106</v>
      </c>
      <c r="S27" s="164" t="s">
        <v>107</v>
      </c>
      <c r="T27" s="164" t="s">
        <v>108</v>
      </c>
      <c r="U27" s="164" t="s">
        <v>109</v>
      </c>
      <c r="V27" s="164" t="s">
        <v>110</v>
      </c>
    </row>
    <row r="28" ht="15.75" customHeight="1">
      <c r="A28" s="166">
        <v>1.0</v>
      </c>
      <c r="B28" s="234">
        <v>200.0</v>
      </c>
      <c r="C28" s="165">
        <v>0.0</v>
      </c>
      <c r="D28" s="165">
        <v>0.0</v>
      </c>
      <c r="E28" s="165">
        <v>0.0</v>
      </c>
      <c r="F28" s="165">
        <v>0.0</v>
      </c>
      <c r="G28" s="165">
        <v>0.0</v>
      </c>
      <c r="H28" s="165">
        <v>0.0</v>
      </c>
      <c r="I28" s="165">
        <v>0.0</v>
      </c>
      <c r="J28" s="165">
        <v>1.0</v>
      </c>
      <c r="K28" s="165">
        <v>0.0</v>
      </c>
      <c r="L28" s="165">
        <v>0.0</v>
      </c>
      <c r="M28" s="165">
        <v>0.0</v>
      </c>
      <c r="N28" s="165">
        <v>0.0</v>
      </c>
      <c r="O28" s="165">
        <v>0.0</v>
      </c>
      <c r="P28" s="165">
        <v>0.0</v>
      </c>
      <c r="Q28" s="165">
        <v>0.0</v>
      </c>
      <c r="R28" s="165">
        <v>0.0</v>
      </c>
      <c r="S28" s="165">
        <v>0.0</v>
      </c>
      <c r="T28" s="165">
        <v>0.0</v>
      </c>
      <c r="U28" s="165">
        <v>0.0</v>
      </c>
      <c r="V28" s="165">
        <v>0.0</v>
      </c>
    </row>
    <row r="29" ht="15.75" customHeight="1">
      <c r="A29" s="166">
        <v>2.0</v>
      </c>
      <c r="B29" s="234">
        <v>100.0</v>
      </c>
      <c r="C29" s="165">
        <v>0.0</v>
      </c>
      <c r="D29" s="165">
        <v>0.0</v>
      </c>
      <c r="E29" s="165">
        <v>0.0</v>
      </c>
      <c r="F29" s="165">
        <v>0.0</v>
      </c>
      <c r="G29" s="165">
        <v>0.0</v>
      </c>
      <c r="H29" s="165">
        <v>0.0</v>
      </c>
      <c r="I29" s="165">
        <v>1.0</v>
      </c>
      <c r="J29" s="165">
        <v>0.0</v>
      </c>
      <c r="K29" s="165">
        <v>0.0</v>
      </c>
      <c r="L29" s="165">
        <v>0.0</v>
      </c>
      <c r="M29" s="165">
        <v>0.0</v>
      </c>
      <c r="N29" s="165">
        <v>0.0</v>
      </c>
      <c r="O29" s="165">
        <v>0.0</v>
      </c>
      <c r="P29" s="165">
        <v>0.0</v>
      </c>
      <c r="Q29" s="165">
        <v>0.0</v>
      </c>
      <c r="R29" s="165">
        <v>0.0</v>
      </c>
      <c r="S29" s="165">
        <v>0.0</v>
      </c>
      <c r="T29" s="165">
        <v>0.0</v>
      </c>
      <c r="U29" s="165">
        <v>0.0</v>
      </c>
      <c r="V29" s="165">
        <v>0.0</v>
      </c>
    </row>
    <row r="30" ht="15.75" customHeight="1">
      <c r="A30" s="166">
        <v>3.0</v>
      </c>
      <c r="B30" s="234">
        <v>50.0</v>
      </c>
      <c r="C30" s="165">
        <v>0.0</v>
      </c>
      <c r="D30" s="165">
        <v>0.0</v>
      </c>
      <c r="E30" s="165">
        <v>0.0</v>
      </c>
      <c r="F30" s="165">
        <v>0.0</v>
      </c>
      <c r="G30" s="165">
        <v>0.0</v>
      </c>
      <c r="H30" s="165">
        <v>0.0</v>
      </c>
      <c r="I30" s="165">
        <v>1.0</v>
      </c>
      <c r="J30" s="165">
        <v>0.0</v>
      </c>
      <c r="K30" s="165">
        <v>0.0</v>
      </c>
      <c r="L30" s="165">
        <v>0.0</v>
      </c>
      <c r="M30" s="165">
        <v>0.0</v>
      </c>
      <c r="N30" s="165">
        <v>0.0</v>
      </c>
      <c r="O30" s="165">
        <v>0.0</v>
      </c>
      <c r="P30" s="165">
        <v>0.0</v>
      </c>
      <c r="Q30" s="165">
        <v>0.0</v>
      </c>
      <c r="R30" s="165">
        <v>0.0</v>
      </c>
      <c r="S30" s="165">
        <v>0.0</v>
      </c>
      <c r="T30" s="165">
        <v>0.0</v>
      </c>
      <c r="U30" s="165">
        <v>0.0</v>
      </c>
      <c r="V30" s="165">
        <v>0.0</v>
      </c>
    </row>
    <row r="31" ht="15.75" customHeight="1">
      <c r="A31" s="166">
        <v>4.0</v>
      </c>
      <c r="B31" s="234">
        <v>0.0</v>
      </c>
      <c r="C31" s="165">
        <v>0.0</v>
      </c>
      <c r="D31" s="165">
        <v>0.0</v>
      </c>
      <c r="E31" s="165">
        <v>0.0</v>
      </c>
      <c r="F31" s="165">
        <v>0.0</v>
      </c>
      <c r="G31" s="165">
        <v>0.0</v>
      </c>
      <c r="H31" s="165">
        <v>0.0</v>
      </c>
      <c r="I31" s="165">
        <v>1.0</v>
      </c>
      <c r="J31" s="165">
        <v>0.0</v>
      </c>
      <c r="K31" s="165">
        <v>0.0</v>
      </c>
      <c r="L31" s="165">
        <v>0.0</v>
      </c>
      <c r="M31" s="165">
        <v>0.0</v>
      </c>
      <c r="N31" s="165">
        <v>0.0</v>
      </c>
      <c r="O31" s="165">
        <v>0.0</v>
      </c>
      <c r="P31" s="165">
        <v>0.0</v>
      </c>
      <c r="Q31" s="165">
        <v>0.0</v>
      </c>
      <c r="R31" s="165">
        <v>0.0</v>
      </c>
      <c r="S31" s="165">
        <v>0.0</v>
      </c>
      <c r="T31" s="165">
        <v>0.0</v>
      </c>
      <c r="U31" s="165">
        <v>0.0</v>
      </c>
      <c r="V31" s="165">
        <v>0.0</v>
      </c>
    </row>
    <row r="32" ht="15.75" customHeight="1">
      <c r="A32" s="166">
        <v>5.0</v>
      </c>
      <c r="B32" s="234">
        <v>0.0</v>
      </c>
      <c r="C32" s="165">
        <v>0.0</v>
      </c>
      <c r="D32" s="165">
        <v>0.0</v>
      </c>
      <c r="E32" s="165">
        <v>0.0</v>
      </c>
      <c r="F32" s="165">
        <v>0.0</v>
      </c>
      <c r="G32" s="165">
        <v>0.0</v>
      </c>
      <c r="H32" s="165">
        <v>0.0</v>
      </c>
      <c r="I32" s="165">
        <v>1.0</v>
      </c>
      <c r="J32" s="165">
        <v>0.0</v>
      </c>
      <c r="K32" s="165">
        <v>0.0</v>
      </c>
      <c r="L32" s="165">
        <v>0.0</v>
      </c>
      <c r="M32" s="165">
        <v>0.0</v>
      </c>
      <c r="N32" s="165">
        <v>0.0</v>
      </c>
      <c r="O32" s="165">
        <v>0.0</v>
      </c>
      <c r="P32" s="165">
        <v>0.0</v>
      </c>
      <c r="Q32" s="165">
        <v>0.0</v>
      </c>
      <c r="R32" s="165">
        <v>0.0</v>
      </c>
      <c r="S32" s="165">
        <v>0.0</v>
      </c>
      <c r="T32" s="165">
        <v>0.0</v>
      </c>
      <c r="U32" s="165">
        <v>0.0</v>
      </c>
      <c r="V32" s="165">
        <v>0.0</v>
      </c>
    </row>
    <row r="33" ht="15.75" customHeight="1">
      <c r="A33" s="166">
        <v>6.0</v>
      </c>
      <c r="B33" s="234">
        <v>0.0</v>
      </c>
      <c r="C33" s="165">
        <v>0.0</v>
      </c>
      <c r="D33" s="165">
        <v>0.0</v>
      </c>
      <c r="E33" s="165">
        <v>0.0</v>
      </c>
      <c r="F33" s="165">
        <v>0.0</v>
      </c>
      <c r="G33" s="165">
        <v>0.0</v>
      </c>
      <c r="H33" s="165">
        <v>1.0</v>
      </c>
      <c r="I33" s="165">
        <v>0.0</v>
      </c>
      <c r="J33" s="165">
        <v>0.0</v>
      </c>
      <c r="K33" s="165">
        <v>0.0</v>
      </c>
      <c r="L33" s="165">
        <v>0.0</v>
      </c>
      <c r="M33" s="165">
        <v>0.0</v>
      </c>
      <c r="N33" s="165">
        <v>0.0</v>
      </c>
      <c r="O33" s="165">
        <v>0.0</v>
      </c>
      <c r="P33" s="165">
        <v>0.0</v>
      </c>
      <c r="Q33" s="165">
        <v>0.0</v>
      </c>
      <c r="R33" s="165">
        <v>0.0</v>
      </c>
      <c r="S33" s="165">
        <v>0.0</v>
      </c>
      <c r="T33" s="165">
        <v>0.0</v>
      </c>
      <c r="U33" s="165">
        <v>0.0</v>
      </c>
      <c r="V33" s="165">
        <v>0.0</v>
      </c>
    </row>
    <row r="34" ht="15.75" customHeight="1">
      <c r="A34" s="166">
        <v>7.0</v>
      </c>
      <c r="B34" s="234">
        <v>0.0</v>
      </c>
      <c r="C34" s="165">
        <v>0.0</v>
      </c>
      <c r="D34" s="165">
        <v>0.0</v>
      </c>
      <c r="E34" s="165">
        <v>0.0</v>
      </c>
      <c r="F34" s="165">
        <v>0.0</v>
      </c>
      <c r="G34" s="165">
        <v>0.0</v>
      </c>
      <c r="H34" s="165">
        <v>1.0</v>
      </c>
      <c r="I34" s="165">
        <v>0.0</v>
      </c>
      <c r="J34" s="165">
        <v>0.0</v>
      </c>
      <c r="K34" s="165">
        <v>0.0</v>
      </c>
      <c r="L34" s="165">
        <v>0.0</v>
      </c>
      <c r="M34" s="165">
        <v>0.0</v>
      </c>
      <c r="N34" s="165">
        <v>0.0</v>
      </c>
      <c r="O34" s="165">
        <v>0.0</v>
      </c>
      <c r="P34" s="165">
        <v>0.0</v>
      </c>
      <c r="Q34" s="165">
        <v>0.0</v>
      </c>
      <c r="R34" s="165">
        <v>0.0</v>
      </c>
      <c r="S34" s="165">
        <v>0.0</v>
      </c>
      <c r="T34" s="165">
        <v>0.0</v>
      </c>
      <c r="U34" s="165">
        <v>0.0</v>
      </c>
      <c r="V34" s="165">
        <v>0.0</v>
      </c>
    </row>
    <row r="35" ht="15.75" customHeight="1">
      <c r="A35" s="166">
        <v>8.0</v>
      </c>
      <c r="B35" s="234">
        <v>0.0</v>
      </c>
      <c r="C35" s="165">
        <v>0.0</v>
      </c>
      <c r="D35" s="165">
        <v>0.0</v>
      </c>
      <c r="E35" s="165">
        <v>0.0</v>
      </c>
      <c r="F35" s="165">
        <v>0.0</v>
      </c>
      <c r="G35" s="165">
        <v>0.0</v>
      </c>
      <c r="H35" s="165">
        <v>1.0</v>
      </c>
      <c r="I35" s="165">
        <v>0.0</v>
      </c>
      <c r="J35" s="165">
        <v>0.0</v>
      </c>
      <c r="K35" s="165">
        <v>0.0</v>
      </c>
      <c r="L35" s="165">
        <v>0.0</v>
      </c>
      <c r="M35" s="165">
        <v>0.0</v>
      </c>
      <c r="N35" s="165">
        <v>0.0</v>
      </c>
      <c r="O35" s="165">
        <v>0.0</v>
      </c>
      <c r="P35" s="165">
        <v>0.0</v>
      </c>
      <c r="Q35" s="165">
        <v>0.0</v>
      </c>
      <c r="R35" s="165">
        <v>0.0</v>
      </c>
      <c r="S35" s="165">
        <v>0.0</v>
      </c>
      <c r="T35" s="165">
        <v>0.0</v>
      </c>
      <c r="U35" s="165">
        <v>0.0</v>
      </c>
      <c r="V35" s="165">
        <v>0.0</v>
      </c>
    </row>
    <row r="36" ht="15.75" customHeight="1">
      <c r="A36" s="166">
        <v>9.0</v>
      </c>
      <c r="B36" s="234">
        <v>0.0</v>
      </c>
      <c r="C36" s="165">
        <v>0.0</v>
      </c>
      <c r="D36" s="165">
        <v>0.0</v>
      </c>
      <c r="E36" s="165">
        <v>0.0</v>
      </c>
      <c r="F36" s="165">
        <v>0.0</v>
      </c>
      <c r="G36" s="165">
        <v>0.0</v>
      </c>
      <c r="H36" s="165">
        <v>1.0</v>
      </c>
      <c r="I36" s="165">
        <v>0.0</v>
      </c>
      <c r="J36" s="165">
        <v>0.0</v>
      </c>
      <c r="K36" s="165">
        <v>0.0</v>
      </c>
      <c r="L36" s="165">
        <v>0.0</v>
      </c>
      <c r="M36" s="165">
        <v>0.0</v>
      </c>
      <c r="N36" s="165">
        <v>0.0</v>
      </c>
      <c r="O36" s="165">
        <v>0.0</v>
      </c>
      <c r="P36" s="165">
        <v>0.0</v>
      </c>
      <c r="Q36" s="165">
        <v>0.0</v>
      </c>
      <c r="R36" s="165">
        <v>0.0</v>
      </c>
      <c r="S36" s="165">
        <v>0.0</v>
      </c>
      <c r="T36" s="165">
        <v>0.0</v>
      </c>
      <c r="U36" s="165">
        <v>0.0</v>
      </c>
      <c r="V36" s="165">
        <v>0.0</v>
      </c>
    </row>
    <row r="37" ht="15.75" customHeight="1">
      <c r="A37" s="166">
        <v>10.0</v>
      </c>
      <c r="B37" s="234">
        <v>0.0</v>
      </c>
      <c r="C37" s="165">
        <v>0.0</v>
      </c>
      <c r="D37" s="165">
        <v>0.0</v>
      </c>
      <c r="E37" s="165">
        <v>0.0</v>
      </c>
      <c r="F37" s="165">
        <v>0.0</v>
      </c>
      <c r="G37" s="165">
        <v>0.0</v>
      </c>
      <c r="H37" s="165">
        <v>1.0</v>
      </c>
      <c r="I37" s="165">
        <v>0.0</v>
      </c>
      <c r="J37" s="165">
        <v>0.0</v>
      </c>
      <c r="K37" s="165">
        <v>0.0</v>
      </c>
      <c r="L37" s="165">
        <v>0.0</v>
      </c>
      <c r="M37" s="165">
        <v>0.0</v>
      </c>
      <c r="N37" s="165">
        <v>0.0</v>
      </c>
      <c r="O37" s="165">
        <v>0.0</v>
      </c>
      <c r="P37" s="165">
        <v>0.0</v>
      </c>
      <c r="Q37" s="165">
        <v>0.0</v>
      </c>
      <c r="R37" s="165">
        <v>0.0</v>
      </c>
      <c r="S37" s="165">
        <v>0.0</v>
      </c>
      <c r="T37" s="165">
        <v>0.0</v>
      </c>
      <c r="U37" s="165">
        <v>0.0</v>
      </c>
      <c r="V37" s="165">
        <v>0.0</v>
      </c>
    </row>
    <row r="38" ht="15.75" customHeight="1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</row>
    <row r="39" ht="19.5" customHeight="1">
      <c r="A39" s="111" t="s">
        <v>304</v>
      </c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</row>
    <row r="40" ht="15.75" customHeight="1">
      <c r="A40" s="154" t="s">
        <v>299</v>
      </c>
      <c r="B40" s="156">
        <v>10.0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</row>
    <row r="41" ht="15.75" customHeight="1">
      <c r="A41" s="154" t="s">
        <v>300</v>
      </c>
      <c r="B41" s="156">
        <v>10.0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</row>
    <row r="42" ht="15.75" customHeight="1">
      <c r="A42" s="154" t="s">
        <v>152</v>
      </c>
      <c r="B42" s="155">
        <v>2.0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</row>
    <row r="43" ht="15.75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</row>
    <row r="44" ht="19.5" customHeight="1">
      <c r="A44" s="111" t="s">
        <v>305</v>
      </c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</row>
    <row r="45" ht="90.0" customHeight="1">
      <c r="A45" s="162" t="s">
        <v>216</v>
      </c>
      <c r="B45" s="233" t="s">
        <v>82</v>
      </c>
      <c r="C45" s="164" t="s">
        <v>68</v>
      </c>
      <c r="D45" s="164" t="s">
        <v>103</v>
      </c>
      <c r="E45" s="164" t="s">
        <v>69</v>
      </c>
      <c r="F45" s="164" t="s">
        <v>70</v>
      </c>
      <c r="G45" s="164" t="s">
        <v>71</v>
      </c>
      <c r="H45" s="164" t="s">
        <v>72</v>
      </c>
      <c r="I45" s="164" t="s">
        <v>73</v>
      </c>
      <c r="J45" s="164" t="s">
        <v>74</v>
      </c>
      <c r="K45" s="164" t="s">
        <v>75</v>
      </c>
      <c r="L45" s="164" t="s">
        <v>76</v>
      </c>
      <c r="M45" s="164" t="s">
        <v>77</v>
      </c>
      <c r="N45" s="164" t="s">
        <v>78</v>
      </c>
      <c r="O45" s="164" t="s">
        <v>118</v>
      </c>
      <c r="P45" s="164" t="s">
        <v>104</v>
      </c>
      <c r="Q45" s="164" t="s">
        <v>105</v>
      </c>
      <c r="R45" s="164" t="s">
        <v>106</v>
      </c>
      <c r="S45" s="164" t="s">
        <v>107</v>
      </c>
      <c r="T45" s="164" t="s">
        <v>108</v>
      </c>
      <c r="U45" s="164" t="s">
        <v>109</v>
      </c>
      <c r="V45" s="164" t="s">
        <v>110</v>
      </c>
    </row>
    <row r="46" ht="15.75" customHeight="1">
      <c r="A46" s="166">
        <v>1.0</v>
      </c>
      <c r="B46" s="234">
        <v>200.0</v>
      </c>
      <c r="C46" s="165">
        <v>0.0</v>
      </c>
      <c r="D46" s="165">
        <v>0.0</v>
      </c>
      <c r="E46" s="165">
        <v>0.0</v>
      </c>
      <c r="F46" s="165">
        <v>0.0</v>
      </c>
      <c r="G46" s="165">
        <v>0.0</v>
      </c>
      <c r="H46" s="165">
        <v>0.0</v>
      </c>
      <c r="I46" s="165">
        <v>0.0</v>
      </c>
      <c r="J46" s="165">
        <v>1.0</v>
      </c>
      <c r="K46" s="165">
        <v>0.0</v>
      </c>
      <c r="L46" s="165">
        <v>0.0</v>
      </c>
      <c r="M46" s="165">
        <v>0.0</v>
      </c>
      <c r="N46" s="165">
        <v>0.0</v>
      </c>
      <c r="O46" s="165">
        <v>0.0</v>
      </c>
      <c r="P46" s="165">
        <v>0.0</v>
      </c>
      <c r="Q46" s="165">
        <v>0.0</v>
      </c>
      <c r="R46" s="165">
        <v>0.0</v>
      </c>
      <c r="S46" s="165">
        <v>0.0</v>
      </c>
      <c r="T46" s="165">
        <v>0.0</v>
      </c>
      <c r="U46" s="165">
        <v>0.0</v>
      </c>
      <c r="V46" s="165">
        <v>0.0</v>
      </c>
    </row>
    <row r="47" ht="15.75" customHeight="1">
      <c r="A47" s="166">
        <v>2.0</v>
      </c>
      <c r="B47" s="234">
        <v>100.0</v>
      </c>
      <c r="C47" s="165">
        <v>0.0</v>
      </c>
      <c r="D47" s="165">
        <v>0.0</v>
      </c>
      <c r="E47" s="165">
        <v>0.0</v>
      </c>
      <c r="F47" s="165">
        <v>0.0</v>
      </c>
      <c r="G47" s="165">
        <v>0.0</v>
      </c>
      <c r="H47" s="165">
        <v>0.0</v>
      </c>
      <c r="I47" s="165">
        <v>1.0</v>
      </c>
      <c r="J47" s="165">
        <v>0.0</v>
      </c>
      <c r="K47" s="165">
        <v>0.0</v>
      </c>
      <c r="L47" s="165">
        <v>0.0</v>
      </c>
      <c r="M47" s="165">
        <v>0.0</v>
      </c>
      <c r="N47" s="165">
        <v>0.0</v>
      </c>
      <c r="O47" s="165">
        <v>0.0</v>
      </c>
      <c r="P47" s="165">
        <v>0.0</v>
      </c>
      <c r="Q47" s="165">
        <v>0.0</v>
      </c>
      <c r="R47" s="165">
        <v>0.0</v>
      </c>
      <c r="S47" s="165">
        <v>0.0</v>
      </c>
      <c r="T47" s="165">
        <v>0.0</v>
      </c>
      <c r="U47" s="165">
        <v>0.0</v>
      </c>
      <c r="V47" s="165">
        <v>0.0</v>
      </c>
    </row>
    <row r="48" ht="15.75" customHeight="1">
      <c r="A48" s="166">
        <v>3.0</v>
      </c>
      <c r="B48" s="234">
        <v>50.0</v>
      </c>
      <c r="C48" s="165">
        <v>0.0</v>
      </c>
      <c r="D48" s="165">
        <v>0.0</v>
      </c>
      <c r="E48" s="165">
        <v>0.0</v>
      </c>
      <c r="F48" s="165">
        <v>0.0</v>
      </c>
      <c r="G48" s="165">
        <v>0.0</v>
      </c>
      <c r="H48" s="165">
        <v>0.0</v>
      </c>
      <c r="I48" s="165">
        <v>1.0</v>
      </c>
      <c r="J48" s="165">
        <v>0.0</v>
      </c>
      <c r="K48" s="165">
        <v>0.0</v>
      </c>
      <c r="L48" s="165">
        <v>0.0</v>
      </c>
      <c r="M48" s="165">
        <v>0.0</v>
      </c>
      <c r="N48" s="165">
        <v>0.0</v>
      </c>
      <c r="O48" s="165">
        <v>0.0</v>
      </c>
      <c r="P48" s="165">
        <v>0.0</v>
      </c>
      <c r="Q48" s="165">
        <v>0.0</v>
      </c>
      <c r="R48" s="165">
        <v>0.0</v>
      </c>
      <c r="S48" s="165">
        <v>0.0</v>
      </c>
      <c r="T48" s="165">
        <v>0.0</v>
      </c>
      <c r="U48" s="165">
        <v>0.0</v>
      </c>
      <c r="V48" s="165">
        <v>0.0</v>
      </c>
    </row>
    <row r="49" ht="15.75" customHeight="1">
      <c r="A49" s="166">
        <v>4.0</v>
      </c>
      <c r="B49" s="234">
        <v>0.0</v>
      </c>
      <c r="C49" s="165">
        <v>0.0</v>
      </c>
      <c r="D49" s="165">
        <v>0.0</v>
      </c>
      <c r="E49" s="165">
        <v>0.0</v>
      </c>
      <c r="F49" s="165">
        <v>0.0</v>
      </c>
      <c r="G49" s="165">
        <v>0.0</v>
      </c>
      <c r="H49" s="165">
        <v>0.0</v>
      </c>
      <c r="I49" s="165">
        <v>1.0</v>
      </c>
      <c r="J49" s="165">
        <v>0.0</v>
      </c>
      <c r="K49" s="165">
        <v>0.0</v>
      </c>
      <c r="L49" s="165">
        <v>0.0</v>
      </c>
      <c r="M49" s="165">
        <v>0.0</v>
      </c>
      <c r="N49" s="165">
        <v>0.0</v>
      </c>
      <c r="O49" s="165">
        <v>0.0</v>
      </c>
      <c r="P49" s="165">
        <v>0.0</v>
      </c>
      <c r="Q49" s="165">
        <v>0.0</v>
      </c>
      <c r="R49" s="165">
        <v>0.0</v>
      </c>
      <c r="S49" s="165">
        <v>0.0</v>
      </c>
      <c r="T49" s="165">
        <v>0.0</v>
      </c>
      <c r="U49" s="165">
        <v>0.0</v>
      </c>
      <c r="V49" s="165">
        <v>0.0</v>
      </c>
    </row>
    <row r="50" ht="15.75" customHeight="1">
      <c r="A50" s="166">
        <v>5.0</v>
      </c>
      <c r="B50" s="234">
        <v>0.0</v>
      </c>
      <c r="C50" s="165">
        <v>0.0</v>
      </c>
      <c r="D50" s="165">
        <v>0.0</v>
      </c>
      <c r="E50" s="165">
        <v>0.0</v>
      </c>
      <c r="F50" s="165">
        <v>0.0</v>
      </c>
      <c r="G50" s="165">
        <v>0.0</v>
      </c>
      <c r="H50" s="165">
        <v>0.0</v>
      </c>
      <c r="I50" s="165">
        <v>1.0</v>
      </c>
      <c r="J50" s="165">
        <v>0.0</v>
      </c>
      <c r="K50" s="165">
        <v>0.0</v>
      </c>
      <c r="L50" s="165">
        <v>0.0</v>
      </c>
      <c r="M50" s="165">
        <v>0.0</v>
      </c>
      <c r="N50" s="165">
        <v>0.0</v>
      </c>
      <c r="O50" s="165">
        <v>0.0</v>
      </c>
      <c r="P50" s="165">
        <v>0.0</v>
      </c>
      <c r="Q50" s="165">
        <v>0.0</v>
      </c>
      <c r="R50" s="165">
        <v>0.0</v>
      </c>
      <c r="S50" s="165">
        <v>0.0</v>
      </c>
      <c r="T50" s="165">
        <v>0.0</v>
      </c>
      <c r="U50" s="165">
        <v>0.0</v>
      </c>
      <c r="V50" s="165">
        <v>0.0</v>
      </c>
    </row>
    <row r="51" ht="15.75" customHeight="1">
      <c r="A51" s="166">
        <v>6.0</v>
      </c>
      <c r="B51" s="234">
        <v>0.0</v>
      </c>
      <c r="C51" s="165">
        <v>0.0</v>
      </c>
      <c r="D51" s="165">
        <v>0.0</v>
      </c>
      <c r="E51" s="165">
        <v>0.0</v>
      </c>
      <c r="F51" s="165">
        <v>0.0</v>
      </c>
      <c r="G51" s="165">
        <v>0.0</v>
      </c>
      <c r="H51" s="165">
        <v>1.0</v>
      </c>
      <c r="I51" s="165">
        <v>0.0</v>
      </c>
      <c r="J51" s="165">
        <v>0.0</v>
      </c>
      <c r="K51" s="165">
        <v>0.0</v>
      </c>
      <c r="L51" s="165">
        <v>0.0</v>
      </c>
      <c r="M51" s="165">
        <v>0.0</v>
      </c>
      <c r="N51" s="165">
        <v>0.0</v>
      </c>
      <c r="O51" s="165">
        <v>0.0</v>
      </c>
      <c r="P51" s="165">
        <v>0.0</v>
      </c>
      <c r="Q51" s="165">
        <v>0.0</v>
      </c>
      <c r="R51" s="165">
        <v>0.0</v>
      </c>
      <c r="S51" s="165">
        <v>0.0</v>
      </c>
      <c r="T51" s="165">
        <v>0.0</v>
      </c>
      <c r="U51" s="165">
        <v>0.0</v>
      </c>
      <c r="V51" s="165">
        <v>0.0</v>
      </c>
    </row>
    <row r="52" ht="15.75" customHeight="1">
      <c r="A52" s="166">
        <v>7.0</v>
      </c>
      <c r="B52" s="234">
        <v>0.0</v>
      </c>
      <c r="C52" s="165">
        <v>0.0</v>
      </c>
      <c r="D52" s="165">
        <v>0.0</v>
      </c>
      <c r="E52" s="165">
        <v>0.0</v>
      </c>
      <c r="F52" s="165">
        <v>0.0</v>
      </c>
      <c r="G52" s="165">
        <v>0.0</v>
      </c>
      <c r="H52" s="165">
        <v>1.0</v>
      </c>
      <c r="I52" s="165">
        <v>0.0</v>
      </c>
      <c r="J52" s="165">
        <v>0.0</v>
      </c>
      <c r="K52" s="165">
        <v>0.0</v>
      </c>
      <c r="L52" s="165">
        <v>0.0</v>
      </c>
      <c r="M52" s="165">
        <v>0.0</v>
      </c>
      <c r="N52" s="165">
        <v>0.0</v>
      </c>
      <c r="O52" s="165">
        <v>0.0</v>
      </c>
      <c r="P52" s="165">
        <v>0.0</v>
      </c>
      <c r="Q52" s="165">
        <v>0.0</v>
      </c>
      <c r="R52" s="165">
        <v>0.0</v>
      </c>
      <c r="S52" s="165">
        <v>0.0</v>
      </c>
      <c r="T52" s="165">
        <v>0.0</v>
      </c>
      <c r="U52" s="165">
        <v>0.0</v>
      </c>
      <c r="V52" s="165">
        <v>0.0</v>
      </c>
    </row>
    <row r="53" ht="15.75" customHeight="1">
      <c r="A53" s="166">
        <v>8.0</v>
      </c>
      <c r="B53" s="234">
        <v>0.0</v>
      </c>
      <c r="C53" s="165">
        <v>0.0</v>
      </c>
      <c r="D53" s="165">
        <v>0.0</v>
      </c>
      <c r="E53" s="165">
        <v>0.0</v>
      </c>
      <c r="F53" s="165">
        <v>0.0</v>
      </c>
      <c r="G53" s="165">
        <v>0.0</v>
      </c>
      <c r="H53" s="165">
        <v>1.0</v>
      </c>
      <c r="I53" s="165">
        <v>0.0</v>
      </c>
      <c r="J53" s="165">
        <v>0.0</v>
      </c>
      <c r="K53" s="165">
        <v>0.0</v>
      </c>
      <c r="L53" s="165">
        <v>0.0</v>
      </c>
      <c r="M53" s="165">
        <v>0.0</v>
      </c>
      <c r="N53" s="165">
        <v>0.0</v>
      </c>
      <c r="O53" s="165">
        <v>0.0</v>
      </c>
      <c r="P53" s="165">
        <v>0.0</v>
      </c>
      <c r="Q53" s="165">
        <v>0.0</v>
      </c>
      <c r="R53" s="165">
        <v>0.0</v>
      </c>
      <c r="S53" s="165">
        <v>0.0</v>
      </c>
      <c r="T53" s="165">
        <v>0.0</v>
      </c>
      <c r="U53" s="165">
        <v>0.0</v>
      </c>
      <c r="V53" s="165">
        <v>0.0</v>
      </c>
    </row>
    <row r="54" ht="15.75" customHeight="1">
      <c r="A54" s="166">
        <v>9.0</v>
      </c>
      <c r="B54" s="234">
        <v>0.0</v>
      </c>
      <c r="C54" s="165">
        <v>0.0</v>
      </c>
      <c r="D54" s="165">
        <v>0.0</v>
      </c>
      <c r="E54" s="165">
        <v>0.0</v>
      </c>
      <c r="F54" s="165">
        <v>0.0</v>
      </c>
      <c r="G54" s="165">
        <v>0.0</v>
      </c>
      <c r="H54" s="165">
        <v>1.0</v>
      </c>
      <c r="I54" s="165">
        <v>0.0</v>
      </c>
      <c r="J54" s="165">
        <v>0.0</v>
      </c>
      <c r="K54" s="165">
        <v>0.0</v>
      </c>
      <c r="L54" s="165">
        <v>0.0</v>
      </c>
      <c r="M54" s="165">
        <v>0.0</v>
      </c>
      <c r="N54" s="165">
        <v>0.0</v>
      </c>
      <c r="O54" s="165">
        <v>0.0</v>
      </c>
      <c r="P54" s="165">
        <v>0.0</v>
      </c>
      <c r="Q54" s="165">
        <v>0.0</v>
      </c>
      <c r="R54" s="165">
        <v>0.0</v>
      </c>
      <c r="S54" s="165">
        <v>0.0</v>
      </c>
      <c r="T54" s="165">
        <v>0.0</v>
      </c>
      <c r="U54" s="165">
        <v>0.0</v>
      </c>
      <c r="V54" s="165">
        <v>0.0</v>
      </c>
    </row>
    <row r="55" ht="15.75" customHeight="1">
      <c r="A55" s="166">
        <v>10.0</v>
      </c>
      <c r="B55" s="234">
        <v>0.0</v>
      </c>
      <c r="C55" s="165">
        <v>0.0</v>
      </c>
      <c r="D55" s="165">
        <v>0.0</v>
      </c>
      <c r="E55" s="165">
        <v>0.0</v>
      </c>
      <c r="F55" s="165">
        <v>0.0</v>
      </c>
      <c r="G55" s="165">
        <v>0.0</v>
      </c>
      <c r="H55" s="165">
        <v>1.0</v>
      </c>
      <c r="I55" s="165">
        <v>0.0</v>
      </c>
      <c r="J55" s="165">
        <v>0.0</v>
      </c>
      <c r="K55" s="165">
        <v>0.0</v>
      </c>
      <c r="L55" s="165">
        <v>0.0</v>
      </c>
      <c r="M55" s="165">
        <v>0.0</v>
      </c>
      <c r="N55" s="165">
        <v>0.0</v>
      </c>
      <c r="O55" s="165">
        <v>0.0</v>
      </c>
      <c r="P55" s="165">
        <v>0.0</v>
      </c>
      <c r="Q55" s="165">
        <v>0.0</v>
      </c>
      <c r="R55" s="165">
        <v>0.0</v>
      </c>
      <c r="S55" s="165">
        <v>0.0</v>
      </c>
      <c r="T55" s="165">
        <v>0.0</v>
      </c>
      <c r="U55" s="165">
        <v>0.0</v>
      </c>
      <c r="V55" s="165">
        <v>0.0</v>
      </c>
    </row>
    <row r="56" ht="15.7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</row>
    <row r="57" ht="19.5" customHeight="1">
      <c r="A57" s="111" t="s">
        <v>306</v>
      </c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</row>
    <row r="58" ht="15.75" customHeight="1">
      <c r="A58" s="154" t="s">
        <v>299</v>
      </c>
      <c r="B58" s="156">
        <v>10.0</v>
      </c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</row>
    <row r="59" ht="15.75" customHeight="1">
      <c r="A59" s="154" t="s">
        <v>300</v>
      </c>
      <c r="B59" s="156">
        <v>10.0</v>
      </c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</row>
    <row r="60" ht="15.75" customHeight="1">
      <c r="A60" s="154" t="s">
        <v>152</v>
      </c>
      <c r="B60" s="155">
        <v>2.0</v>
      </c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</row>
    <row r="61" ht="15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</row>
    <row r="62" ht="19.5" customHeight="1">
      <c r="A62" s="111" t="s">
        <v>307</v>
      </c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</row>
    <row r="63" ht="90.0" customHeight="1">
      <c r="A63" s="162" t="s">
        <v>216</v>
      </c>
      <c r="B63" s="233" t="s">
        <v>82</v>
      </c>
      <c r="C63" s="164" t="s">
        <v>68</v>
      </c>
      <c r="D63" s="164" t="s">
        <v>103</v>
      </c>
      <c r="E63" s="164" t="s">
        <v>69</v>
      </c>
      <c r="F63" s="164" t="s">
        <v>70</v>
      </c>
      <c r="G63" s="164" t="s">
        <v>71</v>
      </c>
      <c r="H63" s="164" t="s">
        <v>72</v>
      </c>
      <c r="I63" s="164" t="s">
        <v>73</v>
      </c>
      <c r="J63" s="164" t="s">
        <v>74</v>
      </c>
      <c r="K63" s="164" t="s">
        <v>75</v>
      </c>
      <c r="L63" s="164" t="s">
        <v>76</v>
      </c>
      <c r="M63" s="164" t="s">
        <v>77</v>
      </c>
      <c r="N63" s="164" t="s">
        <v>78</v>
      </c>
      <c r="O63" s="164" t="s">
        <v>118</v>
      </c>
      <c r="P63" s="164" t="s">
        <v>104</v>
      </c>
      <c r="Q63" s="164" t="s">
        <v>105</v>
      </c>
      <c r="R63" s="164" t="s">
        <v>106</v>
      </c>
      <c r="S63" s="164" t="s">
        <v>107</v>
      </c>
      <c r="T63" s="164" t="s">
        <v>108</v>
      </c>
      <c r="U63" s="164" t="s">
        <v>109</v>
      </c>
      <c r="V63" s="164" t="s">
        <v>110</v>
      </c>
    </row>
    <row r="64" ht="15.75" customHeight="1">
      <c r="A64" s="166">
        <v>1.0</v>
      </c>
      <c r="B64" s="234">
        <v>200.0</v>
      </c>
      <c r="C64" s="165">
        <v>0.0</v>
      </c>
      <c r="D64" s="165">
        <v>0.0</v>
      </c>
      <c r="E64" s="165">
        <v>0.0</v>
      </c>
      <c r="F64" s="165">
        <v>0.0</v>
      </c>
      <c r="G64" s="165">
        <v>0.0</v>
      </c>
      <c r="H64" s="165">
        <v>0.0</v>
      </c>
      <c r="I64" s="165">
        <v>0.0</v>
      </c>
      <c r="J64" s="165">
        <v>1.0</v>
      </c>
      <c r="K64" s="165">
        <v>0.0</v>
      </c>
      <c r="L64" s="165">
        <v>0.0</v>
      </c>
      <c r="M64" s="165">
        <v>0.0</v>
      </c>
      <c r="N64" s="165">
        <v>0.0</v>
      </c>
      <c r="O64" s="165">
        <v>0.0</v>
      </c>
      <c r="P64" s="165">
        <v>0.0</v>
      </c>
      <c r="Q64" s="165">
        <v>0.0</v>
      </c>
      <c r="R64" s="165">
        <v>0.0</v>
      </c>
      <c r="S64" s="165">
        <v>0.0</v>
      </c>
      <c r="T64" s="165">
        <v>0.0</v>
      </c>
      <c r="U64" s="165">
        <v>0.0</v>
      </c>
      <c r="V64" s="165">
        <v>0.0</v>
      </c>
    </row>
    <row r="65" ht="15.75" customHeight="1">
      <c r="A65" s="166">
        <v>2.0</v>
      </c>
      <c r="B65" s="234">
        <v>100.0</v>
      </c>
      <c r="C65" s="165">
        <v>0.0</v>
      </c>
      <c r="D65" s="165">
        <v>0.0</v>
      </c>
      <c r="E65" s="165">
        <v>0.0</v>
      </c>
      <c r="F65" s="165">
        <v>0.0</v>
      </c>
      <c r="G65" s="165">
        <v>0.0</v>
      </c>
      <c r="H65" s="165">
        <v>0.0</v>
      </c>
      <c r="I65" s="165">
        <v>1.0</v>
      </c>
      <c r="J65" s="165">
        <v>0.0</v>
      </c>
      <c r="K65" s="165">
        <v>0.0</v>
      </c>
      <c r="L65" s="165">
        <v>0.0</v>
      </c>
      <c r="M65" s="165">
        <v>0.0</v>
      </c>
      <c r="N65" s="165">
        <v>0.0</v>
      </c>
      <c r="O65" s="165">
        <v>0.0</v>
      </c>
      <c r="P65" s="165">
        <v>0.0</v>
      </c>
      <c r="Q65" s="165">
        <v>0.0</v>
      </c>
      <c r="R65" s="165">
        <v>0.0</v>
      </c>
      <c r="S65" s="165">
        <v>0.0</v>
      </c>
      <c r="T65" s="165">
        <v>0.0</v>
      </c>
      <c r="U65" s="165">
        <v>0.0</v>
      </c>
      <c r="V65" s="165">
        <v>0.0</v>
      </c>
    </row>
    <row r="66" ht="15.75" customHeight="1">
      <c r="A66" s="166">
        <v>3.0</v>
      </c>
      <c r="B66" s="234">
        <v>50.0</v>
      </c>
      <c r="C66" s="165">
        <v>0.0</v>
      </c>
      <c r="D66" s="165">
        <v>0.0</v>
      </c>
      <c r="E66" s="165">
        <v>0.0</v>
      </c>
      <c r="F66" s="165">
        <v>0.0</v>
      </c>
      <c r="G66" s="165">
        <v>0.0</v>
      </c>
      <c r="H66" s="165">
        <v>0.0</v>
      </c>
      <c r="I66" s="165">
        <v>1.0</v>
      </c>
      <c r="J66" s="165">
        <v>0.0</v>
      </c>
      <c r="K66" s="165">
        <v>0.0</v>
      </c>
      <c r="L66" s="165">
        <v>0.0</v>
      </c>
      <c r="M66" s="165">
        <v>0.0</v>
      </c>
      <c r="N66" s="165">
        <v>0.0</v>
      </c>
      <c r="O66" s="165">
        <v>0.0</v>
      </c>
      <c r="P66" s="165">
        <v>0.0</v>
      </c>
      <c r="Q66" s="165">
        <v>0.0</v>
      </c>
      <c r="R66" s="165">
        <v>0.0</v>
      </c>
      <c r="S66" s="165">
        <v>0.0</v>
      </c>
      <c r="T66" s="165">
        <v>0.0</v>
      </c>
      <c r="U66" s="165">
        <v>0.0</v>
      </c>
      <c r="V66" s="165">
        <v>0.0</v>
      </c>
    </row>
    <row r="67" ht="15.75" customHeight="1">
      <c r="A67" s="166">
        <v>4.0</v>
      </c>
      <c r="B67" s="234">
        <v>0.0</v>
      </c>
      <c r="C67" s="165">
        <v>0.0</v>
      </c>
      <c r="D67" s="165">
        <v>0.0</v>
      </c>
      <c r="E67" s="165">
        <v>0.0</v>
      </c>
      <c r="F67" s="165">
        <v>0.0</v>
      </c>
      <c r="G67" s="165">
        <v>0.0</v>
      </c>
      <c r="H67" s="165">
        <v>0.0</v>
      </c>
      <c r="I67" s="165">
        <v>1.0</v>
      </c>
      <c r="J67" s="165">
        <v>0.0</v>
      </c>
      <c r="K67" s="165">
        <v>0.0</v>
      </c>
      <c r="L67" s="165">
        <v>0.0</v>
      </c>
      <c r="M67" s="165">
        <v>0.0</v>
      </c>
      <c r="N67" s="165">
        <v>0.0</v>
      </c>
      <c r="O67" s="165">
        <v>0.0</v>
      </c>
      <c r="P67" s="165">
        <v>0.0</v>
      </c>
      <c r="Q67" s="165">
        <v>0.0</v>
      </c>
      <c r="R67" s="165">
        <v>0.0</v>
      </c>
      <c r="S67" s="165">
        <v>0.0</v>
      </c>
      <c r="T67" s="165">
        <v>0.0</v>
      </c>
      <c r="U67" s="165">
        <v>0.0</v>
      </c>
      <c r="V67" s="165">
        <v>0.0</v>
      </c>
    </row>
    <row r="68" ht="15.75" customHeight="1">
      <c r="A68" s="166">
        <v>5.0</v>
      </c>
      <c r="B68" s="234">
        <v>0.0</v>
      </c>
      <c r="C68" s="165">
        <v>0.0</v>
      </c>
      <c r="D68" s="165">
        <v>0.0</v>
      </c>
      <c r="E68" s="165">
        <v>0.0</v>
      </c>
      <c r="F68" s="165">
        <v>0.0</v>
      </c>
      <c r="G68" s="165">
        <v>0.0</v>
      </c>
      <c r="H68" s="165">
        <v>0.0</v>
      </c>
      <c r="I68" s="165">
        <v>1.0</v>
      </c>
      <c r="J68" s="165">
        <v>0.0</v>
      </c>
      <c r="K68" s="165">
        <v>0.0</v>
      </c>
      <c r="L68" s="165">
        <v>0.0</v>
      </c>
      <c r="M68" s="165">
        <v>0.0</v>
      </c>
      <c r="N68" s="165">
        <v>0.0</v>
      </c>
      <c r="O68" s="165">
        <v>0.0</v>
      </c>
      <c r="P68" s="165">
        <v>0.0</v>
      </c>
      <c r="Q68" s="165">
        <v>0.0</v>
      </c>
      <c r="R68" s="165">
        <v>0.0</v>
      </c>
      <c r="S68" s="165">
        <v>0.0</v>
      </c>
      <c r="T68" s="165">
        <v>0.0</v>
      </c>
      <c r="U68" s="165">
        <v>0.0</v>
      </c>
      <c r="V68" s="165">
        <v>0.0</v>
      </c>
    </row>
    <row r="69" ht="15.75" customHeight="1">
      <c r="A69" s="166">
        <v>6.0</v>
      </c>
      <c r="B69" s="234">
        <v>0.0</v>
      </c>
      <c r="C69" s="165">
        <v>0.0</v>
      </c>
      <c r="D69" s="165">
        <v>0.0</v>
      </c>
      <c r="E69" s="165">
        <v>0.0</v>
      </c>
      <c r="F69" s="165">
        <v>0.0</v>
      </c>
      <c r="G69" s="165">
        <v>0.0</v>
      </c>
      <c r="H69" s="165">
        <v>1.0</v>
      </c>
      <c r="I69" s="165">
        <v>0.0</v>
      </c>
      <c r="J69" s="165">
        <v>0.0</v>
      </c>
      <c r="K69" s="165">
        <v>0.0</v>
      </c>
      <c r="L69" s="165">
        <v>0.0</v>
      </c>
      <c r="M69" s="165">
        <v>0.0</v>
      </c>
      <c r="N69" s="165">
        <v>0.0</v>
      </c>
      <c r="O69" s="165">
        <v>0.0</v>
      </c>
      <c r="P69" s="165">
        <v>0.0</v>
      </c>
      <c r="Q69" s="165">
        <v>0.0</v>
      </c>
      <c r="R69" s="165">
        <v>0.0</v>
      </c>
      <c r="S69" s="165">
        <v>0.0</v>
      </c>
      <c r="T69" s="165">
        <v>0.0</v>
      </c>
      <c r="U69" s="165">
        <v>0.0</v>
      </c>
      <c r="V69" s="165">
        <v>0.0</v>
      </c>
    </row>
    <row r="70" ht="15.75" customHeight="1">
      <c r="A70" s="166">
        <v>7.0</v>
      </c>
      <c r="B70" s="234">
        <v>0.0</v>
      </c>
      <c r="C70" s="165">
        <v>0.0</v>
      </c>
      <c r="D70" s="165">
        <v>0.0</v>
      </c>
      <c r="E70" s="165">
        <v>0.0</v>
      </c>
      <c r="F70" s="165">
        <v>0.0</v>
      </c>
      <c r="G70" s="165">
        <v>0.0</v>
      </c>
      <c r="H70" s="165">
        <v>1.0</v>
      </c>
      <c r="I70" s="165">
        <v>0.0</v>
      </c>
      <c r="J70" s="165">
        <v>0.0</v>
      </c>
      <c r="K70" s="165">
        <v>0.0</v>
      </c>
      <c r="L70" s="165">
        <v>0.0</v>
      </c>
      <c r="M70" s="165">
        <v>0.0</v>
      </c>
      <c r="N70" s="165">
        <v>0.0</v>
      </c>
      <c r="O70" s="165">
        <v>0.0</v>
      </c>
      <c r="P70" s="165">
        <v>0.0</v>
      </c>
      <c r="Q70" s="165">
        <v>0.0</v>
      </c>
      <c r="R70" s="165">
        <v>0.0</v>
      </c>
      <c r="S70" s="165">
        <v>0.0</v>
      </c>
      <c r="T70" s="165">
        <v>0.0</v>
      </c>
      <c r="U70" s="165">
        <v>0.0</v>
      </c>
      <c r="V70" s="165">
        <v>0.0</v>
      </c>
    </row>
    <row r="71" ht="15.75" customHeight="1">
      <c r="A71" s="166">
        <v>8.0</v>
      </c>
      <c r="B71" s="234">
        <v>0.0</v>
      </c>
      <c r="C71" s="165">
        <v>0.0</v>
      </c>
      <c r="D71" s="165">
        <v>0.0</v>
      </c>
      <c r="E71" s="165">
        <v>0.0</v>
      </c>
      <c r="F71" s="165">
        <v>0.0</v>
      </c>
      <c r="G71" s="165">
        <v>0.0</v>
      </c>
      <c r="H71" s="165">
        <v>1.0</v>
      </c>
      <c r="I71" s="165">
        <v>0.0</v>
      </c>
      <c r="J71" s="165">
        <v>0.0</v>
      </c>
      <c r="K71" s="165">
        <v>0.0</v>
      </c>
      <c r="L71" s="165">
        <v>0.0</v>
      </c>
      <c r="M71" s="165">
        <v>0.0</v>
      </c>
      <c r="N71" s="165">
        <v>0.0</v>
      </c>
      <c r="O71" s="165">
        <v>0.0</v>
      </c>
      <c r="P71" s="165">
        <v>0.0</v>
      </c>
      <c r="Q71" s="165">
        <v>0.0</v>
      </c>
      <c r="R71" s="165">
        <v>0.0</v>
      </c>
      <c r="S71" s="165">
        <v>0.0</v>
      </c>
      <c r="T71" s="165">
        <v>0.0</v>
      </c>
      <c r="U71" s="165">
        <v>0.0</v>
      </c>
      <c r="V71" s="165">
        <v>0.0</v>
      </c>
    </row>
    <row r="72" ht="15.75" customHeight="1">
      <c r="A72" s="166">
        <v>9.0</v>
      </c>
      <c r="B72" s="234">
        <v>0.0</v>
      </c>
      <c r="C72" s="165">
        <v>0.0</v>
      </c>
      <c r="D72" s="165">
        <v>0.0</v>
      </c>
      <c r="E72" s="165">
        <v>0.0</v>
      </c>
      <c r="F72" s="165">
        <v>0.0</v>
      </c>
      <c r="G72" s="165">
        <v>0.0</v>
      </c>
      <c r="H72" s="165">
        <v>1.0</v>
      </c>
      <c r="I72" s="165">
        <v>0.0</v>
      </c>
      <c r="J72" s="165">
        <v>0.0</v>
      </c>
      <c r="K72" s="165">
        <v>0.0</v>
      </c>
      <c r="L72" s="165">
        <v>0.0</v>
      </c>
      <c r="M72" s="165">
        <v>0.0</v>
      </c>
      <c r="N72" s="165">
        <v>0.0</v>
      </c>
      <c r="O72" s="165">
        <v>0.0</v>
      </c>
      <c r="P72" s="165">
        <v>0.0</v>
      </c>
      <c r="Q72" s="165">
        <v>0.0</v>
      </c>
      <c r="R72" s="165">
        <v>0.0</v>
      </c>
      <c r="S72" s="165">
        <v>0.0</v>
      </c>
      <c r="T72" s="165">
        <v>0.0</v>
      </c>
      <c r="U72" s="165">
        <v>0.0</v>
      </c>
      <c r="V72" s="165">
        <v>0.0</v>
      </c>
    </row>
    <row r="73" ht="15.75" customHeight="1">
      <c r="A73" s="166">
        <v>10.0</v>
      </c>
      <c r="B73" s="234">
        <v>0.0</v>
      </c>
      <c r="C73" s="165">
        <v>0.0</v>
      </c>
      <c r="D73" s="165">
        <v>0.0</v>
      </c>
      <c r="E73" s="165">
        <v>0.0</v>
      </c>
      <c r="F73" s="165">
        <v>0.0</v>
      </c>
      <c r="G73" s="165">
        <v>0.0</v>
      </c>
      <c r="H73" s="165">
        <v>1.0</v>
      </c>
      <c r="I73" s="165">
        <v>0.0</v>
      </c>
      <c r="J73" s="165">
        <v>0.0</v>
      </c>
      <c r="K73" s="165">
        <v>0.0</v>
      </c>
      <c r="L73" s="165">
        <v>0.0</v>
      </c>
      <c r="M73" s="165">
        <v>0.0</v>
      </c>
      <c r="N73" s="165">
        <v>0.0</v>
      </c>
      <c r="O73" s="165">
        <v>0.0</v>
      </c>
      <c r="P73" s="165">
        <v>0.0</v>
      </c>
      <c r="Q73" s="165">
        <v>0.0</v>
      </c>
      <c r="R73" s="165">
        <v>0.0</v>
      </c>
      <c r="S73" s="165">
        <v>0.0</v>
      </c>
      <c r="T73" s="165">
        <v>0.0</v>
      </c>
      <c r="U73" s="165">
        <v>0.0</v>
      </c>
      <c r="V73" s="165">
        <v>0.0</v>
      </c>
    </row>
    <row r="74" ht="15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</row>
    <row r="75" ht="19.5" customHeight="1">
      <c r="A75" s="111" t="s">
        <v>308</v>
      </c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</row>
    <row r="76" ht="15.75" customHeight="1">
      <c r="A76" s="154" t="s">
        <v>299</v>
      </c>
      <c r="B76" s="156">
        <v>10.0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</row>
    <row r="77" ht="15.75" customHeight="1">
      <c r="A77" s="154" t="s">
        <v>300</v>
      </c>
      <c r="B77" s="156">
        <v>10.0</v>
      </c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</row>
    <row r="78" ht="15.75" customHeight="1">
      <c r="A78" s="154" t="s">
        <v>152</v>
      </c>
      <c r="B78" s="235">
        <v>1.0</v>
      </c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</row>
    <row r="79" ht="15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</row>
    <row r="80" ht="19.5" customHeight="1">
      <c r="A80" s="111" t="s">
        <v>309</v>
      </c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</row>
    <row r="81" ht="90.0" customHeight="1">
      <c r="A81" s="162" t="s">
        <v>216</v>
      </c>
      <c r="B81" s="233" t="s">
        <v>82</v>
      </c>
      <c r="C81" s="164" t="s">
        <v>68</v>
      </c>
      <c r="D81" s="164" t="s">
        <v>103</v>
      </c>
      <c r="E81" s="164" t="s">
        <v>69</v>
      </c>
      <c r="F81" s="164" t="s">
        <v>70</v>
      </c>
      <c r="G81" s="164" t="s">
        <v>71</v>
      </c>
      <c r="H81" s="164" t="s">
        <v>72</v>
      </c>
      <c r="I81" s="164" t="s">
        <v>73</v>
      </c>
      <c r="J81" s="164" t="s">
        <v>74</v>
      </c>
      <c r="K81" s="164" t="s">
        <v>75</v>
      </c>
      <c r="L81" s="164" t="s">
        <v>76</v>
      </c>
      <c r="M81" s="164" t="s">
        <v>77</v>
      </c>
      <c r="N81" s="164" t="s">
        <v>78</v>
      </c>
      <c r="O81" s="164" t="s">
        <v>118</v>
      </c>
      <c r="P81" s="164" t="s">
        <v>104</v>
      </c>
      <c r="Q81" s="164" t="s">
        <v>105</v>
      </c>
      <c r="R81" s="164" t="s">
        <v>106</v>
      </c>
      <c r="S81" s="164" t="s">
        <v>107</v>
      </c>
      <c r="T81" s="164" t="s">
        <v>108</v>
      </c>
      <c r="U81" s="164" t="s">
        <v>109</v>
      </c>
      <c r="V81" s="164" t="s">
        <v>110</v>
      </c>
    </row>
    <row r="82" ht="15.75" customHeight="1">
      <c r="A82" s="166">
        <v>1.0</v>
      </c>
      <c r="B82" s="234">
        <v>200.0</v>
      </c>
      <c r="C82" s="165">
        <v>0.0</v>
      </c>
      <c r="D82" s="165">
        <v>0.0</v>
      </c>
      <c r="E82" s="165">
        <v>0.0</v>
      </c>
      <c r="F82" s="165">
        <v>0.0</v>
      </c>
      <c r="G82" s="165">
        <v>0.0</v>
      </c>
      <c r="H82" s="165">
        <v>0.0</v>
      </c>
      <c r="I82" s="165">
        <v>0.0</v>
      </c>
      <c r="J82" s="165">
        <v>1.0</v>
      </c>
      <c r="K82" s="165">
        <v>0.0</v>
      </c>
      <c r="L82" s="165">
        <v>0.0</v>
      </c>
      <c r="M82" s="165">
        <v>0.0</v>
      </c>
      <c r="N82" s="165">
        <v>0.0</v>
      </c>
      <c r="O82" s="165">
        <v>0.0</v>
      </c>
      <c r="P82" s="165">
        <v>0.0</v>
      </c>
      <c r="Q82" s="165">
        <v>0.0</v>
      </c>
      <c r="R82" s="165">
        <v>0.0</v>
      </c>
      <c r="S82" s="165">
        <v>0.0</v>
      </c>
      <c r="T82" s="165">
        <v>0.0</v>
      </c>
      <c r="U82" s="165">
        <v>0.0</v>
      </c>
      <c r="V82" s="165">
        <v>0.0</v>
      </c>
    </row>
    <row r="83" ht="15.75" customHeight="1">
      <c r="A83" s="166">
        <v>2.0</v>
      </c>
      <c r="B83" s="234">
        <v>100.0</v>
      </c>
      <c r="C83" s="165">
        <v>0.0</v>
      </c>
      <c r="D83" s="165">
        <v>0.0</v>
      </c>
      <c r="E83" s="165">
        <v>0.0</v>
      </c>
      <c r="F83" s="165">
        <v>0.0</v>
      </c>
      <c r="G83" s="165">
        <v>0.0</v>
      </c>
      <c r="H83" s="165">
        <v>0.0</v>
      </c>
      <c r="I83" s="165">
        <v>1.0</v>
      </c>
      <c r="J83" s="165">
        <v>0.0</v>
      </c>
      <c r="K83" s="165">
        <v>0.0</v>
      </c>
      <c r="L83" s="165">
        <v>0.0</v>
      </c>
      <c r="M83" s="165">
        <v>0.0</v>
      </c>
      <c r="N83" s="165">
        <v>0.0</v>
      </c>
      <c r="O83" s="165">
        <v>0.0</v>
      </c>
      <c r="P83" s="165">
        <v>0.0</v>
      </c>
      <c r="Q83" s="165">
        <v>0.0</v>
      </c>
      <c r="R83" s="165">
        <v>0.0</v>
      </c>
      <c r="S83" s="165">
        <v>0.0</v>
      </c>
      <c r="T83" s="165">
        <v>0.0</v>
      </c>
      <c r="U83" s="165">
        <v>0.0</v>
      </c>
      <c r="V83" s="165">
        <v>0.0</v>
      </c>
    </row>
    <row r="84" ht="15.75" customHeight="1">
      <c r="A84" s="166">
        <v>3.0</v>
      </c>
      <c r="B84" s="234">
        <v>50.0</v>
      </c>
      <c r="C84" s="165">
        <v>0.0</v>
      </c>
      <c r="D84" s="165">
        <v>0.0</v>
      </c>
      <c r="E84" s="165">
        <v>0.0</v>
      </c>
      <c r="F84" s="165">
        <v>0.0</v>
      </c>
      <c r="G84" s="165">
        <v>0.0</v>
      </c>
      <c r="H84" s="165">
        <v>0.0</v>
      </c>
      <c r="I84" s="165">
        <v>1.0</v>
      </c>
      <c r="J84" s="165">
        <v>0.0</v>
      </c>
      <c r="K84" s="165">
        <v>0.0</v>
      </c>
      <c r="L84" s="165">
        <v>0.0</v>
      </c>
      <c r="M84" s="165">
        <v>0.0</v>
      </c>
      <c r="N84" s="165">
        <v>0.0</v>
      </c>
      <c r="O84" s="165">
        <v>0.0</v>
      </c>
      <c r="P84" s="165">
        <v>0.0</v>
      </c>
      <c r="Q84" s="165">
        <v>0.0</v>
      </c>
      <c r="R84" s="165">
        <v>0.0</v>
      </c>
      <c r="S84" s="165">
        <v>0.0</v>
      </c>
      <c r="T84" s="165">
        <v>0.0</v>
      </c>
      <c r="U84" s="165">
        <v>0.0</v>
      </c>
      <c r="V84" s="165">
        <v>0.0</v>
      </c>
    </row>
    <row r="85" ht="15.75" customHeight="1">
      <c r="A85" s="166">
        <v>4.0</v>
      </c>
      <c r="B85" s="234">
        <v>0.0</v>
      </c>
      <c r="C85" s="165">
        <v>0.0</v>
      </c>
      <c r="D85" s="165">
        <v>0.0</v>
      </c>
      <c r="E85" s="165">
        <v>0.0</v>
      </c>
      <c r="F85" s="165">
        <v>0.0</v>
      </c>
      <c r="G85" s="165">
        <v>0.0</v>
      </c>
      <c r="H85" s="165">
        <v>0.0</v>
      </c>
      <c r="I85" s="165">
        <v>1.0</v>
      </c>
      <c r="J85" s="165">
        <v>0.0</v>
      </c>
      <c r="K85" s="165">
        <v>0.0</v>
      </c>
      <c r="L85" s="165">
        <v>0.0</v>
      </c>
      <c r="M85" s="165">
        <v>0.0</v>
      </c>
      <c r="N85" s="165">
        <v>0.0</v>
      </c>
      <c r="O85" s="165">
        <v>0.0</v>
      </c>
      <c r="P85" s="165">
        <v>0.0</v>
      </c>
      <c r="Q85" s="165">
        <v>0.0</v>
      </c>
      <c r="R85" s="165">
        <v>0.0</v>
      </c>
      <c r="S85" s="165">
        <v>0.0</v>
      </c>
      <c r="T85" s="165">
        <v>0.0</v>
      </c>
      <c r="U85" s="165">
        <v>0.0</v>
      </c>
      <c r="V85" s="165">
        <v>0.0</v>
      </c>
    </row>
    <row r="86" ht="15.75" customHeight="1">
      <c r="A86" s="166">
        <v>5.0</v>
      </c>
      <c r="B86" s="234">
        <v>0.0</v>
      </c>
      <c r="C86" s="165">
        <v>0.0</v>
      </c>
      <c r="D86" s="165">
        <v>0.0</v>
      </c>
      <c r="E86" s="165">
        <v>0.0</v>
      </c>
      <c r="F86" s="165">
        <v>0.0</v>
      </c>
      <c r="G86" s="165">
        <v>0.0</v>
      </c>
      <c r="H86" s="165">
        <v>0.0</v>
      </c>
      <c r="I86" s="165">
        <v>1.0</v>
      </c>
      <c r="J86" s="165">
        <v>0.0</v>
      </c>
      <c r="K86" s="165">
        <v>0.0</v>
      </c>
      <c r="L86" s="165">
        <v>0.0</v>
      </c>
      <c r="M86" s="165">
        <v>0.0</v>
      </c>
      <c r="N86" s="165">
        <v>0.0</v>
      </c>
      <c r="O86" s="165">
        <v>0.0</v>
      </c>
      <c r="P86" s="165">
        <v>0.0</v>
      </c>
      <c r="Q86" s="165">
        <v>0.0</v>
      </c>
      <c r="R86" s="165">
        <v>0.0</v>
      </c>
      <c r="S86" s="165">
        <v>0.0</v>
      </c>
      <c r="T86" s="165">
        <v>0.0</v>
      </c>
      <c r="U86" s="165">
        <v>0.0</v>
      </c>
      <c r="V86" s="165">
        <v>0.0</v>
      </c>
    </row>
    <row r="87" ht="15.75" customHeight="1">
      <c r="A87" s="166">
        <v>6.0</v>
      </c>
      <c r="B87" s="234">
        <v>0.0</v>
      </c>
      <c r="C87" s="165">
        <v>0.0</v>
      </c>
      <c r="D87" s="165">
        <v>0.0</v>
      </c>
      <c r="E87" s="165">
        <v>0.0</v>
      </c>
      <c r="F87" s="165">
        <v>0.0</v>
      </c>
      <c r="G87" s="165">
        <v>0.0</v>
      </c>
      <c r="H87" s="165">
        <v>1.0</v>
      </c>
      <c r="I87" s="165">
        <v>0.0</v>
      </c>
      <c r="J87" s="165">
        <v>0.0</v>
      </c>
      <c r="K87" s="165">
        <v>0.0</v>
      </c>
      <c r="L87" s="165">
        <v>0.0</v>
      </c>
      <c r="M87" s="165">
        <v>0.0</v>
      </c>
      <c r="N87" s="165">
        <v>0.0</v>
      </c>
      <c r="O87" s="165">
        <v>0.0</v>
      </c>
      <c r="P87" s="165">
        <v>0.0</v>
      </c>
      <c r="Q87" s="165">
        <v>0.0</v>
      </c>
      <c r="R87" s="165">
        <v>0.0</v>
      </c>
      <c r="S87" s="165">
        <v>0.0</v>
      </c>
      <c r="T87" s="165">
        <v>0.0</v>
      </c>
      <c r="U87" s="165">
        <v>0.0</v>
      </c>
      <c r="V87" s="165">
        <v>0.0</v>
      </c>
    </row>
    <row r="88" ht="15.75" customHeight="1">
      <c r="A88" s="166">
        <v>7.0</v>
      </c>
      <c r="B88" s="234">
        <v>0.0</v>
      </c>
      <c r="C88" s="165">
        <v>0.0</v>
      </c>
      <c r="D88" s="165">
        <v>0.0</v>
      </c>
      <c r="E88" s="165">
        <v>0.0</v>
      </c>
      <c r="F88" s="165">
        <v>0.0</v>
      </c>
      <c r="G88" s="165">
        <v>0.0</v>
      </c>
      <c r="H88" s="165">
        <v>1.0</v>
      </c>
      <c r="I88" s="165">
        <v>0.0</v>
      </c>
      <c r="J88" s="165">
        <v>0.0</v>
      </c>
      <c r="K88" s="165">
        <v>0.0</v>
      </c>
      <c r="L88" s="165">
        <v>0.0</v>
      </c>
      <c r="M88" s="165">
        <v>0.0</v>
      </c>
      <c r="N88" s="165">
        <v>0.0</v>
      </c>
      <c r="O88" s="165">
        <v>0.0</v>
      </c>
      <c r="P88" s="165">
        <v>0.0</v>
      </c>
      <c r="Q88" s="165">
        <v>0.0</v>
      </c>
      <c r="R88" s="165">
        <v>0.0</v>
      </c>
      <c r="S88" s="165">
        <v>0.0</v>
      </c>
      <c r="T88" s="165">
        <v>0.0</v>
      </c>
      <c r="U88" s="165">
        <v>0.0</v>
      </c>
      <c r="V88" s="165">
        <v>0.0</v>
      </c>
    </row>
    <row r="89" ht="15.75" customHeight="1">
      <c r="A89" s="166">
        <v>8.0</v>
      </c>
      <c r="B89" s="234">
        <v>0.0</v>
      </c>
      <c r="C89" s="165">
        <v>0.0</v>
      </c>
      <c r="D89" s="165">
        <v>0.0</v>
      </c>
      <c r="E89" s="165">
        <v>0.0</v>
      </c>
      <c r="F89" s="165">
        <v>0.0</v>
      </c>
      <c r="G89" s="165">
        <v>0.0</v>
      </c>
      <c r="H89" s="165">
        <v>1.0</v>
      </c>
      <c r="I89" s="165">
        <v>0.0</v>
      </c>
      <c r="J89" s="165">
        <v>0.0</v>
      </c>
      <c r="K89" s="165">
        <v>0.0</v>
      </c>
      <c r="L89" s="165">
        <v>0.0</v>
      </c>
      <c r="M89" s="165">
        <v>0.0</v>
      </c>
      <c r="N89" s="165">
        <v>0.0</v>
      </c>
      <c r="O89" s="165">
        <v>0.0</v>
      </c>
      <c r="P89" s="165">
        <v>0.0</v>
      </c>
      <c r="Q89" s="165">
        <v>0.0</v>
      </c>
      <c r="R89" s="165">
        <v>0.0</v>
      </c>
      <c r="S89" s="165">
        <v>0.0</v>
      </c>
      <c r="T89" s="165">
        <v>0.0</v>
      </c>
      <c r="U89" s="165">
        <v>0.0</v>
      </c>
      <c r="V89" s="165">
        <v>0.0</v>
      </c>
    </row>
    <row r="90" ht="15.75" customHeight="1">
      <c r="A90" s="166">
        <v>9.0</v>
      </c>
      <c r="B90" s="234">
        <v>0.0</v>
      </c>
      <c r="C90" s="165">
        <v>0.0</v>
      </c>
      <c r="D90" s="165">
        <v>0.0</v>
      </c>
      <c r="E90" s="165">
        <v>0.0</v>
      </c>
      <c r="F90" s="165">
        <v>0.0</v>
      </c>
      <c r="G90" s="165">
        <v>0.0</v>
      </c>
      <c r="H90" s="165">
        <v>1.0</v>
      </c>
      <c r="I90" s="165">
        <v>0.0</v>
      </c>
      <c r="J90" s="165">
        <v>0.0</v>
      </c>
      <c r="K90" s="165">
        <v>0.0</v>
      </c>
      <c r="L90" s="165">
        <v>0.0</v>
      </c>
      <c r="M90" s="165">
        <v>0.0</v>
      </c>
      <c r="N90" s="165">
        <v>0.0</v>
      </c>
      <c r="O90" s="165">
        <v>0.0</v>
      </c>
      <c r="P90" s="165">
        <v>0.0</v>
      </c>
      <c r="Q90" s="165">
        <v>0.0</v>
      </c>
      <c r="R90" s="165">
        <v>0.0</v>
      </c>
      <c r="S90" s="165">
        <v>0.0</v>
      </c>
      <c r="T90" s="165">
        <v>0.0</v>
      </c>
      <c r="U90" s="165">
        <v>0.0</v>
      </c>
      <c r="V90" s="165">
        <v>0.0</v>
      </c>
    </row>
    <row r="91" ht="15.75" customHeight="1">
      <c r="A91" s="166">
        <v>10.0</v>
      </c>
      <c r="B91" s="234">
        <v>0.0</v>
      </c>
      <c r="C91" s="165">
        <v>0.0</v>
      </c>
      <c r="D91" s="165">
        <v>0.0</v>
      </c>
      <c r="E91" s="165">
        <v>0.0</v>
      </c>
      <c r="F91" s="165">
        <v>0.0</v>
      </c>
      <c r="G91" s="165">
        <v>0.0</v>
      </c>
      <c r="H91" s="165">
        <v>1.0</v>
      </c>
      <c r="I91" s="165">
        <v>0.0</v>
      </c>
      <c r="J91" s="165">
        <v>0.0</v>
      </c>
      <c r="K91" s="165">
        <v>0.0</v>
      </c>
      <c r="L91" s="165">
        <v>0.0</v>
      </c>
      <c r="M91" s="165">
        <v>0.0</v>
      </c>
      <c r="N91" s="165">
        <v>0.0</v>
      </c>
      <c r="O91" s="165">
        <v>0.0</v>
      </c>
      <c r="P91" s="165">
        <v>0.0</v>
      </c>
      <c r="Q91" s="165">
        <v>0.0</v>
      </c>
      <c r="R91" s="165">
        <v>0.0</v>
      </c>
      <c r="S91" s="165">
        <v>0.0</v>
      </c>
      <c r="T91" s="165">
        <v>0.0</v>
      </c>
      <c r="U91" s="165">
        <v>0.0</v>
      </c>
      <c r="V91" s="165">
        <v>0.0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conditionalFormatting sqref="B10:V19">
    <cfRule type="cellIs" dxfId="5" priority="1" operator="greaterThan">
      <formula>0</formula>
    </cfRule>
  </conditionalFormatting>
  <conditionalFormatting sqref="A10:V19">
    <cfRule type="expression" dxfId="6" priority="2">
      <formula>ISEVEN(ROW()-9+1)</formula>
    </cfRule>
  </conditionalFormatting>
  <conditionalFormatting sqref="B28:V37">
    <cfRule type="cellIs" dxfId="5" priority="3" operator="greaterThan">
      <formula>0</formula>
    </cfRule>
  </conditionalFormatting>
  <conditionalFormatting sqref="A28:V37">
    <cfRule type="expression" dxfId="6" priority="4">
      <formula>ISEVEN(ROW()-26+1)</formula>
    </cfRule>
  </conditionalFormatting>
  <conditionalFormatting sqref="B46:V55">
    <cfRule type="cellIs" dxfId="5" priority="5" operator="greaterThan">
      <formula>0</formula>
    </cfRule>
  </conditionalFormatting>
  <conditionalFormatting sqref="A46:V55">
    <cfRule type="expression" dxfId="6" priority="6">
      <formula>ISEVEN(ROW()-43+1)</formula>
    </cfRule>
  </conditionalFormatting>
  <conditionalFormatting sqref="B64:V73">
    <cfRule type="cellIs" dxfId="5" priority="7" operator="greaterThan">
      <formula>0</formula>
    </cfRule>
  </conditionalFormatting>
  <conditionalFormatting sqref="A64:V73">
    <cfRule type="expression" dxfId="6" priority="8">
      <formula>ISEVEN(ROW()-60+1)</formula>
    </cfRule>
  </conditionalFormatting>
  <conditionalFormatting sqref="B82:V91">
    <cfRule type="cellIs" dxfId="5" priority="9" operator="greaterThan">
      <formula>0</formula>
    </cfRule>
  </conditionalFormatting>
  <conditionalFormatting sqref="A82:V91">
    <cfRule type="expression" dxfId="6" priority="10">
      <formula>ISEVEN(ROW()-77+1)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</cols>
  <sheetData>
    <row r="1">
      <c r="A1" s="7" t="s">
        <v>32</v>
      </c>
    </row>
    <row r="2">
      <c r="A2" s="112" t="s">
        <v>114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</row>
    <row r="3">
      <c r="A3" s="236" t="s">
        <v>316</v>
      </c>
      <c r="B3" s="180" t="s">
        <v>317</v>
      </c>
    </row>
    <row r="4">
      <c r="A4" s="236" t="s">
        <v>318</v>
      </c>
      <c r="B4" s="180" t="s">
        <v>319</v>
      </c>
    </row>
    <row r="5">
      <c r="A5" s="236" t="s">
        <v>320</v>
      </c>
      <c r="B5" s="180" t="s">
        <v>321</v>
      </c>
    </row>
    <row r="6">
      <c r="A6" s="236" t="s">
        <v>154</v>
      </c>
      <c r="B6" s="180">
        <v>25.0</v>
      </c>
    </row>
    <row r="7">
      <c r="A7" s="145" t="s">
        <v>152</v>
      </c>
      <c r="B7" s="180">
        <v>7.0</v>
      </c>
    </row>
    <row r="9">
      <c r="A9" s="237" t="s">
        <v>322</v>
      </c>
      <c r="B9" s="203"/>
      <c r="C9" s="203"/>
      <c r="D9" s="203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</row>
    <row r="10">
      <c r="A10" s="238" t="s">
        <v>157</v>
      </c>
      <c r="B10" s="238" t="s">
        <v>323</v>
      </c>
      <c r="C10" s="239" t="s">
        <v>82</v>
      </c>
      <c r="D10" s="240" t="s">
        <v>68</v>
      </c>
      <c r="E10" s="241" t="s">
        <v>103</v>
      </c>
      <c r="F10" s="136" t="s">
        <v>69</v>
      </c>
      <c r="G10" s="136" t="s">
        <v>70</v>
      </c>
      <c r="H10" s="136" t="s">
        <v>71</v>
      </c>
      <c r="I10" s="136" t="s">
        <v>72</v>
      </c>
      <c r="J10" s="136" t="s">
        <v>73</v>
      </c>
      <c r="K10" s="136" t="s">
        <v>74</v>
      </c>
      <c r="L10" s="136" t="s">
        <v>75</v>
      </c>
      <c r="M10" s="136" t="s">
        <v>76</v>
      </c>
      <c r="N10" s="136" t="s">
        <v>77</v>
      </c>
      <c r="O10" s="136" t="s">
        <v>78</v>
      </c>
      <c r="P10" s="119" t="s">
        <v>118</v>
      </c>
      <c r="Q10" s="119" t="s">
        <v>104</v>
      </c>
      <c r="R10" s="119" t="s">
        <v>105</v>
      </c>
      <c r="S10" s="119" t="s">
        <v>106</v>
      </c>
      <c r="T10" s="119" t="s">
        <v>107</v>
      </c>
      <c r="U10" s="119" t="s">
        <v>108</v>
      </c>
      <c r="V10" s="119" t="s">
        <v>109</v>
      </c>
      <c r="W10" s="119" t="s">
        <v>110</v>
      </c>
    </row>
    <row r="11">
      <c r="A11" s="242">
        <v>1.0</v>
      </c>
      <c r="B11" s="242">
        <v>100.0</v>
      </c>
      <c r="C11" s="243">
        <v>0.0</v>
      </c>
      <c r="D11" s="242">
        <v>0.0</v>
      </c>
      <c r="E11" s="244">
        <v>0.0</v>
      </c>
      <c r="F11" s="169">
        <v>0.0</v>
      </c>
      <c r="G11" s="169">
        <v>0.0</v>
      </c>
      <c r="H11" s="169">
        <v>0.0</v>
      </c>
      <c r="I11" s="169">
        <v>0.0</v>
      </c>
      <c r="J11" s="169">
        <v>0.0</v>
      </c>
      <c r="K11" s="169">
        <v>0.0</v>
      </c>
      <c r="L11" s="169">
        <v>0.0</v>
      </c>
      <c r="M11" s="169">
        <v>0.0</v>
      </c>
      <c r="N11" s="169">
        <v>0.0</v>
      </c>
      <c r="O11" s="169">
        <v>0.0</v>
      </c>
      <c r="P11" s="169">
        <v>0.0</v>
      </c>
      <c r="Q11" s="169">
        <v>0.0</v>
      </c>
      <c r="R11" s="169">
        <v>0.0</v>
      </c>
      <c r="S11" s="169">
        <v>0.0</v>
      </c>
      <c r="T11" s="169">
        <v>0.0</v>
      </c>
      <c r="U11" s="169">
        <v>0.0</v>
      </c>
      <c r="V11" s="169">
        <v>0.0</v>
      </c>
      <c r="W11" s="169">
        <v>0.0</v>
      </c>
    </row>
    <row r="12">
      <c r="A12" s="242">
        <v>2.0</v>
      </c>
      <c r="B12" s="242">
        <v>300.0</v>
      </c>
      <c r="C12" s="243">
        <v>0.0</v>
      </c>
      <c r="D12" s="242">
        <v>0.0</v>
      </c>
      <c r="E12" s="244">
        <v>0.0</v>
      </c>
      <c r="F12" s="169">
        <v>0.0</v>
      </c>
      <c r="G12" s="169">
        <v>0.0</v>
      </c>
      <c r="H12" s="169">
        <v>0.0</v>
      </c>
      <c r="I12" s="169">
        <v>0.0</v>
      </c>
      <c r="J12" s="169">
        <v>0.0</v>
      </c>
      <c r="K12" s="169">
        <v>0.0</v>
      </c>
      <c r="L12" s="169">
        <v>0.0</v>
      </c>
      <c r="M12" s="169">
        <v>0.0</v>
      </c>
      <c r="N12" s="169">
        <v>0.0</v>
      </c>
      <c r="O12" s="169">
        <v>0.0</v>
      </c>
      <c r="P12" s="169">
        <v>0.0</v>
      </c>
      <c r="Q12" s="169">
        <v>0.0</v>
      </c>
      <c r="R12" s="169">
        <v>0.0</v>
      </c>
      <c r="S12" s="169">
        <v>0.0</v>
      </c>
      <c r="T12" s="169">
        <v>0.0</v>
      </c>
      <c r="U12" s="169">
        <v>0.0</v>
      </c>
      <c r="V12" s="169">
        <v>0.0</v>
      </c>
      <c r="W12" s="169">
        <v>0.0</v>
      </c>
    </row>
    <row r="13">
      <c r="A13" s="242">
        <v>3.0</v>
      </c>
      <c r="B13" s="242">
        <v>500.0</v>
      </c>
      <c r="C13" s="243">
        <v>0.0</v>
      </c>
      <c r="D13" s="242">
        <v>0.0</v>
      </c>
      <c r="E13" s="244">
        <v>0.0</v>
      </c>
      <c r="F13" s="169">
        <v>0.0</v>
      </c>
      <c r="G13" s="169">
        <v>0.0</v>
      </c>
      <c r="H13" s="169">
        <v>0.0</v>
      </c>
      <c r="I13" s="169">
        <v>0.0</v>
      </c>
      <c r="J13" s="169">
        <v>0.0</v>
      </c>
      <c r="K13" s="169">
        <v>0.0</v>
      </c>
      <c r="L13" s="169">
        <v>0.0</v>
      </c>
      <c r="M13" s="169">
        <v>0.0</v>
      </c>
      <c r="N13" s="169">
        <v>0.0</v>
      </c>
      <c r="O13" s="169">
        <v>0.0</v>
      </c>
      <c r="P13" s="169">
        <v>0.0</v>
      </c>
      <c r="Q13" s="169">
        <v>0.0</v>
      </c>
      <c r="R13" s="169">
        <v>0.0</v>
      </c>
      <c r="S13" s="169">
        <v>0.0</v>
      </c>
      <c r="T13" s="169">
        <v>0.0</v>
      </c>
      <c r="U13" s="169">
        <v>0.0</v>
      </c>
      <c r="V13" s="169">
        <v>0.0</v>
      </c>
      <c r="W13" s="169">
        <v>0.0</v>
      </c>
    </row>
    <row r="14">
      <c r="A14" s="242">
        <v>4.0</v>
      </c>
      <c r="B14" s="242">
        <v>700.0</v>
      </c>
      <c r="C14" s="243">
        <v>0.0</v>
      </c>
      <c r="D14" s="242">
        <v>0.0</v>
      </c>
      <c r="E14" s="244">
        <v>0.0</v>
      </c>
      <c r="F14" s="169">
        <v>0.0</v>
      </c>
      <c r="G14" s="169">
        <v>0.0</v>
      </c>
      <c r="H14" s="169">
        <v>0.0</v>
      </c>
      <c r="I14" s="169">
        <v>0.0</v>
      </c>
      <c r="J14" s="169">
        <v>0.0</v>
      </c>
      <c r="K14" s="169">
        <v>0.0</v>
      </c>
      <c r="L14" s="169">
        <v>0.0</v>
      </c>
      <c r="M14" s="169">
        <v>0.0</v>
      </c>
      <c r="N14" s="169">
        <v>0.0</v>
      </c>
      <c r="O14" s="169">
        <v>0.0</v>
      </c>
      <c r="P14" s="169">
        <v>0.0</v>
      </c>
      <c r="Q14" s="169">
        <v>0.0</v>
      </c>
      <c r="R14" s="169">
        <v>0.0</v>
      </c>
      <c r="S14" s="169">
        <v>0.0</v>
      </c>
      <c r="T14" s="169">
        <v>0.0</v>
      </c>
      <c r="U14" s="169">
        <v>0.0</v>
      </c>
      <c r="V14" s="169">
        <v>0.0</v>
      </c>
      <c r="W14" s="169">
        <v>0.0</v>
      </c>
    </row>
    <row r="15">
      <c r="A15" s="242">
        <v>5.0</v>
      </c>
      <c r="B15" s="242">
        <v>2000.0</v>
      </c>
      <c r="C15" s="243">
        <v>0.0</v>
      </c>
      <c r="D15" s="242">
        <v>0.0</v>
      </c>
      <c r="E15" s="244">
        <v>0.0</v>
      </c>
      <c r="F15" s="169">
        <v>0.0</v>
      </c>
      <c r="G15" s="169">
        <v>0.0</v>
      </c>
      <c r="H15" s="169">
        <v>0.0</v>
      </c>
      <c r="I15" s="169">
        <v>0.0</v>
      </c>
      <c r="J15" s="169">
        <v>0.0</v>
      </c>
      <c r="K15" s="169">
        <v>0.0</v>
      </c>
      <c r="L15" s="169">
        <v>0.0</v>
      </c>
      <c r="M15" s="169">
        <v>0.0</v>
      </c>
      <c r="N15" s="169">
        <v>0.0</v>
      </c>
      <c r="O15" s="169">
        <v>0.0</v>
      </c>
      <c r="P15" s="169">
        <v>0.0</v>
      </c>
      <c r="Q15" s="169">
        <v>0.0</v>
      </c>
      <c r="R15" s="169">
        <v>0.0</v>
      </c>
      <c r="S15" s="169">
        <v>0.0</v>
      </c>
      <c r="T15" s="169">
        <v>0.0</v>
      </c>
      <c r="U15" s="169">
        <v>0.0</v>
      </c>
      <c r="V15" s="169">
        <v>0.0</v>
      </c>
      <c r="W15" s="169">
        <v>0.0</v>
      </c>
    </row>
    <row r="16">
      <c r="A16" s="242">
        <v>6.0</v>
      </c>
      <c r="B16" s="242">
        <v>3000.0</v>
      </c>
      <c r="C16" s="243">
        <v>0.0</v>
      </c>
      <c r="D16" s="242">
        <v>0.0</v>
      </c>
      <c r="E16" s="244">
        <v>0.0</v>
      </c>
      <c r="F16" s="169">
        <v>0.0</v>
      </c>
      <c r="G16" s="169">
        <v>0.0</v>
      </c>
      <c r="H16" s="169">
        <v>0.0</v>
      </c>
      <c r="I16" s="169">
        <v>0.0</v>
      </c>
      <c r="J16" s="169">
        <v>0.0</v>
      </c>
      <c r="K16" s="169">
        <v>0.0</v>
      </c>
      <c r="L16" s="169">
        <v>0.0</v>
      </c>
      <c r="M16" s="169">
        <v>0.0</v>
      </c>
      <c r="N16" s="169">
        <v>0.0</v>
      </c>
      <c r="O16" s="169">
        <v>0.0</v>
      </c>
      <c r="P16" s="169">
        <v>0.0</v>
      </c>
      <c r="Q16" s="169">
        <v>0.0</v>
      </c>
      <c r="R16" s="169">
        <v>0.0</v>
      </c>
      <c r="S16" s="169">
        <v>0.0</v>
      </c>
      <c r="T16" s="169">
        <v>0.0</v>
      </c>
      <c r="U16" s="169">
        <v>0.0</v>
      </c>
      <c r="V16" s="169">
        <v>0.0</v>
      </c>
      <c r="W16" s="169">
        <v>0.0</v>
      </c>
    </row>
    <row r="17">
      <c r="A17" s="242">
        <v>7.0</v>
      </c>
      <c r="B17" s="242">
        <v>4000.0</v>
      </c>
      <c r="C17" s="243">
        <v>0.0</v>
      </c>
      <c r="D17" s="242">
        <v>0.0</v>
      </c>
      <c r="E17" s="244">
        <v>0.0</v>
      </c>
      <c r="F17" s="169">
        <v>0.0</v>
      </c>
      <c r="G17" s="169">
        <v>0.0</v>
      </c>
      <c r="H17" s="169">
        <v>0.0</v>
      </c>
      <c r="I17" s="169">
        <v>0.0</v>
      </c>
      <c r="J17" s="169">
        <v>0.0</v>
      </c>
      <c r="K17" s="169">
        <v>0.0</v>
      </c>
      <c r="L17" s="169">
        <v>0.0</v>
      </c>
      <c r="M17" s="169">
        <v>0.0</v>
      </c>
      <c r="N17" s="169">
        <v>0.0</v>
      </c>
      <c r="O17" s="169">
        <v>0.0</v>
      </c>
      <c r="P17" s="169">
        <v>0.0</v>
      </c>
      <c r="Q17" s="169">
        <v>0.0</v>
      </c>
      <c r="R17" s="169">
        <v>0.0</v>
      </c>
      <c r="S17" s="169">
        <v>0.0</v>
      </c>
      <c r="T17" s="169">
        <v>0.0</v>
      </c>
      <c r="U17" s="169">
        <v>0.0</v>
      </c>
      <c r="V17" s="169">
        <v>0.0</v>
      </c>
      <c r="W17" s="169">
        <v>0.0</v>
      </c>
    </row>
    <row r="18">
      <c r="A18" s="242">
        <v>8.0</v>
      </c>
      <c r="B18" s="242">
        <v>5500.0</v>
      </c>
      <c r="C18" s="243">
        <v>0.0</v>
      </c>
      <c r="D18" s="242">
        <v>0.0</v>
      </c>
      <c r="E18" s="244">
        <v>0.0</v>
      </c>
      <c r="F18" s="169">
        <v>0.0</v>
      </c>
      <c r="G18" s="169">
        <v>0.0</v>
      </c>
      <c r="H18" s="169">
        <v>0.0</v>
      </c>
      <c r="I18" s="169">
        <v>0.0</v>
      </c>
      <c r="J18" s="169">
        <v>0.0</v>
      </c>
      <c r="K18" s="169">
        <v>0.0</v>
      </c>
      <c r="L18" s="169">
        <v>0.0</v>
      </c>
      <c r="M18" s="169">
        <v>0.0</v>
      </c>
      <c r="N18" s="169">
        <v>0.0</v>
      </c>
      <c r="O18" s="169">
        <v>0.0</v>
      </c>
      <c r="P18" s="169">
        <v>0.0</v>
      </c>
      <c r="Q18" s="169">
        <v>0.0</v>
      </c>
      <c r="R18" s="169">
        <v>0.0</v>
      </c>
      <c r="S18" s="169">
        <v>0.0</v>
      </c>
      <c r="T18" s="169">
        <v>0.0</v>
      </c>
      <c r="U18" s="169">
        <v>0.0</v>
      </c>
      <c r="V18" s="169">
        <v>0.0</v>
      </c>
      <c r="W18" s="169">
        <v>0.0</v>
      </c>
    </row>
    <row r="19">
      <c r="A19" s="242">
        <v>9.0</v>
      </c>
      <c r="B19" s="242">
        <v>7000.0</v>
      </c>
      <c r="C19" s="243">
        <v>0.0</v>
      </c>
      <c r="D19" s="242">
        <v>0.0</v>
      </c>
      <c r="E19" s="244">
        <v>0.0</v>
      </c>
      <c r="F19" s="169">
        <v>0.0</v>
      </c>
      <c r="G19" s="169">
        <v>0.0</v>
      </c>
      <c r="H19" s="169">
        <v>0.0</v>
      </c>
      <c r="I19" s="169">
        <v>0.0</v>
      </c>
      <c r="J19" s="169">
        <v>0.0</v>
      </c>
      <c r="K19" s="169">
        <v>0.0</v>
      </c>
      <c r="L19" s="169">
        <v>0.0</v>
      </c>
      <c r="M19" s="169">
        <v>0.0</v>
      </c>
      <c r="N19" s="169">
        <v>0.0</v>
      </c>
      <c r="O19" s="169">
        <v>0.0</v>
      </c>
      <c r="P19" s="169">
        <v>0.0</v>
      </c>
      <c r="Q19" s="169">
        <v>0.0</v>
      </c>
      <c r="R19" s="169">
        <v>0.0</v>
      </c>
      <c r="S19" s="169">
        <v>0.0</v>
      </c>
      <c r="T19" s="169">
        <v>0.0</v>
      </c>
      <c r="U19" s="169">
        <v>0.0</v>
      </c>
      <c r="V19" s="169">
        <v>0.0</v>
      </c>
      <c r="W19" s="169">
        <v>0.0</v>
      </c>
    </row>
    <row r="20">
      <c r="A20" s="242">
        <v>10.0</v>
      </c>
      <c r="B20" s="242">
        <v>8500.0</v>
      </c>
      <c r="C20" s="243">
        <v>0.0</v>
      </c>
      <c r="D20" s="242">
        <v>0.0</v>
      </c>
      <c r="E20" s="244">
        <v>0.0</v>
      </c>
      <c r="F20" s="169">
        <v>0.0</v>
      </c>
      <c r="G20" s="169">
        <v>0.0</v>
      </c>
      <c r="H20" s="169">
        <v>0.0</v>
      </c>
      <c r="I20" s="169">
        <v>0.0</v>
      </c>
      <c r="J20" s="169">
        <v>0.0</v>
      </c>
      <c r="K20" s="169">
        <v>0.0</v>
      </c>
      <c r="L20" s="169">
        <v>0.0</v>
      </c>
      <c r="M20" s="169">
        <v>0.0</v>
      </c>
      <c r="N20" s="169">
        <v>0.0</v>
      </c>
      <c r="O20" s="169">
        <v>0.0</v>
      </c>
      <c r="P20" s="169">
        <v>0.0</v>
      </c>
      <c r="Q20" s="169">
        <v>0.0</v>
      </c>
      <c r="R20" s="169">
        <v>0.0</v>
      </c>
      <c r="S20" s="169">
        <v>0.0</v>
      </c>
      <c r="T20" s="169">
        <v>0.0</v>
      </c>
      <c r="U20" s="169">
        <v>0.0</v>
      </c>
      <c r="V20" s="169">
        <v>0.0</v>
      </c>
      <c r="W20" s="169">
        <v>0.0</v>
      </c>
    </row>
    <row r="21">
      <c r="A21" s="242">
        <v>11.0</v>
      </c>
      <c r="B21" s="242">
        <v>10000.0</v>
      </c>
      <c r="C21" s="243">
        <v>0.0</v>
      </c>
      <c r="D21" s="242">
        <v>0.0</v>
      </c>
      <c r="E21" s="244">
        <v>0.0</v>
      </c>
      <c r="F21" s="169">
        <v>0.0</v>
      </c>
      <c r="G21" s="169">
        <v>0.0</v>
      </c>
      <c r="H21" s="169">
        <v>0.0</v>
      </c>
      <c r="I21" s="169">
        <v>0.0</v>
      </c>
      <c r="J21" s="169">
        <v>0.0</v>
      </c>
      <c r="K21" s="169">
        <v>0.0</v>
      </c>
      <c r="L21" s="169">
        <v>0.0</v>
      </c>
      <c r="M21" s="169">
        <v>0.0</v>
      </c>
      <c r="N21" s="169">
        <v>0.0</v>
      </c>
      <c r="O21" s="169">
        <v>0.0</v>
      </c>
      <c r="P21" s="169">
        <v>0.0</v>
      </c>
      <c r="Q21" s="169">
        <v>0.0</v>
      </c>
      <c r="R21" s="169">
        <v>0.0</v>
      </c>
      <c r="S21" s="169">
        <v>0.0</v>
      </c>
      <c r="T21" s="169">
        <v>0.0</v>
      </c>
      <c r="U21" s="169">
        <v>0.0</v>
      </c>
      <c r="V21" s="169">
        <v>0.0</v>
      </c>
      <c r="W21" s="169">
        <v>0.0</v>
      </c>
    </row>
    <row r="22">
      <c r="A22" s="242">
        <v>12.0</v>
      </c>
      <c r="B22" s="242">
        <v>11500.0</v>
      </c>
      <c r="C22" s="243">
        <v>0.0</v>
      </c>
      <c r="D22" s="242">
        <v>0.0</v>
      </c>
      <c r="E22" s="244">
        <v>0.0</v>
      </c>
      <c r="F22" s="169">
        <v>0.0</v>
      </c>
      <c r="G22" s="169">
        <v>0.0</v>
      </c>
      <c r="H22" s="169">
        <v>0.0</v>
      </c>
      <c r="I22" s="169">
        <v>0.0</v>
      </c>
      <c r="J22" s="169">
        <v>0.0</v>
      </c>
      <c r="K22" s="169">
        <v>0.0</v>
      </c>
      <c r="L22" s="169">
        <v>0.0</v>
      </c>
      <c r="M22" s="169">
        <v>0.0</v>
      </c>
      <c r="N22" s="169">
        <v>0.0</v>
      </c>
      <c r="O22" s="169">
        <v>0.0</v>
      </c>
      <c r="P22" s="169">
        <v>0.0</v>
      </c>
      <c r="Q22" s="169">
        <v>0.0</v>
      </c>
      <c r="R22" s="169">
        <v>0.0</v>
      </c>
      <c r="S22" s="169">
        <v>0.0</v>
      </c>
      <c r="T22" s="169">
        <v>0.0</v>
      </c>
      <c r="U22" s="169">
        <v>0.0</v>
      </c>
      <c r="V22" s="169">
        <v>0.0</v>
      </c>
      <c r="W22" s="169">
        <v>0.0</v>
      </c>
    </row>
    <row r="23">
      <c r="A23" s="242">
        <v>13.0</v>
      </c>
      <c r="B23" s="242">
        <v>13000.0</v>
      </c>
      <c r="C23" s="243">
        <v>0.0</v>
      </c>
      <c r="D23" s="242">
        <v>0.0</v>
      </c>
      <c r="E23" s="244">
        <v>0.0</v>
      </c>
      <c r="F23" s="169">
        <v>0.0</v>
      </c>
      <c r="G23" s="169">
        <v>0.0</v>
      </c>
      <c r="H23" s="169">
        <v>0.0</v>
      </c>
      <c r="I23" s="169">
        <v>0.0</v>
      </c>
      <c r="J23" s="169">
        <v>0.0</v>
      </c>
      <c r="K23" s="169">
        <v>0.0</v>
      </c>
      <c r="L23" s="169">
        <v>0.0</v>
      </c>
      <c r="M23" s="169">
        <v>0.0</v>
      </c>
      <c r="N23" s="169">
        <v>0.0</v>
      </c>
      <c r="O23" s="169">
        <v>0.0</v>
      </c>
      <c r="P23" s="169">
        <v>0.0</v>
      </c>
      <c r="Q23" s="169">
        <v>0.0</v>
      </c>
      <c r="R23" s="169">
        <v>0.0</v>
      </c>
      <c r="S23" s="169">
        <v>0.0</v>
      </c>
      <c r="T23" s="169">
        <v>0.0</v>
      </c>
      <c r="U23" s="169">
        <v>0.0</v>
      </c>
      <c r="V23" s="169">
        <v>0.0</v>
      </c>
      <c r="W23" s="169">
        <v>0.0</v>
      </c>
    </row>
    <row r="24">
      <c r="A24" s="242">
        <v>14.0</v>
      </c>
      <c r="B24" s="242">
        <v>14500.0</v>
      </c>
      <c r="C24" s="243">
        <v>0.0</v>
      </c>
      <c r="D24" s="242">
        <v>0.0</v>
      </c>
      <c r="E24" s="244">
        <v>0.0</v>
      </c>
      <c r="F24" s="169">
        <v>0.0</v>
      </c>
      <c r="G24" s="169">
        <v>0.0</v>
      </c>
      <c r="H24" s="169">
        <v>0.0</v>
      </c>
      <c r="I24" s="169">
        <v>0.0</v>
      </c>
      <c r="J24" s="169">
        <v>0.0</v>
      </c>
      <c r="K24" s="169">
        <v>0.0</v>
      </c>
      <c r="L24" s="169">
        <v>0.0</v>
      </c>
      <c r="M24" s="169">
        <v>0.0</v>
      </c>
      <c r="N24" s="169">
        <v>0.0</v>
      </c>
      <c r="O24" s="169">
        <v>0.0</v>
      </c>
      <c r="P24" s="169">
        <v>0.0</v>
      </c>
      <c r="Q24" s="169">
        <v>0.0</v>
      </c>
      <c r="R24" s="169">
        <v>0.0</v>
      </c>
      <c r="S24" s="169">
        <v>0.0</v>
      </c>
      <c r="T24" s="169">
        <v>0.0</v>
      </c>
      <c r="U24" s="169">
        <v>0.0</v>
      </c>
      <c r="V24" s="169">
        <v>0.0</v>
      </c>
      <c r="W24" s="169">
        <v>0.0</v>
      </c>
    </row>
    <row r="25">
      <c r="A25" s="242">
        <v>15.0</v>
      </c>
      <c r="B25" s="242">
        <v>16000.0</v>
      </c>
      <c r="C25" s="243">
        <v>0.0</v>
      </c>
      <c r="D25" s="242">
        <v>0.0</v>
      </c>
      <c r="E25" s="244">
        <v>0.0</v>
      </c>
      <c r="F25" s="169">
        <v>0.0</v>
      </c>
      <c r="G25" s="169">
        <v>0.0</v>
      </c>
      <c r="H25" s="169">
        <v>0.0</v>
      </c>
      <c r="I25" s="169">
        <v>0.0</v>
      </c>
      <c r="J25" s="169">
        <v>0.0</v>
      </c>
      <c r="K25" s="169">
        <v>0.0</v>
      </c>
      <c r="L25" s="169">
        <v>0.0</v>
      </c>
      <c r="M25" s="169">
        <v>0.0</v>
      </c>
      <c r="N25" s="169">
        <v>0.0</v>
      </c>
      <c r="O25" s="169">
        <v>0.0</v>
      </c>
      <c r="P25" s="169">
        <v>0.0</v>
      </c>
      <c r="Q25" s="169">
        <v>0.0</v>
      </c>
      <c r="R25" s="169">
        <v>0.0</v>
      </c>
      <c r="S25" s="169">
        <v>0.0</v>
      </c>
      <c r="T25" s="169">
        <v>0.0</v>
      </c>
      <c r="U25" s="169">
        <v>0.0</v>
      </c>
      <c r="V25" s="169">
        <v>0.0</v>
      </c>
      <c r="W25" s="169">
        <v>0.0</v>
      </c>
    </row>
    <row r="26">
      <c r="A26" s="242">
        <v>16.0</v>
      </c>
      <c r="B26" s="242">
        <v>17500.0</v>
      </c>
      <c r="C26" s="243">
        <v>0.0</v>
      </c>
      <c r="D26" s="242">
        <v>0.0</v>
      </c>
      <c r="E26" s="244">
        <v>0.0</v>
      </c>
      <c r="F26" s="169">
        <v>0.0</v>
      </c>
      <c r="G26" s="169">
        <v>0.0</v>
      </c>
      <c r="H26" s="169">
        <v>0.0</v>
      </c>
      <c r="I26" s="169">
        <v>0.0</v>
      </c>
      <c r="J26" s="169">
        <v>0.0</v>
      </c>
      <c r="K26" s="169">
        <v>0.0</v>
      </c>
      <c r="L26" s="169">
        <v>0.0</v>
      </c>
      <c r="M26" s="169">
        <v>0.0</v>
      </c>
      <c r="N26" s="169">
        <v>0.0</v>
      </c>
      <c r="O26" s="169">
        <v>0.0</v>
      </c>
      <c r="P26" s="169">
        <v>0.0</v>
      </c>
      <c r="Q26" s="169">
        <v>0.0</v>
      </c>
      <c r="R26" s="169">
        <v>0.0</v>
      </c>
      <c r="S26" s="169">
        <v>0.0</v>
      </c>
      <c r="T26" s="169">
        <v>0.0</v>
      </c>
      <c r="U26" s="169">
        <v>0.0</v>
      </c>
      <c r="V26" s="169">
        <v>0.0</v>
      </c>
      <c r="W26" s="169">
        <v>0.0</v>
      </c>
    </row>
    <row r="27">
      <c r="A27" s="242">
        <v>17.0</v>
      </c>
      <c r="B27" s="242">
        <v>19000.0</v>
      </c>
      <c r="C27" s="243">
        <v>0.0</v>
      </c>
      <c r="D27" s="242">
        <v>0.0</v>
      </c>
      <c r="E27" s="244">
        <v>0.0</v>
      </c>
      <c r="F27" s="169">
        <v>0.0</v>
      </c>
      <c r="G27" s="169">
        <v>0.0</v>
      </c>
      <c r="H27" s="169">
        <v>0.0</v>
      </c>
      <c r="I27" s="169">
        <v>0.0</v>
      </c>
      <c r="J27" s="169">
        <v>0.0</v>
      </c>
      <c r="K27" s="169">
        <v>0.0</v>
      </c>
      <c r="L27" s="169">
        <v>0.0</v>
      </c>
      <c r="M27" s="169">
        <v>0.0</v>
      </c>
      <c r="N27" s="169">
        <v>0.0</v>
      </c>
      <c r="O27" s="169">
        <v>0.0</v>
      </c>
      <c r="P27" s="169">
        <v>0.0</v>
      </c>
      <c r="Q27" s="169">
        <v>0.0</v>
      </c>
      <c r="R27" s="169">
        <v>0.0</v>
      </c>
      <c r="S27" s="169">
        <v>0.0</v>
      </c>
      <c r="T27" s="169">
        <v>0.0</v>
      </c>
      <c r="U27" s="169">
        <v>0.0</v>
      </c>
      <c r="V27" s="169">
        <v>0.0</v>
      </c>
      <c r="W27" s="169">
        <v>0.0</v>
      </c>
    </row>
    <row r="28">
      <c r="A28" s="242">
        <v>18.0</v>
      </c>
      <c r="B28" s="242">
        <v>20500.0</v>
      </c>
      <c r="C28" s="243">
        <v>0.0</v>
      </c>
      <c r="D28" s="242">
        <v>0.0</v>
      </c>
      <c r="E28" s="244">
        <v>0.0</v>
      </c>
      <c r="F28" s="169">
        <v>0.0</v>
      </c>
      <c r="G28" s="169">
        <v>0.0</v>
      </c>
      <c r="H28" s="169">
        <v>0.0</v>
      </c>
      <c r="I28" s="169">
        <v>0.0</v>
      </c>
      <c r="J28" s="169">
        <v>0.0</v>
      </c>
      <c r="K28" s="169">
        <v>0.0</v>
      </c>
      <c r="L28" s="169">
        <v>0.0</v>
      </c>
      <c r="M28" s="169">
        <v>0.0</v>
      </c>
      <c r="N28" s="169">
        <v>0.0</v>
      </c>
      <c r="O28" s="169">
        <v>0.0</v>
      </c>
      <c r="P28" s="169">
        <v>0.0</v>
      </c>
      <c r="Q28" s="169">
        <v>0.0</v>
      </c>
      <c r="R28" s="169">
        <v>0.0</v>
      </c>
      <c r="S28" s="169">
        <v>0.0</v>
      </c>
      <c r="T28" s="169">
        <v>0.0</v>
      </c>
      <c r="U28" s="169">
        <v>0.0</v>
      </c>
      <c r="V28" s="169">
        <v>0.0</v>
      </c>
      <c r="W28" s="169">
        <v>0.0</v>
      </c>
    </row>
    <row r="29">
      <c r="A29" s="242">
        <v>19.0</v>
      </c>
      <c r="B29" s="242">
        <v>22000.0</v>
      </c>
      <c r="C29" s="243">
        <v>0.0</v>
      </c>
      <c r="D29" s="242">
        <v>0.0</v>
      </c>
      <c r="E29" s="244">
        <v>0.0</v>
      </c>
      <c r="F29" s="169">
        <v>0.0</v>
      </c>
      <c r="G29" s="169">
        <v>0.0</v>
      </c>
      <c r="H29" s="169">
        <v>0.0</v>
      </c>
      <c r="I29" s="169">
        <v>0.0</v>
      </c>
      <c r="J29" s="169">
        <v>0.0</v>
      </c>
      <c r="K29" s="169">
        <v>0.0</v>
      </c>
      <c r="L29" s="169">
        <v>0.0</v>
      </c>
      <c r="M29" s="169">
        <v>0.0</v>
      </c>
      <c r="N29" s="169">
        <v>0.0</v>
      </c>
      <c r="O29" s="169">
        <v>0.0</v>
      </c>
      <c r="P29" s="169">
        <v>0.0</v>
      </c>
      <c r="Q29" s="169">
        <v>0.0</v>
      </c>
      <c r="R29" s="169">
        <v>0.0</v>
      </c>
      <c r="S29" s="169">
        <v>0.0</v>
      </c>
      <c r="T29" s="169">
        <v>0.0</v>
      </c>
      <c r="U29" s="169">
        <v>0.0</v>
      </c>
      <c r="V29" s="169">
        <v>0.0</v>
      </c>
      <c r="W29" s="169">
        <v>0.0</v>
      </c>
    </row>
    <row r="30">
      <c r="A30" s="242">
        <v>20.0</v>
      </c>
      <c r="B30" s="242">
        <v>23500.0</v>
      </c>
      <c r="C30" s="243">
        <v>0.0</v>
      </c>
      <c r="D30" s="242">
        <v>0.0</v>
      </c>
      <c r="E30" s="244">
        <v>0.0</v>
      </c>
      <c r="F30" s="169">
        <v>0.0</v>
      </c>
      <c r="G30" s="169">
        <v>0.0</v>
      </c>
      <c r="H30" s="169">
        <v>0.0</v>
      </c>
      <c r="I30" s="169">
        <v>0.0</v>
      </c>
      <c r="J30" s="169">
        <v>0.0</v>
      </c>
      <c r="K30" s="169">
        <v>0.0</v>
      </c>
      <c r="L30" s="169">
        <v>0.0</v>
      </c>
      <c r="M30" s="169">
        <v>0.0</v>
      </c>
      <c r="N30" s="169">
        <v>0.0</v>
      </c>
      <c r="O30" s="169">
        <v>0.0</v>
      </c>
      <c r="P30" s="169">
        <v>0.0</v>
      </c>
      <c r="Q30" s="169">
        <v>0.0</v>
      </c>
      <c r="R30" s="169">
        <v>0.0</v>
      </c>
      <c r="S30" s="169">
        <v>0.0</v>
      </c>
      <c r="T30" s="169">
        <v>0.0</v>
      </c>
      <c r="U30" s="169">
        <v>0.0</v>
      </c>
      <c r="V30" s="169">
        <v>0.0</v>
      </c>
      <c r="W30" s="169">
        <v>0.0</v>
      </c>
    </row>
    <row r="34">
      <c r="A34" s="111" t="s">
        <v>324</v>
      </c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</row>
    <row r="35">
      <c r="A35" s="245" t="s">
        <v>325</v>
      </c>
      <c r="C35" s="246" t="s">
        <v>82</v>
      </c>
      <c r="D35" s="136" t="s">
        <v>68</v>
      </c>
      <c r="E35" s="136" t="s">
        <v>103</v>
      </c>
      <c r="F35" s="136" t="s">
        <v>69</v>
      </c>
      <c r="G35" s="136" t="s">
        <v>70</v>
      </c>
      <c r="H35" s="136" t="s">
        <v>71</v>
      </c>
      <c r="I35" s="136" t="s">
        <v>72</v>
      </c>
      <c r="J35" s="136" t="s">
        <v>73</v>
      </c>
      <c r="K35" s="136" t="s">
        <v>74</v>
      </c>
      <c r="L35" s="136" t="s">
        <v>75</v>
      </c>
      <c r="M35" s="136" t="s">
        <v>76</v>
      </c>
      <c r="N35" s="136" t="s">
        <v>77</v>
      </c>
      <c r="O35" s="136" t="s">
        <v>78</v>
      </c>
      <c r="P35" s="119" t="s">
        <v>118</v>
      </c>
      <c r="Q35" s="119" t="s">
        <v>104</v>
      </c>
      <c r="R35" s="119" t="s">
        <v>105</v>
      </c>
      <c r="S35" s="119" t="s">
        <v>106</v>
      </c>
      <c r="T35" s="119" t="s">
        <v>107</v>
      </c>
      <c r="U35" s="119" t="s">
        <v>108</v>
      </c>
      <c r="V35" s="119" t="s">
        <v>109</v>
      </c>
      <c r="W35" s="119" t="s">
        <v>110</v>
      </c>
    </row>
    <row r="36">
      <c r="A36" s="247">
        <v>1.0</v>
      </c>
      <c r="C36" s="248">
        <v>200.0</v>
      </c>
      <c r="D36" s="169">
        <v>0.0</v>
      </c>
      <c r="E36" s="169">
        <v>0.0</v>
      </c>
      <c r="F36" s="169">
        <v>0.0</v>
      </c>
      <c r="G36" s="169">
        <v>0.0</v>
      </c>
      <c r="H36" s="169">
        <v>0.0</v>
      </c>
      <c r="I36" s="169">
        <v>0.0</v>
      </c>
      <c r="J36" s="169">
        <v>0.0</v>
      </c>
      <c r="K36" s="169">
        <v>1.0</v>
      </c>
      <c r="L36" s="169">
        <v>0.0</v>
      </c>
      <c r="M36" s="169">
        <v>0.0</v>
      </c>
      <c r="N36" s="169">
        <v>0.0</v>
      </c>
      <c r="O36" s="169">
        <v>0.0</v>
      </c>
      <c r="P36" s="121">
        <v>0.0</v>
      </c>
      <c r="Q36" s="121">
        <v>0.0</v>
      </c>
      <c r="R36" s="121">
        <v>0.0</v>
      </c>
      <c r="S36" s="121">
        <v>0.0</v>
      </c>
      <c r="T36" s="121">
        <v>0.0</v>
      </c>
      <c r="U36" s="121">
        <v>0.0</v>
      </c>
      <c r="V36" s="121">
        <v>0.0</v>
      </c>
      <c r="W36" s="121">
        <v>0.0</v>
      </c>
    </row>
    <row r="37">
      <c r="A37" s="247">
        <v>2.0</v>
      </c>
      <c r="C37" s="248">
        <v>100.0</v>
      </c>
      <c r="D37" s="169">
        <v>0.0</v>
      </c>
      <c r="E37" s="169">
        <v>0.0</v>
      </c>
      <c r="F37" s="169">
        <v>0.0</v>
      </c>
      <c r="G37" s="169">
        <v>0.0</v>
      </c>
      <c r="H37" s="169">
        <v>0.0</v>
      </c>
      <c r="I37" s="169">
        <v>0.0</v>
      </c>
      <c r="J37" s="169">
        <v>1.0</v>
      </c>
      <c r="K37" s="169">
        <v>0.0</v>
      </c>
      <c r="L37" s="169">
        <v>0.0</v>
      </c>
      <c r="M37" s="169">
        <v>0.0</v>
      </c>
      <c r="N37" s="169">
        <v>0.0</v>
      </c>
      <c r="O37" s="169">
        <v>0.0</v>
      </c>
      <c r="P37" s="121">
        <v>0.0</v>
      </c>
      <c r="Q37" s="121">
        <v>0.0</v>
      </c>
      <c r="R37" s="121">
        <v>0.0</v>
      </c>
      <c r="S37" s="121">
        <v>0.0</v>
      </c>
      <c r="T37" s="121">
        <v>0.0</v>
      </c>
      <c r="U37" s="121">
        <v>0.0</v>
      </c>
      <c r="V37" s="121">
        <v>0.0</v>
      </c>
      <c r="W37" s="121">
        <v>0.0</v>
      </c>
    </row>
    <row r="38">
      <c r="A38" s="247">
        <v>3.0</v>
      </c>
      <c r="C38" s="248">
        <v>50.0</v>
      </c>
      <c r="D38" s="169">
        <v>0.0</v>
      </c>
      <c r="E38" s="169">
        <v>0.0</v>
      </c>
      <c r="F38" s="169">
        <v>0.0</v>
      </c>
      <c r="G38" s="169">
        <v>0.0</v>
      </c>
      <c r="H38" s="169">
        <v>0.0</v>
      </c>
      <c r="I38" s="169">
        <v>1.0</v>
      </c>
      <c r="J38" s="169">
        <v>0.0</v>
      </c>
      <c r="K38" s="169">
        <v>0.0</v>
      </c>
      <c r="L38" s="169">
        <v>0.0</v>
      </c>
      <c r="M38" s="169">
        <v>0.0</v>
      </c>
      <c r="N38" s="169">
        <v>0.0</v>
      </c>
      <c r="O38" s="169">
        <v>0.0</v>
      </c>
      <c r="P38" s="121">
        <v>0.0</v>
      </c>
      <c r="Q38" s="121">
        <v>0.0</v>
      </c>
      <c r="R38" s="121">
        <v>0.0</v>
      </c>
      <c r="S38" s="121">
        <v>0.0</v>
      </c>
      <c r="T38" s="121">
        <v>0.0</v>
      </c>
      <c r="U38" s="121">
        <v>0.0</v>
      </c>
      <c r="V38" s="121">
        <v>0.0</v>
      </c>
      <c r="W38" s="121">
        <v>0.0</v>
      </c>
    </row>
    <row r="39">
      <c r="A39" s="247">
        <v>4.0</v>
      </c>
      <c r="C39" s="248">
        <v>0.0</v>
      </c>
      <c r="D39" s="169">
        <v>0.0</v>
      </c>
      <c r="E39" s="169">
        <v>0.0</v>
      </c>
      <c r="F39" s="169">
        <v>0.0</v>
      </c>
      <c r="G39" s="169">
        <v>0.0</v>
      </c>
      <c r="H39" s="169">
        <v>0.0</v>
      </c>
      <c r="I39" s="169">
        <v>0.0</v>
      </c>
      <c r="J39" s="169">
        <v>1.0</v>
      </c>
      <c r="K39" s="169">
        <v>0.0</v>
      </c>
      <c r="L39" s="169">
        <v>0.0</v>
      </c>
      <c r="M39" s="169">
        <v>0.0</v>
      </c>
      <c r="N39" s="169">
        <v>0.0</v>
      </c>
      <c r="O39" s="169">
        <v>0.0</v>
      </c>
      <c r="P39" s="121">
        <v>0.0</v>
      </c>
      <c r="Q39" s="121">
        <v>0.0</v>
      </c>
      <c r="R39" s="121">
        <v>0.0</v>
      </c>
      <c r="S39" s="121">
        <v>0.0</v>
      </c>
      <c r="T39" s="121">
        <v>0.0</v>
      </c>
      <c r="U39" s="121">
        <v>0.0</v>
      </c>
      <c r="V39" s="121">
        <v>0.0</v>
      </c>
      <c r="W39" s="121">
        <v>0.0</v>
      </c>
    </row>
    <row r="40">
      <c r="A40" s="247">
        <v>5.0</v>
      </c>
      <c r="C40" s="248">
        <v>0.0</v>
      </c>
      <c r="D40" s="169">
        <v>0.0</v>
      </c>
      <c r="E40" s="169">
        <v>0.0</v>
      </c>
      <c r="F40" s="169">
        <v>0.0</v>
      </c>
      <c r="G40" s="169">
        <v>0.0</v>
      </c>
      <c r="H40" s="169">
        <v>0.0</v>
      </c>
      <c r="I40" s="169">
        <v>0.0</v>
      </c>
      <c r="J40" s="169">
        <v>1.0</v>
      </c>
      <c r="K40" s="169">
        <v>0.0</v>
      </c>
      <c r="L40" s="169">
        <v>0.0</v>
      </c>
      <c r="M40" s="169">
        <v>0.0</v>
      </c>
      <c r="N40" s="169">
        <v>0.0</v>
      </c>
      <c r="O40" s="169">
        <v>0.0</v>
      </c>
      <c r="P40" s="121">
        <v>0.0</v>
      </c>
      <c r="Q40" s="121">
        <v>0.0</v>
      </c>
      <c r="R40" s="121">
        <v>0.0</v>
      </c>
      <c r="S40" s="121">
        <v>0.0</v>
      </c>
      <c r="T40" s="121">
        <v>0.0</v>
      </c>
      <c r="U40" s="121">
        <v>0.0</v>
      </c>
      <c r="V40" s="121">
        <v>0.0</v>
      </c>
      <c r="W40" s="121">
        <v>0.0</v>
      </c>
    </row>
    <row r="41">
      <c r="A41" s="247">
        <v>6.0</v>
      </c>
      <c r="C41" s="248">
        <v>0.0</v>
      </c>
      <c r="D41" s="169">
        <v>0.0</v>
      </c>
      <c r="E41" s="169">
        <v>0.0</v>
      </c>
      <c r="F41" s="169">
        <v>0.0</v>
      </c>
      <c r="G41" s="169">
        <v>0.0</v>
      </c>
      <c r="H41" s="169">
        <v>0.0</v>
      </c>
      <c r="I41" s="169">
        <v>1.0</v>
      </c>
      <c r="J41" s="169">
        <v>0.0</v>
      </c>
      <c r="K41" s="169">
        <v>0.0</v>
      </c>
      <c r="L41" s="169">
        <v>0.0</v>
      </c>
      <c r="M41" s="169">
        <v>0.0</v>
      </c>
      <c r="N41" s="169">
        <v>0.0</v>
      </c>
      <c r="O41" s="169">
        <v>0.0</v>
      </c>
      <c r="P41" s="121">
        <v>0.0</v>
      </c>
      <c r="Q41" s="121">
        <v>0.0</v>
      </c>
      <c r="R41" s="121">
        <v>0.0</v>
      </c>
      <c r="S41" s="121">
        <v>0.0</v>
      </c>
      <c r="T41" s="121">
        <v>0.0</v>
      </c>
      <c r="U41" s="121">
        <v>0.0</v>
      </c>
      <c r="V41" s="121">
        <v>0.0</v>
      </c>
      <c r="W41" s="121">
        <v>0.0</v>
      </c>
    </row>
    <row r="42">
      <c r="A42" s="247">
        <v>7.0</v>
      </c>
      <c r="C42" s="248">
        <v>0.0</v>
      </c>
      <c r="D42" s="169">
        <v>0.0</v>
      </c>
      <c r="E42" s="169">
        <v>0.0</v>
      </c>
      <c r="F42" s="169">
        <v>0.0</v>
      </c>
      <c r="G42" s="169">
        <v>0.0</v>
      </c>
      <c r="H42" s="169">
        <v>0.0</v>
      </c>
      <c r="I42" s="169">
        <v>1.0</v>
      </c>
      <c r="J42" s="169">
        <v>0.0</v>
      </c>
      <c r="K42" s="169">
        <v>0.0</v>
      </c>
      <c r="L42" s="169">
        <v>0.0</v>
      </c>
      <c r="M42" s="169">
        <v>0.0</v>
      </c>
      <c r="N42" s="169">
        <v>0.0</v>
      </c>
      <c r="O42" s="169">
        <v>0.0</v>
      </c>
      <c r="P42" s="121">
        <v>0.0</v>
      </c>
      <c r="Q42" s="121">
        <v>0.0</v>
      </c>
      <c r="R42" s="121">
        <v>0.0</v>
      </c>
      <c r="S42" s="121">
        <v>0.0</v>
      </c>
      <c r="T42" s="121">
        <v>0.0</v>
      </c>
      <c r="U42" s="121">
        <v>0.0</v>
      </c>
      <c r="V42" s="121">
        <v>0.0</v>
      </c>
      <c r="W42" s="121">
        <v>0.0</v>
      </c>
    </row>
    <row r="43">
      <c r="A43" s="247">
        <v>8.0</v>
      </c>
      <c r="C43" s="248">
        <v>0.0</v>
      </c>
      <c r="D43" s="169">
        <v>0.0</v>
      </c>
      <c r="E43" s="169">
        <v>0.0</v>
      </c>
      <c r="F43" s="169">
        <v>0.0</v>
      </c>
      <c r="G43" s="169">
        <v>0.0</v>
      </c>
      <c r="H43" s="169">
        <v>0.0</v>
      </c>
      <c r="I43" s="169">
        <v>1.0</v>
      </c>
      <c r="J43" s="169">
        <v>0.0</v>
      </c>
      <c r="K43" s="169">
        <v>0.0</v>
      </c>
      <c r="L43" s="169">
        <v>0.0</v>
      </c>
      <c r="M43" s="169">
        <v>0.0</v>
      </c>
      <c r="N43" s="169">
        <v>0.0</v>
      </c>
      <c r="O43" s="169">
        <v>0.0</v>
      </c>
      <c r="P43" s="121">
        <v>0.0</v>
      </c>
      <c r="Q43" s="121">
        <v>0.0</v>
      </c>
      <c r="R43" s="121">
        <v>0.0</v>
      </c>
      <c r="S43" s="121">
        <v>0.0</v>
      </c>
      <c r="T43" s="121">
        <v>0.0</v>
      </c>
      <c r="U43" s="121">
        <v>0.0</v>
      </c>
      <c r="V43" s="121">
        <v>0.0</v>
      </c>
      <c r="W43" s="121">
        <v>0.0</v>
      </c>
    </row>
    <row r="44">
      <c r="A44" s="247">
        <v>9.0</v>
      </c>
      <c r="C44" s="248">
        <v>0.0</v>
      </c>
      <c r="D44" s="169">
        <v>0.0</v>
      </c>
      <c r="E44" s="169">
        <v>0.0</v>
      </c>
      <c r="F44" s="169">
        <v>0.0</v>
      </c>
      <c r="G44" s="169">
        <v>0.0</v>
      </c>
      <c r="H44" s="169">
        <v>0.0</v>
      </c>
      <c r="I44" s="169">
        <v>1.0</v>
      </c>
      <c r="J44" s="169">
        <v>0.0</v>
      </c>
      <c r="K44" s="169">
        <v>0.0</v>
      </c>
      <c r="L44" s="169">
        <v>0.0</v>
      </c>
      <c r="M44" s="169">
        <v>0.0</v>
      </c>
      <c r="N44" s="169">
        <v>0.0</v>
      </c>
      <c r="O44" s="169">
        <v>0.0</v>
      </c>
      <c r="P44" s="121">
        <v>0.0</v>
      </c>
      <c r="Q44" s="121">
        <v>0.0</v>
      </c>
      <c r="R44" s="121">
        <v>0.0</v>
      </c>
      <c r="S44" s="121">
        <v>0.0</v>
      </c>
      <c r="T44" s="121">
        <v>0.0</v>
      </c>
      <c r="U44" s="121">
        <v>0.0</v>
      </c>
      <c r="V44" s="121">
        <v>0.0</v>
      </c>
      <c r="W44" s="121">
        <v>0.0</v>
      </c>
    </row>
    <row r="45">
      <c r="A45" s="247">
        <v>10.0</v>
      </c>
      <c r="C45" s="248">
        <v>0.0</v>
      </c>
      <c r="D45" s="169">
        <v>0.0</v>
      </c>
      <c r="E45" s="169">
        <v>0.0</v>
      </c>
      <c r="F45" s="169">
        <v>0.0</v>
      </c>
      <c r="G45" s="169">
        <v>0.0</v>
      </c>
      <c r="H45" s="169">
        <v>0.0</v>
      </c>
      <c r="I45" s="169">
        <v>1.0</v>
      </c>
      <c r="J45" s="169">
        <v>0.0</v>
      </c>
      <c r="K45" s="169">
        <v>0.0</v>
      </c>
      <c r="L45" s="169">
        <v>0.0</v>
      </c>
      <c r="M45" s="169">
        <v>0.0</v>
      </c>
      <c r="N45" s="169">
        <v>0.0</v>
      </c>
      <c r="O45" s="169">
        <v>0.0</v>
      </c>
      <c r="P45" s="121">
        <v>0.0</v>
      </c>
      <c r="Q45" s="121">
        <v>0.0</v>
      </c>
      <c r="R45" s="121">
        <v>0.0</v>
      </c>
      <c r="S45" s="121">
        <v>0.0</v>
      </c>
      <c r="T45" s="121">
        <v>0.0</v>
      </c>
      <c r="U45" s="121">
        <v>0.0</v>
      </c>
      <c r="V45" s="121">
        <v>0.0</v>
      </c>
      <c r="W45" s="121">
        <v>0.0</v>
      </c>
    </row>
    <row r="46">
      <c r="A46" s="247">
        <v>11.0</v>
      </c>
      <c r="C46" s="248">
        <v>0.0</v>
      </c>
      <c r="D46" s="169">
        <v>0.0</v>
      </c>
      <c r="E46" s="169">
        <v>0.0</v>
      </c>
      <c r="F46" s="169">
        <v>0.0</v>
      </c>
      <c r="G46" s="169">
        <v>0.0</v>
      </c>
      <c r="H46" s="169">
        <v>0.0</v>
      </c>
      <c r="I46" s="169">
        <v>0.0</v>
      </c>
      <c r="J46" s="169">
        <v>0.0</v>
      </c>
      <c r="K46" s="169">
        <v>0.0</v>
      </c>
      <c r="L46" s="169">
        <v>0.0</v>
      </c>
      <c r="M46" s="169">
        <v>0.0</v>
      </c>
      <c r="N46" s="169">
        <v>0.0</v>
      </c>
      <c r="O46" s="169">
        <v>0.0</v>
      </c>
      <c r="P46" s="121">
        <v>0.0</v>
      </c>
      <c r="Q46" s="121">
        <v>0.0</v>
      </c>
      <c r="R46" s="121">
        <v>0.0</v>
      </c>
      <c r="S46" s="121">
        <v>0.0</v>
      </c>
      <c r="T46" s="121">
        <v>0.0</v>
      </c>
      <c r="U46" s="121">
        <v>0.0</v>
      </c>
      <c r="V46" s="121">
        <v>0.0</v>
      </c>
      <c r="W46" s="121">
        <v>0.0</v>
      </c>
    </row>
    <row r="47">
      <c r="A47" s="247">
        <v>12.0</v>
      </c>
      <c r="C47" s="248">
        <v>0.0</v>
      </c>
      <c r="D47" s="169">
        <v>0.0</v>
      </c>
      <c r="E47" s="169">
        <v>0.0</v>
      </c>
      <c r="F47" s="169">
        <v>0.0</v>
      </c>
      <c r="G47" s="169">
        <v>0.0</v>
      </c>
      <c r="H47" s="169">
        <v>0.0</v>
      </c>
      <c r="I47" s="169">
        <v>0.0</v>
      </c>
      <c r="J47" s="169">
        <v>0.0</v>
      </c>
      <c r="K47" s="169">
        <v>0.0</v>
      </c>
      <c r="L47" s="169">
        <v>0.0</v>
      </c>
      <c r="M47" s="169">
        <v>0.0</v>
      </c>
      <c r="N47" s="169">
        <v>0.0</v>
      </c>
      <c r="O47" s="169">
        <v>0.0</v>
      </c>
      <c r="P47" s="121">
        <v>0.0</v>
      </c>
      <c r="Q47" s="121">
        <v>0.0</v>
      </c>
      <c r="R47" s="121">
        <v>0.0</v>
      </c>
      <c r="S47" s="121">
        <v>0.0</v>
      </c>
      <c r="T47" s="121">
        <v>0.0</v>
      </c>
      <c r="U47" s="121">
        <v>0.0</v>
      </c>
      <c r="V47" s="121">
        <v>0.0</v>
      </c>
      <c r="W47" s="121">
        <v>0.0</v>
      </c>
    </row>
    <row r="48">
      <c r="A48" s="247">
        <v>13.0</v>
      </c>
      <c r="C48" s="248">
        <v>0.0</v>
      </c>
      <c r="D48" s="169">
        <v>0.0</v>
      </c>
      <c r="E48" s="169">
        <v>0.0</v>
      </c>
      <c r="F48" s="169">
        <v>0.0</v>
      </c>
      <c r="G48" s="169">
        <v>0.0</v>
      </c>
      <c r="H48" s="169">
        <v>0.0</v>
      </c>
      <c r="I48" s="169">
        <v>0.0</v>
      </c>
      <c r="J48" s="169">
        <v>0.0</v>
      </c>
      <c r="K48" s="169">
        <v>0.0</v>
      </c>
      <c r="L48" s="169">
        <v>0.0</v>
      </c>
      <c r="M48" s="169">
        <v>0.0</v>
      </c>
      <c r="N48" s="169">
        <v>0.0</v>
      </c>
      <c r="O48" s="169">
        <v>0.0</v>
      </c>
      <c r="P48" s="121">
        <v>0.0</v>
      </c>
      <c r="Q48" s="121">
        <v>0.0</v>
      </c>
      <c r="R48" s="121">
        <v>0.0</v>
      </c>
      <c r="S48" s="121">
        <v>0.0</v>
      </c>
      <c r="T48" s="121">
        <v>0.0</v>
      </c>
      <c r="U48" s="121">
        <v>0.0</v>
      </c>
      <c r="V48" s="121">
        <v>0.0</v>
      </c>
      <c r="W48" s="121">
        <v>0.0</v>
      </c>
    </row>
    <row r="49">
      <c r="A49" s="247">
        <v>14.0</v>
      </c>
      <c r="C49" s="248">
        <v>0.0</v>
      </c>
      <c r="D49" s="169">
        <v>0.0</v>
      </c>
      <c r="E49" s="169">
        <v>0.0</v>
      </c>
      <c r="F49" s="169">
        <v>0.0</v>
      </c>
      <c r="G49" s="169">
        <v>0.0</v>
      </c>
      <c r="H49" s="169">
        <v>0.0</v>
      </c>
      <c r="I49" s="169">
        <v>0.0</v>
      </c>
      <c r="J49" s="169">
        <v>0.0</v>
      </c>
      <c r="K49" s="169">
        <v>0.0</v>
      </c>
      <c r="L49" s="169">
        <v>0.0</v>
      </c>
      <c r="M49" s="169">
        <v>0.0</v>
      </c>
      <c r="N49" s="169">
        <v>0.0</v>
      </c>
      <c r="O49" s="169">
        <v>0.0</v>
      </c>
      <c r="P49" s="121">
        <v>0.0</v>
      </c>
      <c r="Q49" s="121">
        <v>0.0</v>
      </c>
      <c r="R49" s="121">
        <v>0.0</v>
      </c>
      <c r="S49" s="121">
        <v>0.0</v>
      </c>
      <c r="T49" s="121">
        <v>0.0</v>
      </c>
      <c r="U49" s="121">
        <v>0.0</v>
      </c>
      <c r="V49" s="121">
        <v>0.0</v>
      </c>
      <c r="W49" s="121">
        <v>0.0</v>
      </c>
    </row>
    <row r="50">
      <c r="A50" s="247">
        <v>15.0</v>
      </c>
      <c r="C50" s="248">
        <v>0.0</v>
      </c>
      <c r="D50" s="169">
        <v>0.0</v>
      </c>
      <c r="E50" s="169">
        <v>0.0</v>
      </c>
      <c r="F50" s="169">
        <v>0.0</v>
      </c>
      <c r="G50" s="169">
        <v>0.0</v>
      </c>
      <c r="H50" s="169">
        <v>0.0</v>
      </c>
      <c r="I50" s="169">
        <v>0.0</v>
      </c>
      <c r="J50" s="169">
        <v>0.0</v>
      </c>
      <c r="K50" s="169">
        <v>0.0</v>
      </c>
      <c r="L50" s="169">
        <v>0.0</v>
      </c>
      <c r="M50" s="169">
        <v>0.0</v>
      </c>
      <c r="N50" s="169">
        <v>0.0</v>
      </c>
      <c r="O50" s="169">
        <v>0.0</v>
      </c>
      <c r="P50" s="121">
        <v>0.0</v>
      </c>
      <c r="Q50" s="121">
        <v>0.0</v>
      </c>
      <c r="R50" s="121">
        <v>0.0</v>
      </c>
      <c r="S50" s="121">
        <v>0.0</v>
      </c>
      <c r="T50" s="121">
        <v>0.0</v>
      </c>
      <c r="U50" s="121">
        <v>0.0</v>
      </c>
      <c r="V50" s="121">
        <v>0.0</v>
      </c>
      <c r="W50" s="121">
        <v>0.0</v>
      </c>
    </row>
    <row r="51">
      <c r="A51" s="247">
        <v>16.0</v>
      </c>
      <c r="C51" s="248">
        <v>0.0</v>
      </c>
      <c r="D51" s="169">
        <v>0.0</v>
      </c>
      <c r="E51" s="169">
        <v>0.0</v>
      </c>
      <c r="F51" s="169">
        <v>0.0</v>
      </c>
      <c r="G51" s="169">
        <v>0.0</v>
      </c>
      <c r="H51" s="169">
        <v>0.0</v>
      </c>
      <c r="I51" s="169">
        <v>0.0</v>
      </c>
      <c r="J51" s="169">
        <v>0.0</v>
      </c>
      <c r="K51" s="169">
        <v>0.0</v>
      </c>
      <c r="L51" s="169">
        <v>0.0</v>
      </c>
      <c r="M51" s="169">
        <v>0.0</v>
      </c>
      <c r="N51" s="169">
        <v>0.0</v>
      </c>
      <c r="O51" s="169">
        <v>0.0</v>
      </c>
      <c r="P51" s="121">
        <v>0.0</v>
      </c>
      <c r="Q51" s="121">
        <v>0.0</v>
      </c>
      <c r="R51" s="121">
        <v>0.0</v>
      </c>
      <c r="S51" s="121">
        <v>0.0</v>
      </c>
      <c r="T51" s="121">
        <v>0.0</v>
      </c>
      <c r="U51" s="121">
        <v>0.0</v>
      </c>
      <c r="V51" s="121">
        <v>0.0</v>
      </c>
      <c r="W51" s="121">
        <v>0.0</v>
      </c>
    </row>
    <row r="52">
      <c r="A52" s="247">
        <v>17.0</v>
      </c>
      <c r="C52" s="248">
        <v>0.0</v>
      </c>
      <c r="D52" s="169">
        <v>0.0</v>
      </c>
      <c r="E52" s="169">
        <v>0.0</v>
      </c>
      <c r="F52" s="169">
        <v>0.0</v>
      </c>
      <c r="G52" s="169">
        <v>0.0</v>
      </c>
      <c r="H52" s="169">
        <v>0.0</v>
      </c>
      <c r="I52" s="169">
        <v>0.0</v>
      </c>
      <c r="J52" s="169">
        <v>0.0</v>
      </c>
      <c r="K52" s="169">
        <v>0.0</v>
      </c>
      <c r="L52" s="169">
        <v>0.0</v>
      </c>
      <c r="M52" s="169">
        <v>0.0</v>
      </c>
      <c r="N52" s="169">
        <v>0.0</v>
      </c>
      <c r="O52" s="169">
        <v>0.0</v>
      </c>
      <c r="P52" s="121">
        <v>0.0</v>
      </c>
      <c r="Q52" s="121">
        <v>0.0</v>
      </c>
      <c r="R52" s="121">
        <v>0.0</v>
      </c>
      <c r="S52" s="121">
        <v>0.0</v>
      </c>
      <c r="T52" s="121">
        <v>0.0</v>
      </c>
      <c r="U52" s="121">
        <v>0.0</v>
      </c>
      <c r="V52" s="121">
        <v>0.0</v>
      </c>
      <c r="W52" s="121">
        <v>0.0</v>
      </c>
    </row>
    <row r="53">
      <c r="A53" s="247">
        <v>18.0</v>
      </c>
      <c r="C53" s="248">
        <v>0.0</v>
      </c>
      <c r="D53" s="169">
        <v>0.0</v>
      </c>
      <c r="E53" s="169">
        <v>0.0</v>
      </c>
      <c r="F53" s="169">
        <v>0.0</v>
      </c>
      <c r="G53" s="169">
        <v>0.0</v>
      </c>
      <c r="H53" s="169">
        <v>0.0</v>
      </c>
      <c r="I53" s="169">
        <v>0.0</v>
      </c>
      <c r="J53" s="169">
        <v>0.0</v>
      </c>
      <c r="K53" s="169">
        <v>0.0</v>
      </c>
      <c r="L53" s="169">
        <v>0.0</v>
      </c>
      <c r="M53" s="169">
        <v>0.0</v>
      </c>
      <c r="N53" s="169">
        <v>0.0</v>
      </c>
      <c r="O53" s="169">
        <v>0.0</v>
      </c>
      <c r="P53" s="121">
        <v>0.0</v>
      </c>
      <c r="Q53" s="121">
        <v>0.0</v>
      </c>
      <c r="R53" s="121">
        <v>0.0</v>
      </c>
      <c r="S53" s="121">
        <v>0.0</v>
      </c>
      <c r="T53" s="121">
        <v>0.0</v>
      </c>
      <c r="U53" s="121">
        <v>0.0</v>
      </c>
      <c r="V53" s="121">
        <v>0.0</v>
      </c>
      <c r="W53" s="121">
        <v>0.0</v>
      </c>
    </row>
    <row r="54">
      <c r="A54" s="247">
        <v>19.0</v>
      </c>
      <c r="C54" s="248">
        <v>0.0</v>
      </c>
      <c r="D54" s="169">
        <v>0.0</v>
      </c>
      <c r="E54" s="169">
        <v>0.0</v>
      </c>
      <c r="F54" s="169">
        <v>0.0</v>
      </c>
      <c r="G54" s="169">
        <v>0.0</v>
      </c>
      <c r="H54" s="169">
        <v>0.0</v>
      </c>
      <c r="I54" s="169">
        <v>0.0</v>
      </c>
      <c r="J54" s="169">
        <v>0.0</v>
      </c>
      <c r="K54" s="169">
        <v>0.0</v>
      </c>
      <c r="L54" s="169">
        <v>0.0</v>
      </c>
      <c r="M54" s="169">
        <v>0.0</v>
      </c>
      <c r="N54" s="169">
        <v>0.0</v>
      </c>
      <c r="O54" s="169">
        <v>0.0</v>
      </c>
      <c r="P54" s="121">
        <v>0.0</v>
      </c>
      <c r="Q54" s="121">
        <v>0.0</v>
      </c>
      <c r="R54" s="121">
        <v>0.0</v>
      </c>
      <c r="S54" s="121">
        <v>0.0</v>
      </c>
      <c r="T54" s="121">
        <v>0.0</v>
      </c>
      <c r="U54" s="121">
        <v>0.0</v>
      </c>
      <c r="V54" s="121">
        <v>0.0</v>
      </c>
      <c r="W54" s="121">
        <v>0.0</v>
      </c>
    </row>
    <row r="55">
      <c r="A55" s="247">
        <v>20.0</v>
      </c>
      <c r="C55" s="248">
        <v>0.0</v>
      </c>
      <c r="D55" s="169">
        <v>0.0</v>
      </c>
      <c r="E55" s="169">
        <v>0.0</v>
      </c>
      <c r="F55" s="169">
        <v>0.0</v>
      </c>
      <c r="G55" s="169">
        <v>0.0</v>
      </c>
      <c r="H55" s="169">
        <v>0.0</v>
      </c>
      <c r="I55" s="169">
        <v>0.0</v>
      </c>
      <c r="J55" s="169">
        <v>0.0</v>
      </c>
      <c r="K55" s="169">
        <v>0.0</v>
      </c>
      <c r="L55" s="169">
        <v>0.0</v>
      </c>
      <c r="M55" s="169">
        <v>0.0</v>
      </c>
      <c r="N55" s="169">
        <v>0.0</v>
      </c>
      <c r="O55" s="169">
        <v>0.0</v>
      </c>
      <c r="P55" s="121">
        <v>0.0</v>
      </c>
      <c r="Q55" s="121">
        <v>0.0</v>
      </c>
      <c r="R55" s="121">
        <v>0.0</v>
      </c>
      <c r="S55" s="121">
        <v>0.0</v>
      </c>
      <c r="T55" s="121">
        <v>0.0</v>
      </c>
      <c r="U55" s="121">
        <v>0.0</v>
      </c>
      <c r="V55" s="121">
        <v>0.0</v>
      </c>
      <c r="W55" s="121">
        <v>0.0</v>
      </c>
    </row>
  </sheetData>
  <conditionalFormatting sqref="C11:W30 C36:W55">
    <cfRule type="cellIs" dxfId="5" priority="1" operator="greaterThan">
      <formula>0</formula>
    </cfRule>
  </conditionalFormatting>
  <conditionalFormatting sqref="A11:W30 A36:A55 C36:W55">
    <cfRule type="expression" dxfId="6" priority="2">
      <formula>ISEVEN(ROW()-10+1)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  <col customWidth="1" min="24" max="32" width="7.63"/>
    <col customWidth="1" min="33" max="33" width="2.5"/>
    <col customWidth="1" min="34" max="34" width="14.0"/>
    <col customWidth="1" min="35" max="35" width="5.13"/>
    <col customWidth="1" min="36" max="36" width="15.5"/>
    <col customWidth="1" min="37" max="37" width="5.13"/>
    <col customWidth="1" min="38" max="38" width="15.5"/>
    <col customWidth="1" min="39" max="39" width="5.13"/>
    <col customWidth="1" min="40" max="40" width="15.5"/>
    <col customWidth="1" min="41" max="41" width="5.13"/>
    <col customWidth="1" min="42" max="42" width="15.5"/>
    <col customWidth="1" min="43" max="43" width="5.13"/>
    <col customWidth="1" min="44" max="44" width="15.5"/>
  </cols>
  <sheetData>
    <row r="1">
      <c r="A1" s="249" t="s">
        <v>32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AH1" s="151" t="s">
        <v>287</v>
      </c>
    </row>
    <row r="2">
      <c r="A2" s="112" t="s">
        <v>114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AH2" s="152" t="s">
        <v>160</v>
      </c>
      <c r="AI2" s="153" t="s">
        <v>161</v>
      </c>
    </row>
    <row r="3">
      <c r="A3" s="250" t="s">
        <v>316</v>
      </c>
      <c r="B3" s="235" t="s">
        <v>317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AH3" s="152" t="s">
        <v>162</v>
      </c>
      <c r="AI3" s="170" t="s">
        <v>163</v>
      </c>
    </row>
    <row r="4">
      <c r="A4" s="250" t="s">
        <v>318</v>
      </c>
      <c r="B4" s="235" t="s">
        <v>319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</row>
    <row r="5">
      <c r="A5" s="250" t="s">
        <v>320</v>
      </c>
      <c r="B5" s="235" t="s">
        <v>321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AH5" s="157" t="s">
        <v>288</v>
      </c>
      <c r="AI5" s="157" t="s">
        <v>289</v>
      </c>
      <c r="AJ5" s="157" t="s">
        <v>166</v>
      </c>
      <c r="AK5" s="157" t="s">
        <v>290</v>
      </c>
      <c r="AL5" s="157" t="s">
        <v>168</v>
      </c>
      <c r="AM5" s="157" t="s">
        <v>291</v>
      </c>
      <c r="AN5" s="157" t="s">
        <v>170</v>
      </c>
      <c r="AO5" s="157" t="s">
        <v>292</v>
      </c>
      <c r="AP5" s="157" t="s">
        <v>172</v>
      </c>
      <c r="AQ5" s="157" t="s">
        <v>293</v>
      </c>
      <c r="AR5" s="157" t="s">
        <v>174</v>
      </c>
    </row>
    <row r="6">
      <c r="A6" s="250" t="s">
        <v>154</v>
      </c>
      <c r="B6" s="235">
        <v>25.0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AH6" s="231" t="s">
        <v>326</v>
      </c>
      <c r="AI6" s="159">
        <f t="array" ref="AI6">LET(pos,CHOOSE(MATCH($AI$2,{"p25","p50","p75"},0),SUMIFS(data_event_inst!$K:$K,data_event_inst!$A:$A,"Target Day",data_event_inst!$B:$B,$AI$3,data_event_inst!$C:$C,"0-9"),SUMIFS(data_event_inst!$L:$L,data_event_inst!$A:$A,"Target Day",data_event_inst!$B:$B,$AI$3,data_event_inst!$C:$C,"0-9"),SUMIFS(data_event_inst!$M:$M,data_event_inst!$A:$A,"Target Day",data_event_inst!$B:$B,$AI$3,data_event_inst!$C:$C,"0-9")),IF(pos=0,"n/a",pos))</f>
        <v>8</v>
      </c>
      <c r="AJ6" s="160" t="str">
        <f t="array" ref="AJ6">LET(p,AI6,IF(p="n/a","n/a",IF(p&gt;20,"— (below ladder)",LET(s,INDEX($C$36:$W$55,p,0),b,TEXTJOIN(", ",TRUE,IF(s&gt;0,$C$35:$W$35&amp;": "&amp;ROUND(s,2),"")),IF(b="","{} (rank pays nothing)","{"&amp;b&amp;"}")))))</f>
        <v>{Red: 1}</v>
      </c>
      <c r="AK6" s="159">
        <f t="array" ref="AK6">LET(pos,CHOOSE(MATCH($AI$2,{"p25","p50","p75"},0),SUMIFS(data_event_inst!$K:$K,data_event_inst!$A:$A,"Target Day",data_event_inst!$B:$B,$AI$3,data_event_inst!$C:$C,"10-19"),SUMIFS(data_event_inst!$L:$L,data_event_inst!$A:$A,"Target Day",data_event_inst!$B:$B,$AI$3,data_event_inst!$C:$C,"10-19"),SUMIFS(data_event_inst!$M:$M,data_event_inst!$A:$A,"Target Day",data_event_inst!$B:$B,$AI$3,data_event_inst!$C:$C,"10-19")),IF(pos=0,"n/a",pos))</f>
        <v>6</v>
      </c>
      <c r="AL6" s="160" t="str">
        <f t="array" ref="AL6">LET(p,AK6,IF(p="n/a","n/a",IF(p&gt;20,"— (below ladder)",LET(s,INDEX($C$36:$W$55,p,0),b,TEXTJOIN(", ",TRUE,IF(s&gt;0,$C$35:$W$35&amp;": "&amp;ROUND(s,2),"")),IF(b="","{} (rank pays nothing)","{"&amp;b&amp;"}")))))</f>
        <v>{Chuck: 1}</v>
      </c>
      <c r="AM6" s="159">
        <f t="array" ref="AM6">LET(pos,CHOOSE(MATCH($AI$2,{"p25","p50","p75"},0),SUMIFS(data_event_inst!$K:$K,data_event_inst!$A:$A,"Target Day",data_event_inst!$B:$B,$AI$3,data_event_inst!$C:$C,"20-39"),SUMIFS(data_event_inst!$L:$L,data_event_inst!$A:$A,"Target Day",data_event_inst!$B:$B,$AI$3,data_event_inst!$C:$C,"20-39"),SUMIFS(data_event_inst!$M:$M,data_event_inst!$A:$A,"Target Day",data_event_inst!$B:$B,$AI$3,data_event_inst!$C:$C,"20-39")),IF(pos=0,"n/a",pos))</f>
        <v>4</v>
      </c>
      <c r="AN6" s="160" t="str">
        <f t="array" ref="AN6">LET(p,AM6,IF(p="n/a","n/a",IF(p&gt;20,"— (below ladder)",LET(s,INDEX($C$36:$W$55,p,0),b,TEXTJOIN(", ",TRUE,IF(s&gt;0,$C$35:$W$35&amp;": "&amp;ROUND(s,2),"")),IF(b="","{} (rank pays nothing)","{"&amp;b&amp;"}")))))</f>
        <v>{Bomb: 1}</v>
      </c>
      <c r="AO6" s="159">
        <f t="array" ref="AO6">LET(pos,CHOOSE(MATCH($AI$2,{"p25","p50","p75"},0),SUMIFS(data_event_inst!$K:$K,data_event_inst!$A:$A,"Target Day",data_event_inst!$B:$B,$AI$3,data_event_inst!$C:$C,"40-99"),SUMIFS(data_event_inst!$L:$L,data_event_inst!$A:$A,"Target Day",data_event_inst!$B:$B,$AI$3,data_event_inst!$C:$C,"40-99"),SUMIFS(data_event_inst!$M:$M,data_event_inst!$A:$A,"Target Day",data_event_inst!$B:$B,$AI$3,data_event_inst!$C:$C,"40-99")),IF(pos=0,"n/a",pos))</f>
        <v>2</v>
      </c>
      <c r="AP6" s="160" t="str">
        <f t="array" ref="AP6">LET(p,AO6,IF(p="n/a","n/a",IF(p&gt;20,"— (below ladder)",LET(s,INDEX($C$36:$W$55,p,0),b,TEXTJOIN(", ",TRUE,IF(s&gt;0,$C$35:$W$35&amp;": "&amp;ROUND(s,2),"")),IF(b="","{} (rank pays nothing)","{"&amp;b&amp;"}")))))</f>
        <v>{Coins: 25, Shuffle: 1}</v>
      </c>
      <c r="AQ6" s="159">
        <f t="array" ref="AQ6">LET(pos,CHOOSE(MATCH($AI$2,{"p25","p50","p75"},0),SUMIFS(data_event_inst!$K:$K,data_event_inst!$A:$A,"Target Day",data_event_inst!$B:$B,$AI$3,data_event_inst!$C:$C,"100+"),SUMIFS(data_event_inst!$L:$L,data_event_inst!$A:$A,"Target Day",data_event_inst!$B:$B,$AI$3,data_event_inst!$C:$C,"100+"),SUMIFS(data_event_inst!$M:$M,data_event_inst!$A:$A,"Target Day",data_event_inst!$B:$B,$AI$3,data_event_inst!$C:$C,"100+")),IF(pos=0,"n/a",pos))</f>
        <v>1</v>
      </c>
      <c r="AR6" s="160" t="str">
        <f t="array" ref="AR6">LET(p,AQ6,IF(p="n/a","n/a",IF(p&gt;20,"— (below ladder)",LET(s,INDEX($C$36:$W$55,p,0),b,TEXTJOIN(", ",TRUE,IF(s&gt;0,$C$35:$W$35&amp;": "&amp;ROUND(s,2),"")),IF(b="","{} (rank pays nothing)","{"&amp;b&amp;"}")))))</f>
        <v>{Coins: 50, Comet: 1}</v>
      </c>
    </row>
    <row r="7">
      <c r="A7" s="154" t="s">
        <v>152</v>
      </c>
      <c r="B7" s="155">
        <v>1.0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</row>
    <row r="8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AH8" s="176" t="s">
        <v>294</v>
      </c>
    </row>
    <row r="9">
      <c r="A9" s="237" t="s">
        <v>322</v>
      </c>
      <c r="B9" s="203"/>
      <c r="C9" s="203"/>
      <c r="D9" s="203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AH9" s="232" t="s">
        <v>327</v>
      </c>
    </row>
    <row r="10">
      <c r="A10" s="251" t="s">
        <v>157</v>
      </c>
      <c r="B10" s="251" t="s">
        <v>323</v>
      </c>
      <c r="C10" s="252" t="s">
        <v>82</v>
      </c>
      <c r="D10" s="253" t="s">
        <v>68</v>
      </c>
      <c r="E10" s="254" t="s">
        <v>103</v>
      </c>
      <c r="F10" s="255" t="s">
        <v>69</v>
      </c>
      <c r="G10" s="255" t="s">
        <v>70</v>
      </c>
      <c r="H10" s="255" t="s">
        <v>71</v>
      </c>
      <c r="I10" s="255" t="s">
        <v>72</v>
      </c>
      <c r="J10" s="255" t="s">
        <v>73</v>
      </c>
      <c r="K10" s="255" t="s">
        <v>74</v>
      </c>
      <c r="L10" s="255" t="s">
        <v>75</v>
      </c>
      <c r="M10" s="255" t="s">
        <v>76</v>
      </c>
      <c r="N10" s="255" t="s">
        <v>77</v>
      </c>
      <c r="O10" s="255" t="s">
        <v>78</v>
      </c>
      <c r="P10" s="164" t="s">
        <v>118</v>
      </c>
      <c r="Q10" s="164" t="s">
        <v>104</v>
      </c>
      <c r="R10" s="164" t="s">
        <v>105</v>
      </c>
      <c r="S10" s="164" t="s">
        <v>106</v>
      </c>
      <c r="T10" s="164" t="s">
        <v>107</v>
      </c>
      <c r="U10" s="164" t="s">
        <v>108</v>
      </c>
      <c r="V10" s="164" t="s">
        <v>109</v>
      </c>
      <c r="W10" s="164" t="s">
        <v>110</v>
      </c>
      <c r="AH10" s="176" t="s">
        <v>328</v>
      </c>
    </row>
    <row r="11">
      <c r="A11" s="256">
        <v>1.0</v>
      </c>
      <c r="B11" s="256">
        <v>100.0</v>
      </c>
      <c r="C11" s="257">
        <v>0.0</v>
      </c>
      <c r="D11" s="256">
        <v>0.0</v>
      </c>
      <c r="E11" s="258">
        <v>0.0</v>
      </c>
      <c r="F11" s="178">
        <v>0.0</v>
      </c>
      <c r="G11" s="178">
        <v>0.0</v>
      </c>
      <c r="H11" s="178">
        <v>0.0</v>
      </c>
      <c r="I11" s="178">
        <v>0.0</v>
      </c>
      <c r="J11" s="178">
        <v>0.0</v>
      </c>
      <c r="K11" s="178">
        <v>0.0</v>
      </c>
      <c r="L11" s="178">
        <v>0.0</v>
      </c>
      <c r="M11" s="178">
        <v>0.0</v>
      </c>
      <c r="N11" s="178">
        <v>0.0</v>
      </c>
      <c r="O11" s="178">
        <v>0.0</v>
      </c>
      <c r="P11" s="178">
        <v>0.0</v>
      </c>
      <c r="Q11" s="178">
        <v>0.0</v>
      </c>
      <c r="R11" s="178">
        <v>0.0</v>
      </c>
      <c r="S11" s="178">
        <v>0.0</v>
      </c>
      <c r="T11" s="178">
        <v>0.0</v>
      </c>
      <c r="U11" s="178">
        <v>0.0</v>
      </c>
      <c r="V11" s="178">
        <v>0.0</v>
      </c>
      <c r="W11" s="178">
        <v>0.0</v>
      </c>
    </row>
    <row r="12">
      <c r="A12" s="256">
        <v>2.0</v>
      </c>
      <c r="B12" s="256">
        <v>300.0</v>
      </c>
      <c r="C12" s="257">
        <v>0.0</v>
      </c>
      <c r="D12" s="256">
        <v>0.0</v>
      </c>
      <c r="E12" s="258">
        <v>0.0</v>
      </c>
      <c r="F12" s="178">
        <v>0.0</v>
      </c>
      <c r="G12" s="178">
        <v>0.0</v>
      </c>
      <c r="H12" s="178">
        <v>0.0</v>
      </c>
      <c r="I12" s="178">
        <v>0.0</v>
      </c>
      <c r="J12" s="178">
        <v>0.0</v>
      </c>
      <c r="K12" s="178">
        <v>0.0</v>
      </c>
      <c r="L12" s="178">
        <v>0.0</v>
      </c>
      <c r="M12" s="178">
        <v>0.0</v>
      </c>
      <c r="N12" s="178">
        <v>0.0</v>
      </c>
      <c r="O12" s="178">
        <v>0.0</v>
      </c>
      <c r="P12" s="178">
        <v>0.0</v>
      </c>
      <c r="Q12" s="178">
        <v>0.0</v>
      </c>
      <c r="R12" s="178">
        <v>0.0</v>
      </c>
      <c r="S12" s="178">
        <v>0.0</v>
      </c>
      <c r="T12" s="178">
        <v>0.0</v>
      </c>
      <c r="U12" s="178">
        <v>0.0</v>
      </c>
      <c r="V12" s="178">
        <v>0.0</v>
      </c>
      <c r="W12" s="178">
        <v>0.0</v>
      </c>
    </row>
    <row r="13">
      <c r="A13" s="256">
        <v>3.0</v>
      </c>
      <c r="B13" s="256">
        <v>500.0</v>
      </c>
      <c r="C13" s="257">
        <v>0.0</v>
      </c>
      <c r="D13" s="256">
        <v>0.0</v>
      </c>
      <c r="E13" s="258">
        <v>0.0</v>
      </c>
      <c r="F13" s="178">
        <v>0.0</v>
      </c>
      <c r="G13" s="178">
        <v>0.0</v>
      </c>
      <c r="H13" s="178">
        <v>0.0</v>
      </c>
      <c r="I13" s="178">
        <v>0.0</v>
      </c>
      <c r="J13" s="178">
        <v>0.0</v>
      </c>
      <c r="K13" s="178">
        <v>0.0</v>
      </c>
      <c r="L13" s="178">
        <v>0.0</v>
      </c>
      <c r="M13" s="178">
        <v>0.0</v>
      </c>
      <c r="N13" s="178">
        <v>0.0</v>
      </c>
      <c r="O13" s="178">
        <v>0.0</v>
      </c>
      <c r="P13" s="178">
        <v>0.0</v>
      </c>
      <c r="Q13" s="178">
        <v>0.0</v>
      </c>
      <c r="R13" s="178">
        <v>0.0</v>
      </c>
      <c r="S13" s="178">
        <v>0.0</v>
      </c>
      <c r="T13" s="178">
        <v>0.0</v>
      </c>
      <c r="U13" s="178">
        <v>0.0</v>
      </c>
      <c r="V13" s="178">
        <v>0.0</v>
      </c>
      <c r="W13" s="178">
        <v>0.0</v>
      </c>
    </row>
    <row r="14">
      <c r="A14" s="256">
        <v>4.0</v>
      </c>
      <c r="B14" s="256">
        <v>700.0</v>
      </c>
      <c r="C14" s="257">
        <v>0.0</v>
      </c>
      <c r="D14" s="256">
        <v>0.0</v>
      </c>
      <c r="E14" s="258">
        <v>0.0</v>
      </c>
      <c r="F14" s="178">
        <v>0.0</v>
      </c>
      <c r="G14" s="178">
        <v>0.0</v>
      </c>
      <c r="H14" s="178">
        <v>0.0</v>
      </c>
      <c r="I14" s="178">
        <v>0.0</v>
      </c>
      <c r="J14" s="178">
        <v>0.0</v>
      </c>
      <c r="K14" s="178">
        <v>0.0</v>
      </c>
      <c r="L14" s="178">
        <v>0.0</v>
      </c>
      <c r="M14" s="178">
        <v>0.0</v>
      </c>
      <c r="N14" s="178">
        <v>0.0</v>
      </c>
      <c r="O14" s="178">
        <v>0.0</v>
      </c>
      <c r="P14" s="178">
        <v>0.0</v>
      </c>
      <c r="Q14" s="178">
        <v>0.0</v>
      </c>
      <c r="R14" s="178">
        <v>0.0</v>
      </c>
      <c r="S14" s="178">
        <v>0.0</v>
      </c>
      <c r="T14" s="178">
        <v>0.0</v>
      </c>
      <c r="U14" s="178">
        <v>0.0</v>
      </c>
      <c r="V14" s="178">
        <v>0.0</v>
      </c>
      <c r="W14" s="178">
        <v>0.0</v>
      </c>
    </row>
    <row r="15">
      <c r="A15" s="256">
        <v>5.0</v>
      </c>
      <c r="B15" s="256">
        <v>2000.0</v>
      </c>
      <c r="C15" s="257">
        <v>0.0</v>
      </c>
      <c r="D15" s="256">
        <v>0.0</v>
      </c>
      <c r="E15" s="258">
        <v>0.0</v>
      </c>
      <c r="F15" s="178">
        <v>0.0</v>
      </c>
      <c r="G15" s="178">
        <v>0.0</v>
      </c>
      <c r="H15" s="178">
        <v>0.0</v>
      </c>
      <c r="I15" s="178">
        <v>0.0</v>
      </c>
      <c r="J15" s="178">
        <v>0.0</v>
      </c>
      <c r="K15" s="178">
        <v>0.0</v>
      </c>
      <c r="L15" s="178">
        <v>0.0</v>
      </c>
      <c r="M15" s="178">
        <v>0.0</v>
      </c>
      <c r="N15" s="178">
        <v>0.0</v>
      </c>
      <c r="O15" s="178">
        <v>0.0</v>
      </c>
      <c r="P15" s="178">
        <v>0.0</v>
      </c>
      <c r="Q15" s="178">
        <v>0.0</v>
      </c>
      <c r="R15" s="178">
        <v>0.0</v>
      </c>
      <c r="S15" s="178">
        <v>0.0</v>
      </c>
      <c r="T15" s="178">
        <v>0.0</v>
      </c>
      <c r="U15" s="178">
        <v>0.0</v>
      </c>
      <c r="V15" s="178">
        <v>0.0</v>
      </c>
      <c r="W15" s="178">
        <v>0.0</v>
      </c>
    </row>
    <row r="16">
      <c r="A16" s="256">
        <v>6.0</v>
      </c>
      <c r="B16" s="256">
        <v>3000.0</v>
      </c>
      <c r="C16" s="257">
        <v>0.0</v>
      </c>
      <c r="D16" s="256">
        <v>0.0</v>
      </c>
      <c r="E16" s="258">
        <v>0.0</v>
      </c>
      <c r="F16" s="178">
        <v>0.0</v>
      </c>
      <c r="G16" s="178">
        <v>0.0</v>
      </c>
      <c r="H16" s="178">
        <v>0.0</v>
      </c>
      <c r="I16" s="178">
        <v>0.0</v>
      </c>
      <c r="J16" s="178">
        <v>0.0</v>
      </c>
      <c r="K16" s="178">
        <v>0.0</v>
      </c>
      <c r="L16" s="178">
        <v>0.0</v>
      </c>
      <c r="M16" s="178">
        <v>0.0</v>
      </c>
      <c r="N16" s="178">
        <v>0.0</v>
      </c>
      <c r="O16" s="178">
        <v>0.0</v>
      </c>
      <c r="P16" s="178">
        <v>0.0</v>
      </c>
      <c r="Q16" s="178">
        <v>0.0</v>
      </c>
      <c r="R16" s="178">
        <v>0.0</v>
      </c>
      <c r="S16" s="178">
        <v>0.0</v>
      </c>
      <c r="T16" s="178">
        <v>0.0</v>
      </c>
      <c r="U16" s="178">
        <v>0.0</v>
      </c>
      <c r="V16" s="178">
        <v>0.0</v>
      </c>
      <c r="W16" s="178">
        <v>0.0</v>
      </c>
    </row>
    <row r="17">
      <c r="A17" s="256">
        <v>7.0</v>
      </c>
      <c r="B17" s="256">
        <v>4000.0</v>
      </c>
      <c r="C17" s="257">
        <v>0.0</v>
      </c>
      <c r="D17" s="256">
        <v>0.0</v>
      </c>
      <c r="E17" s="258">
        <v>0.0</v>
      </c>
      <c r="F17" s="178">
        <v>0.0</v>
      </c>
      <c r="G17" s="178">
        <v>0.0</v>
      </c>
      <c r="H17" s="178">
        <v>0.0</v>
      </c>
      <c r="I17" s="178">
        <v>0.0</v>
      </c>
      <c r="J17" s="178">
        <v>0.0</v>
      </c>
      <c r="K17" s="178">
        <v>0.0</v>
      </c>
      <c r="L17" s="178">
        <v>0.0</v>
      </c>
      <c r="M17" s="178">
        <v>0.0</v>
      </c>
      <c r="N17" s="178">
        <v>0.0</v>
      </c>
      <c r="O17" s="178">
        <v>0.0</v>
      </c>
      <c r="P17" s="178">
        <v>0.0</v>
      </c>
      <c r="Q17" s="178">
        <v>0.0</v>
      </c>
      <c r="R17" s="178">
        <v>0.0</v>
      </c>
      <c r="S17" s="178">
        <v>0.0</v>
      </c>
      <c r="T17" s="178">
        <v>0.0</v>
      </c>
      <c r="U17" s="178">
        <v>0.0</v>
      </c>
      <c r="V17" s="178">
        <v>0.0</v>
      </c>
      <c r="W17" s="178">
        <v>0.0</v>
      </c>
    </row>
    <row r="18">
      <c r="A18" s="256">
        <v>8.0</v>
      </c>
      <c r="B18" s="256">
        <v>5500.0</v>
      </c>
      <c r="C18" s="257">
        <v>0.0</v>
      </c>
      <c r="D18" s="256">
        <v>0.0</v>
      </c>
      <c r="E18" s="258">
        <v>0.0</v>
      </c>
      <c r="F18" s="178">
        <v>0.0</v>
      </c>
      <c r="G18" s="178">
        <v>0.0</v>
      </c>
      <c r="H18" s="178">
        <v>0.0</v>
      </c>
      <c r="I18" s="178">
        <v>0.0</v>
      </c>
      <c r="J18" s="178">
        <v>0.0</v>
      </c>
      <c r="K18" s="178">
        <v>0.0</v>
      </c>
      <c r="L18" s="178">
        <v>0.0</v>
      </c>
      <c r="M18" s="178">
        <v>0.0</v>
      </c>
      <c r="N18" s="178">
        <v>0.0</v>
      </c>
      <c r="O18" s="178">
        <v>0.0</v>
      </c>
      <c r="P18" s="178">
        <v>0.0</v>
      </c>
      <c r="Q18" s="178">
        <v>0.0</v>
      </c>
      <c r="R18" s="178">
        <v>0.0</v>
      </c>
      <c r="S18" s="178">
        <v>0.0</v>
      </c>
      <c r="T18" s="178">
        <v>0.0</v>
      </c>
      <c r="U18" s="178">
        <v>0.0</v>
      </c>
      <c r="V18" s="178">
        <v>0.0</v>
      </c>
      <c r="W18" s="178">
        <v>0.0</v>
      </c>
    </row>
    <row r="19">
      <c r="A19" s="256">
        <v>9.0</v>
      </c>
      <c r="B19" s="256">
        <v>7000.0</v>
      </c>
      <c r="C19" s="257">
        <v>0.0</v>
      </c>
      <c r="D19" s="256">
        <v>0.0</v>
      </c>
      <c r="E19" s="258">
        <v>0.0</v>
      </c>
      <c r="F19" s="178">
        <v>0.0</v>
      </c>
      <c r="G19" s="178">
        <v>0.0</v>
      </c>
      <c r="H19" s="178">
        <v>0.0</v>
      </c>
      <c r="I19" s="178">
        <v>0.0</v>
      </c>
      <c r="J19" s="178">
        <v>0.0</v>
      </c>
      <c r="K19" s="178">
        <v>0.0</v>
      </c>
      <c r="L19" s="178">
        <v>0.0</v>
      </c>
      <c r="M19" s="178">
        <v>0.0</v>
      </c>
      <c r="N19" s="178">
        <v>0.0</v>
      </c>
      <c r="O19" s="178">
        <v>0.0</v>
      </c>
      <c r="P19" s="178">
        <v>0.0</v>
      </c>
      <c r="Q19" s="178">
        <v>0.0</v>
      </c>
      <c r="R19" s="178">
        <v>0.0</v>
      </c>
      <c r="S19" s="178">
        <v>0.0</v>
      </c>
      <c r="T19" s="178">
        <v>0.0</v>
      </c>
      <c r="U19" s="178">
        <v>0.0</v>
      </c>
      <c r="V19" s="178">
        <v>0.0</v>
      </c>
      <c r="W19" s="178">
        <v>0.0</v>
      </c>
    </row>
    <row r="20">
      <c r="A20" s="256">
        <v>10.0</v>
      </c>
      <c r="B20" s="256">
        <v>8500.0</v>
      </c>
      <c r="C20" s="257">
        <v>0.0</v>
      </c>
      <c r="D20" s="256">
        <v>0.0</v>
      </c>
      <c r="E20" s="258">
        <v>0.0</v>
      </c>
      <c r="F20" s="178">
        <v>0.0</v>
      </c>
      <c r="G20" s="178">
        <v>0.0</v>
      </c>
      <c r="H20" s="178">
        <v>0.0</v>
      </c>
      <c r="I20" s="178">
        <v>0.0</v>
      </c>
      <c r="J20" s="178">
        <v>0.0</v>
      </c>
      <c r="K20" s="178">
        <v>0.0</v>
      </c>
      <c r="L20" s="178">
        <v>0.0</v>
      </c>
      <c r="M20" s="178">
        <v>0.0</v>
      </c>
      <c r="N20" s="178">
        <v>0.0</v>
      </c>
      <c r="O20" s="178">
        <v>0.0</v>
      </c>
      <c r="P20" s="178">
        <v>0.0</v>
      </c>
      <c r="Q20" s="178">
        <v>0.0</v>
      </c>
      <c r="R20" s="178">
        <v>0.0</v>
      </c>
      <c r="S20" s="178">
        <v>0.0</v>
      </c>
      <c r="T20" s="178">
        <v>0.0</v>
      </c>
      <c r="U20" s="178">
        <v>0.0</v>
      </c>
      <c r="V20" s="178">
        <v>0.0</v>
      </c>
      <c r="W20" s="178">
        <v>0.0</v>
      </c>
    </row>
    <row r="21" ht="15.75" customHeight="1">
      <c r="A21" s="256">
        <v>11.0</v>
      </c>
      <c r="B21" s="256">
        <v>10000.0</v>
      </c>
      <c r="C21" s="257">
        <v>0.0</v>
      </c>
      <c r="D21" s="256">
        <v>0.0</v>
      </c>
      <c r="E21" s="258">
        <v>0.0</v>
      </c>
      <c r="F21" s="178">
        <v>0.0</v>
      </c>
      <c r="G21" s="178">
        <v>0.0</v>
      </c>
      <c r="H21" s="178">
        <v>0.0</v>
      </c>
      <c r="I21" s="178">
        <v>0.0</v>
      </c>
      <c r="J21" s="178">
        <v>0.0</v>
      </c>
      <c r="K21" s="178">
        <v>0.0</v>
      </c>
      <c r="L21" s="178">
        <v>0.0</v>
      </c>
      <c r="M21" s="178">
        <v>0.0</v>
      </c>
      <c r="N21" s="178">
        <v>0.0</v>
      </c>
      <c r="O21" s="178">
        <v>0.0</v>
      </c>
      <c r="P21" s="178">
        <v>0.0</v>
      </c>
      <c r="Q21" s="178">
        <v>0.0</v>
      </c>
      <c r="R21" s="178">
        <v>0.0</v>
      </c>
      <c r="S21" s="178">
        <v>0.0</v>
      </c>
      <c r="T21" s="178">
        <v>0.0</v>
      </c>
      <c r="U21" s="178">
        <v>0.0</v>
      </c>
      <c r="V21" s="178">
        <v>0.0</v>
      </c>
      <c r="W21" s="178">
        <v>0.0</v>
      </c>
    </row>
    <row r="22" ht="15.75" customHeight="1">
      <c r="A22" s="256">
        <v>12.0</v>
      </c>
      <c r="B22" s="256">
        <v>11500.0</v>
      </c>
      <c r="C22" s="257">
        <v>0.0</v>
      </c>
      <c r="D22" s="256">
        <v>0.0</v>
      </c>
      <c r="E22" s="258">
        <v>0.0</v>
      </c>
      <c r="F22" s="178">
        <v>0.0</v>
      </c>
      <c r="G22" s="178">
        <v>0.0</v>
      </c>
      <c r="H22" s="178">
        <v>0.0</v>
      </c>
      <c r="I22" s="178">
        <v>0.0</v>
      </c>
      <c r="J22" s="178">
        <v>0.0</v>
      </c>
      <c r="K22" s="178">
        <v>0.0</v>
      </c>
      <c r="L22" s="178">
        <v>0.0</v>
      </c>
      <c r="M22" s="178">
        <v>0.0</v>
      </c>
      <c r="N22" s="178">
        <v>0.0</v>
      </c>
      <c r="O22" s="178">
        <v>0.0</v>
      </c>
      <c r="P22" s="178">
        <v>0.0</v>
      </c>
      <c r="Q22" s="178">
        <v>0.0</v>
      </c>
      <c r="R22" s="178">
        <v>0.0</v>
      </c>
      <c r="S22" s="178">
        <v>0.0</v>
      </c>
      <c r="T22" s="178">
        <v>0.0</v>
      </c>
      <c r="U22" s="178">
        <v>0.0</v>
      </c>
      <c r="V22" s="178">
        <v>0.0</v>
      </c>
      <c r="W22" s="178">
        <v>0.0</v>
      </c>
    </row>
    <row r="23" ht="15.75" customHeight="1">
      <c r="A23" s="256">
        <v>13.0</v>
      </c>
      <c r="B23" s="256">
        <v>13000.0</v>
      </c>
      <c r="C23" s="257">
        <v>0.0</v>
      </c>
      <c r="D23" s="256">
        <v>0.0</v>
      </c>
      <c r="E23" s="258">
        <v>0.0</v>
      </c>
      <c r="F23" s="178">
        <v>0.0</v>
      </c>
      <c r="G23" s="178">
        <v>0.0</v>
      </c>
      <c r="H23" s="178">
        <v>0.0</v>
      </c>
      <c r="I23" s="178">
        <v>0.0</v>
      </c>
      <c r="J23" s="178">
        <v>0.0</v>
      </c>
      <c r="K23" s="178">
        <v>0.0</v>
      </c>
      <c r="L23" s="178">
        <v>0.0</v>
      </c>
      <c r="M23" s="178">
        <v>0.0</v>
      </c>
      <c r="N23" s="178">
        <v>0.0</v>
      </c>
      <c r="O23" s="178">
        <v>0.0</v>
      </c>
      <c r="P23" s="178">
        <v>0.0</v>
      </c>
      <c r="Q23" s="178">
        <v>0.0</v>
      </c>
      <c r="R23" s="178">
        <v>0.0</v>
      </c>
      <c r="S23" s="178">
        <v>0.0</v>
      </c>
      <c r="T23" s="178">
        <v>0.0</v>
      </c>
      <c r="U23" s="178">
        <v>0.0</v>
      </c>
      <c r="V23" s="178">
        <v>0.0</v>
      </c>
      <c r="W23" s="178">
        <v>0.0</v>
      </c>
    </row>
    <row r="24" ht="15.75" customHeight="1">
      <c r="A24" s="256">
        <v>14.0</v>
      </c>
      <c r="B24" s="256">
        <v>14500.0</v>
      </c>
      <c r="C24" s="257">
        <v>0.0</v>
      </c>
      <c r="D24" s="256">
        <v>0.0</v>
      </c>
      <c r="E24" s="258">
        <v>0.0</v>
      </c>
      <c r="F24" s="178">
        <v>0.0</v>
      </c>
      <c r="G24" s="178">
        <v>0.0</v>
      </c>
      <c r="H24" s="178">
        <v>0.0</v>
      </c>
      <c r="I24" s="178">
        <v>0.0</v>
      </c>
      <c r="J24" s="178">
        <v>0.0</v>
      </c>
      <c r="K24" s="178">
        <v>0.0</v>
      </c>
      <c r="L24" s="178">
        <v>0.0</v>
      </c>
      <c r="M24" s="178">
        <v>0.0</v>
      </c>
      <c r="N24" s="178">
        <v>0.0</v>
      </c>
      <c r="O24" s="178">
        <v>0.0</v>
      </c>
      <c r="P24" s="178">
        <v>0.0</v>
      </c>
      <c r="Q24" s="178">
        <v>0.0</v>
      </c>
      <c r="R24" s="178">
        <v>0.0</v>
      </c>
      <c r="S24" s="178">
        <v>0.0</v>
      </c>
      <c r="T24" s="178">
        <v>0.0</v>
      </c>
      <c r="U24" s="178">
        <v>0.0</v>
      </c>
      <c r="V24" s="178">
        <v>0.0</v>
      </c>
      <c r="W24" s="178">
        <v>0.0</v>
      </c>
    </row>
    <row r="25" ht="15.75" customHeight="1">
      <c r="A25" s="256">
        <v>15.0</v>
      </c>
      <c r="B25" s="256">
        <v>16000.0</v>
      </c>
      <c r="C25" s="257">
        <v>0.0</v>
      </c>
      <c r="D25" s="256">
        <v>0.0</v>
      </c>
      <c r="E25" s="258">
        <v>0.0</v>
      </c>
      <c r="F25" s="178">
        <v>0.0</v>
      </c>
      <c r="G25" s="178">
        <v>0.0</v>
      </c>
      <c r="H25" s="178">
        <v>0.0</v>
      </c>
      <c r="I25" s="178">
        <v>0.0</v>
      </c>
      <c r="J25" s="178">
        <v>0.0</v>
      </c>
      <c r="K25" s="178">
        <v>0.0</v>
      </c>
      <c r="L25" s="178">
        <v>0.0</v>
      </c>
      <c r="M25" s="178">
        <v>0.0</v>
      </c>
      <c r="N25" s="178">
        <v>0.0</v>
      </c>
      <c r="O25" s="178">
        <v>0.0</v>
      </c>
      <c r="P25" s="178">
        <v>0.0</v>
      </c>
      <c r="Q25" s="178">
        <v>0.0</v>
      </c>
      <c r="R25" s="178">
        <v>0.0</v>
      </c>
      <c r="S25" s="178">
        <v>0.0</v>
      </c>
      <c r="T25" s="178">
        <v>0.0</v>
      </c>
      <c r="U25" s="178">
        <v>0.0</v>
      </c>
      <c r="V25" s="178">
        <v>0.0</v>
      </c>
      <c r="W25" s="178">
        <v>0.0</v>
      </c>
    </row>
    <row r="26" ht="15.75" customHeight="1">
      <c r="A26" s="256">
        <v>16.0</v>
      </c>
      <c r="B26" s="256">
        <v>17500.0</v>
      </c>
      <c r="C26" s="257">
        <v>0.0</v>
      </c>
      <c r="D26" s="256">
        <v>0.0</v>
      </c>
      <c r="E26" s="258">
        <v>0.0</v>
      </c>
      <c r="F26" s="178">
        <v>0.0</v>
      </c>
      <c r="G26" s="178">
        <v>0.0</v>
      </c>
      <c r="H26" s="178">
        <v>0.0</v>
      </c>
      <c r="I26" s="178">
        <v>0.0</v>
      </c>
      <c r="J26" s="178">
        <v>0.0</v>
      </c>
      <c r="K26" s="178">
        <v>0.0</v>
      </c>
      <c r="L26" s="178">
        <v>0.0</v>
      </c>
      <c r="M26" s="178">
        <v>0.0</v>
      </c>
      <c r="N26" s="178">
        <v>0.0</v>
      </c>
      <c r="O26" s="178">
        <v>0.0</v>
      </c>
      <c r="P26" s="178">
        <v>0.0</v>
      </c>
      <c r="Q26" s="178">
        <v>0.0</v>
      </c>
      <c r="R26" s="178">
        <v>0.0</v>
      </c>
      <c r="S26" s="178">
        <v>0.0</v>
      </c>
      <c r="T26" s="178">
        <v>0.0</v>
      </c>
      <c r="U26" s="178">
        <v>0.0</v>
      </c>
      <c r="V26" s="178">
        <v>0.0</v>
      </c>
      <c r="W26" s="178">
        <v>0.0</v>
      </c>
    </row>
    <row r="27" ht="15.75" customHeight="1">
      <c r="A27" s="256">
        <v>17.0</v>
      </c>
      <c r="B27" s="256">
        <v>19000.0</v>
      </c>
      <c r="C27" s="257">
        <v>0.0</v>
      </c>
      <c r="D27" s="256">
        <v>0.0</v>
      </c>
      <c r="E27" s="258">
        <v>0.0</v>
      </c>
      <c r="F27" s="178">
        <v>0.0</v>
      </c>
      <c r="G27" s="178">
        <v>0.0</v>
      </c>
      <c r="H27" s="178">
        <v>0.0</v>
      </c>
      <c r="I27" s="178">
        <v>0.0</v>
      </c>
      <c r="J27" s="178">
        <v>0.0</v>
      </c>
      <c r="K27" s="178">
        <v>0.0</v>
      </c>
      <c r="L27" s="178">
        <v>0.0</v>
      </c>
      <c r="M27" s="178">
        <v>0.0</v>
      </c>
      <c r="N27" s="178">
        <v>0.0</v>
      </c>
      <c r="O27" s="178">
        <v>0.0</v>
      </c>
      <c r="P27" s="178">
        <v>0.0</v>
      </c>
      <c r="Q27" s="178">
        <v>0.0</v>
      </c>
      <c r="R27" s="178">
        <v>0.0</v>
      </c>
      <c r="S27" s="178">
        <v>0.0</v>
      </c>
      <c r="T27" s="178">
        <v>0.0</v>
      </c>
      <c r="U27" s="178">
        <v>0.0</v>
      </c>
      <c r="V27" s="178">
        <v>0.0</v>
      </c>
      <c r="W27" s="178">
        <v>0.0</v>
      </c>
    </row>
    <row r="28" ht="15.75" customHeight="1">
      <c r="A28" s="256">
        <v>18.0</v>
      </c>
      <c r="B28" s="256">
        <v>20500.0</v>
      </c>
      <c r="C28" s="257">
        <v>0.0</v>
      </c>
      <c r="D28" s="256">
        <v>0.0</v>
      </c>
      <c r="E28" s="258">
        <v>0.0</v>
      </c>
      <c r="F28" s="178">
        <v>0.0</v>
      </c>
      <c r="G28" s="178">
        <v>0.0</v>
      </c>
      <c r="H28" s="178">
        <v>0.0</v>
      </c>
      <c r="I28" s="178">
        <v>0.0</v>
      </c>
      <c r="J28" s="178">
        <v>0.0</v>
      </c>
      <c r="K28" s="178">
        <v>0.0</v>
      </c>
      <c r="L28" s="178">
        <v>0.0</v>
      </c>
      <c r="M28" s="178">
        <v>0.0</v>
      </c>
      <c r="N28" s="178">
        <v>0.0</v>
      </c>
      <c r="O28" s="178">
        <v>0.0</v>
      </c>
      <c r="P28" s="178">
        <v>0.0</v>
      </c>
      <c r="Q28" s="178">
        <v>0.0</v>
      </c>
      <c r="R28" s="178">
        <v>0.0</v>
      </c>
      <c r="S28" s="178">
        <v>0.0</v>
      </c>
      <c r="T28" s="178">
        <v>0.0</v>
      </c>
      <c r="U28" s="178">
        <v>0.0</v>
      </c>
      <c r="V28" s="178">
        <v>0.0</v>
      </c>
      <c r="W28" s="178">
        <v>0.0</v>
      </c>
    </row>
    <row r="29" ht="15.75" customHeight="1">
      <c r="A29" s="256">
        <v>19.0</v>
      </c>
      <c r="B29" s="256">
        <v>22000.0</v>
      </c>
      <c r="C29" s="257">
        <v>0.0</v>
      </c>
      <c r="D29" s="256">
        <v>0.0</v>
      </c>
      <c r="E29" s="258">
        <v>0.0</v>
      </c>
      <c r="F29" s="178">
        <v>0.0</v>
      </c>
      <c r="G29" s="178">
        <v>0.0</v>
      </c>
      <c r="H29" s="178">
        <v>0.0</v>
      </c>
      <c r="I29" s="178">
        <v>0.0</v>
      </c>
      <c r="J29" s="178">
        <v>0.0</v>
      </c>
      <c r="K29" s="178">
        <v>0.0</v>
      </c>
      <c r="L29" s="178">
        <v>0.0</v>
      </c>
      <c r="M29" s="178">
        <v>0.0</v>
      </c>
      <c r="N29" s="178">
        <v>0.0</v>
      </c>
      <c r="O29" s="178">
        <v>0.0</v>
      </c>
      <c r="P29" s="178">
        <v>0.0</v>
      </c>
      <c r="Q29" s="178">
        <v>0.0</v>
      </c>
      <c r="R29" s="178">
        <v>0.0</v>
      </c>
      <c r="S29" s="178">
        <v>0.0</v>
      </c>
      <c r="T29" s="178">
        <v>0.0</v>
      </c>
      <c r="U29" s="178">
        <v>0.0</v>
      </c>
      <c r="V29" s="178">
        <v>0.0</v>
      </c>
      <c r="W29" s="178">
        <v>0.0</v>
      </c>
    </row>
    <row r="30" ht="15.75" customHeight="1">
      <c r="A30" s="256">
        <v>20.0</v>
      </c>
      <c r="B30" s="256">
        <v>23500.0</v>
      </c>
      <c r="C30" s="257">
        <v>0.0</v>
      </c>
      <c r="D30" s="256">
        <v>0.0</v>
      </c>
      <c r="E30" s="258">
        <v>0.0</v>
      </c>
      <c r="F30" s="178">
        <v>0.0</v>
      </c>
      <c r="G30" s="178">
        <v>0.0</v>
      </c>
      <c r="H30" s="178">
        <v>0.0</v>
      </c>
      <c r="I30" s="178">
        <v>0.0</v>
      </c>
      <c r="J30" s="178">
        <v>0.0</v>
      </c>
      <c r="K30" s="178">
        <v>0.0</v>
      </c>
      <c r="L30" s="178">
        <v>0.0</v>
      </c>
      <c r="M30" s="178">
        <v>0.0</v>
      </c>
      <c r="N30" s="178">
        <v>0.0</v>
      </c>
      <c r="O30" s="178">
        <v>0.0</v>
      </c>
      <c r="P30" s="178">
        <v>0.0</v>
      </c>
      <c r="Q30" s="178">
        <v>0.0</v>
      </c>
      <c r="R30" s="178">
        <v>0.0</v>
      </c>
      <c r="S30" s="178">
        <v>0.0</v>
      </c>
      <c r="T30" s="178">
        <v>0.0</v>
      </c>
      <c r="U30" s="178">
        <v>0.0</v>
      </c>
      <c r="V30" s="178">
        <v>0.0</v>
      </c>
      <c r="W30" s="178">
        <v>0.0</v>
      </c>
    </row>
    <row r="31" ht="15.75" customHeight="1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</row>
    <row r="32" ht="15.75" customHeight="1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</row>
    <row r="33" ht="15.75" customHeight="1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</row>
    <row r="34" ht="15.75" customHeight="1">
      <c r="A34" s="111" t="s">
        <v>324</v>
      </c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</row>
    <row r="35" ht="15.75" customHeight="1">
      <c r="A35" s="259" t="s">
        <v>325</v>
      </c>
      <c r="B35" s="100"/>
      <c r="C35" s="260" t="s">
        <v>82</v>
      </c>
      <c r="D35" s="255" t="s">
        <v>68</v>
      </c>
      <c r="E35" s="255" t="s">
        <v>103</v>
      </c>
      <c r="F35" s="255" t="s">
        <v>69</v>
      </c>
      <c r="G35" s="255" t="s">
        <v>70</v>
      </c>
      <c r="H35" s="255" t="s">
        <v>71</v>
      </c>
      <c r="I35" s="255" t="s">
        <v>72</v>
      </c>
      <c r="J35" s="255" t="s">
        <v>73</v>
      </c>
      <c r="K35" s="255" t="s">
        <v>74</v>
      </c>
      <c r="L35" s="255" t="s">
        <v>75</v>
      </c>
      <c r="M35" s="255" t="s">
        <v>76</v>
      </c>
      <c r="N35" s="255" t="s">
        <v>77</v>
      </c>
      <c r="O35" s="255" t="s">
        <v>78</v>
      </c>
      <c r="P35" s="164" t="s">
        <v>118</v>
      </c>
      <c r="Q35" s="164" t="s">
        <v>104</v>
      </c>
      <c r="R35" s="164" t="s">
        <v>105</v>
      </c>
      <c r="S35" s="164" t="s">
        <v>106</v>
      </c>
      <c r="T35" s="164" t="s">
        <v>107</v>
      </c>
      <c r="U35" s="164" t="s">
        <v>108</v>
      </c>
      <c r="V35" s="164" t="s">
        <v>109</v>
      </c>
      <c r="W35" s="164" t="s">
        <v>110</v>
      </c>
    </row>
    <row r="36" ht="15.75" customHeight="1">
      <c r="A36" s="261">
        <v>1.0</v>
      </c>
      <c r="B36" s="100"/>
      <c r="C36" s="262">
        <v>50.0</v>
      </c>
      <c r="D36" s="178">
        <v>0.0</v>
      </c>
      <c r="E36" s="178">
        <v>0.0</v>
      </c>
      <c r="F36" s="178">
        <v>0.0</v>
      </c>
      <c r="G36" s="178">
        <v>0.0</v>
      </c>
      <c r="H36" s="178">
        <v>0.0</v>
      </c>
      <c r="I36" s="178">
        <v>0.0</v>
      </c>
      <c r="J36" s="178">
        <v>0.0</v>
      </c>
      <c r="K36" s="178">
        <v>1.0</v>
      </c>
      <c r="L36" s="178">
        <v>0.0</v>
      </c>
      <c r="M36" s="178">
        <v>0.0</v>
      </c>
      <c r="N36" s="178">
        <v>0.0</v>
      </c>
      <c r="O36" s="178">
        <v>0.0</v>
      </c>
      <c r="P36" s="165">
        <v>0.0</v>
      </c>
      <c r="Q36" s="165">
        <v>0.0</v>
      </c>
      <c r="R36" s="165">
        <v>0.0</v>
      </c>
      <c r="S36" s="165">
        <v>0.0</v>
      </c>
      <c r="T36" s="165">
        <v>0.0</v>
      </c>
      <c r="U36" s="165">
        <v>0.0</v>
      </c>
      <c r="V36" s="165">
        <v>0.0</v>
      </c>
      <c r="W36" s="165">
        <v>0.0</v>
      </c>
    </row>
    <row r="37" ht="15.75" customHeight="1">
      <c r="A37" s="261">
        <v>2.0</v>
      </c>
      <c r="B37" s="100"/>
      <c r="C37" s="262">
        <v>25.0</v>
      </c>
      <c r="D37" s="178">
        <v>0.0</v>
      </c>
      <c r="E37" s="178">
        <v>0.0</v>
      </c>
      <c r="F37" s="178">
        <v>0.0</v>
      </c>
      <c r="G37" s="178">
        <v>0.0</v>
      </c>
      <c r="H37" s="178">
        <v>0.0</v>
      </c>
      <c r="I37" s="178">
        <v>0.0</v>
      </c>
      <c r="J37" s="178">
        <v>1.0</v>
      </c>
      <c r="K37" s="178">
        <v>0.0</v>
      </c>
      <c r="L37" s="178">
        <v>0.0</v>
      </c>
      <c r="M37" s="178">
        <v>0.0</v>
      </c>
      <c r="N37" s="178">
        <v>0.0</v>
      </c>
      <c r="O37" s="178">
        <v>0.0</v>
      </c>
      <c r="P37" s="165">
        <v>0.0</v>
      </c>
      <c r="Q37" s="165">
        <v>0.0</v>
      </c>
      <c r="R37" s="165">
        <v>0.0</v>
      </c>
      <c r="S37" s="165">
        <v>0.0</v>
      </c>
      <c r="T37" s="165">
        <v>0.0</v>
      </c>
      <c r="U37" s="165">
        <v>0.0</v>
      </c>
      <c r="V37" s="165">
        <v>0.0</v>
      </c>
      <c r="W37" s="165">
        <v>0.0</v>
      </c>
    </row>
    <row r="38" ht="15.75" customHeight="1">
      <c r="A38" s="261">
        <v>3.0</v>
      </c>
      <c r="B38" s="100"/>
      <c r="C38" s="262">
        <v>10.0</v>
      </c>
      <c r="D38" s="178">
        <v>0.0</v>
      </c>
      <c r="E38" s="178">
        <v>0.0</v>
      </c>
      <c r="F38" s="178">
        <v>0.0</v>
      </c>
      <c r="G38" s="178">
        <v>0.0</v>
      </c>
      <c r="H38" s="178">
        <v>0.0</v>
      </c>
      <c r="I38" s="178">
        <v>1.0</v>
      </c>
      <c r="J38" s="178">
        <v>0.0</v>
      </c>
      <c r="K38" s="178">
        <v>0.0</v>
      </c>
      <c r="L38" s="178">
        <v>0.0</v>
      </c>
      <c r="M38" s="178">
        <v>0.0</v>
      </c>
      <c r="N38" s="178">
        <v>0.0</v>
      </c>
      <c r="O38" s="178">
        <v>0.0</v>
      </c>
      <c r="P38" s="165">
        <v>0.0</v>
      </c>
      <c r="Q38" s="165">
        <v>0.0</v>
      </c>
      <c r="R38" s="165">
        <v>0.0</v>
      </c>
      <c r="S38" s="165">
        <v>0.0</v>
      </c>
      <c r="T38" s="165">
        <v>0.0</v>
      </c>
      <c r="U38" s="165">
        <v>0.0</v>
      </c>
      <c r="V38" s="165">
        <v>0.0</v>
      </c>
      <c r="W38" s="165">
        <v>0.0</v>
      </c>
    </row>
    <row r="39" ht="15.75" customHeight="1">
      <c r="A39" s="261">
        <v>4.0</v>
      </c>
      <c r="B39" s="100"/>
      <c r="C39" s="263">
        <v>0.0</v>
      </c>
      <c r="D39" s="178">
        <v>0.0</v>
      </c>
      <c r="E39" s="178">
        <v>0.0</v>
      </c>
      <c r="F39" s="178">
        <v>0.0</v>
      </c>
      <c r="G39" s="178">
        <v>0.0</v>
      </c>
      <c r="H39" s="264">
        <v>1.0</v>
      </c>
      <c r="I39" s="178">
        <v>0.0</v>
      </c>
      <c r="J39" s="264">
        <v>0.0</v>
      </c>
      <c r="K39" s="178">
        <v>0.0</v>
      </c>
      <c r="L39" s="178">
        <v>0.0</v>
      </c>
      <c r="M39" s="178">
        <v>0.0</v>
      </c>
      <c r="N39" s="178">
        <v>0.0</v>
      </c>
      <c r="O39" s="178">
        <v>0.0</v>
      </c>
      <c r="P39" s="165">
        <v>0.0</v>
      </c>
      <c r="Q39" s="165">
        <v>0.0</v>
      </c>
      <c r="R39" s="165">
        <v>0.0</v>
      </c>
      <c r="S39" s="165">
        <v>0.0</v>
      </c>
      <c r="T39" s="165">
        <v>0.0</v>
      </c>
      <c r="U39" s="165">
        <v>0.0</v>
      </c>
      <c r="V39" s="165">
        <v>0.0</v>
      </c>
      <c r="W39" s="165">
        <v>0.0</v>
      </c>
    </row>
    <row r="40" ht="15.75" customHeight="1">
      <c r="A40" s="261">
        <v>5.0</v>
      </c>
      <c r="B40" s="100"/>
      <c r="C40" s="263">
        <v>0.0</v>
      </c>
      <c r="D40" s="178">
        <v>0.0</v>
      </c>
      <c r="E40" s="178">
        <v>0.0</v>
      </c>
      <c r="F40" s="178">
        <v>0.0</v>
      </c>
      <c r="G40" s="178">
        <v>0.0</v>
      </c>
      <c r="H40" s="264">
        <v>1.0</v>
      </c>
      <c r="I40" s="178">
        <v>0.0</v>
      </c>
      <c r="J40" s="264">
        <v>0.0</v>
      </c>
      <c r="K40" s="178">
        <v>0.0</v>
      </c>
      <c r="L40" s="178">
        <v>0.0</v>
      </c>
      <c r="M40" s="178">
        <v>0.0</v>
      </c>
      <c r="N40" s="178">
        <v>0.0</v>
      </c>
      <c r="O40" s="178">
        <v>0.0</v>
      </c>
      <c r="P40" s="165">
        <v>0.0</v>
      </c>
      <c r="Q40" s="165">
        <v>0.0</v>
      </c>
      <c r="R40" s="165">
        <v>0.0</v>
      </c>
      <c r="S40" s="165">
        <v>0.0</v>
      </c>
      <c r="T40" s="165">
        <v>0.0</v>
      </c>
      <c r="U40" s="165">
        <v>0.0</v>
      </c>
      <c r="V40" s="165">
        <v>0.0</v>
      </c>
      <c r="W40" s="165">
        <v>0.0</v>
      </c>
    </row>
    <row r="41" ht="15.75" customHeight="1">
      <c r="A41" s="261">
        <v>6.0</v>
      </c>
      <c r="B41" s="100"/>
      <c r="C41" s="263">
        <v>0.0</v>
      </c>
      <c r="D41" s="178">
        <v>0.0</v>
      </c>
      <c r="E41" s="178">
        <v>0.0</v>
      </c>
      <c r="F41" s="178">
        <v>0.0</v>
      </c>
      <c r="G41" s="264">
        <v>1.0</v>
      </c>
      <c r="H41" s="178">
        <v>0.0</v>
      </c>
      <c r="I41" s="264">
        <v>0.0</v>
      </c>
      <c r="J41" s="178">
        <v>0.0</v>
      </c>
      <c r="K41" s="178">
        <v>0.0</v>
      </c>
      <c r="L41" s="178">
        <v>0.0</v>
      </c>
      <c r="M41" s="178">
        <v>0.0</v>
      </c>
      <c r="N41" s="178">
        <v>0.0</v>
      </c>
      <c r="O41" s="178">
        <v>0.0</v>
      </c>
      <c r="P41" s="165">
        <v>0.0</v>
      </c>
      <c r="Q41" s="165">
        <v>0.0</v>
      </c>
      <c r="R41" s="165">
        <v>0.0</v>
      </c>
      <c r="S41" s="165">
        <v>0.0</v>
      </c>
      <c r="T41" s="165">
        <v>0.0</v>
      </c>
      <c r="U41" s="165">
        <v>0.0</v>
      </c>
      <c r="V41" s="165">
        <v>0.0</v>
      </c>
      <c r="W41" s="165">
        <v>0.0</v>
      </c>
    </row>
    <row r="42" ht="15.75" customHeight="1">
      <c r="A42" s="261">
        <v>7.0</v>
      </c>
      <c r="B42" s="100"/>
      <c r="C42" s="263">
        <v>0.0</v>
      </c>
      <c r="D42" s="178">
        <v>0.0</v>
      </c>
      <c r="E42" s="178">
        <v>0.0</v>
      </c>
      <c r="F42" s="178">
        <v>0.0</v>
      </c>
      <c r="G42" s="264">
        <v>1.0</v>
      </c>
      <c r="H42" s="178">
        <v>0.0</v>
      </c>
      <c r="I42" s="264">
        <v>0.0</v>
      </c>
      <c r="J42" s="178">
        <v>0.0</v>
      </c>
      <c r="K42" s="178">
        <v>0.0</v>
      </c>
      <c r="L42" s="178">
        <v>0.0</v>
      </c>
      <c r="M42" s="178">
        <v>0.0</v>
      </c>
      <c r="N42" s="178">
        <v>0.0</v>
      </c>
      <c r="O42" s="178">
        <v>0.0</v>
      </c>
      <c r="P42" s="165">
        <v>0.0</v>
      </c>
      <c r="Q42" s="165">
        <v>0.0</v>
      </c>
      <c r="R42" s="165">
        <v>0.0</v>
      </c>
      <c r="S42" s="165">
        <v>0.0</v>
      </c>
      <c r="T42" s="165">
        <v>0.0</v>
      </c>
      <c r="U42" s="165">
        <v>0.0</v>
      </c>
      <c r="V42" s="165">
        <v>0.0</v>
      </c>
      <c r="W42" s="165">
        <v>0.0</v>
      </c>
    </row>
    <row r="43" ht="15.75" customHeight="1">
      <c r="A43" s="261">
        <v>8.0</v>
      </c>
      <c r="B43" s="100"/>
      <c r="C43" s="263">
        <v>0.0</v>
      </c>
      <c r="D43" s="178">
        <v>0.0</v>
      </c>
      <c r="E43" s="178">
        <v>0.0</v>
      </c>
      <c r="F43" s="264">
        <v>1.0</v>
      </c>
      <c r="G43" s="178">
        <v>0.0</v>
      </c>
      <c r="H43" s="178">
        <v>0.0</v>
      </c>
      <c r="I43" s="264">
        <v>0.0</v>
      </c>
      <c r="J43" s="178">
        <v>0.0</v>
      </c>
      <c r="K43" s="178">
        <v>0.0</v>
      </c>
      <c r="L43" s="178">
        <v>0.0</v>
      </c>
      <c r="M43" s="178">
        <v>0.0</v>
      </c>
      <c r="N43" s="178">
        <v>0.0</v>
      </c>
      <c r="O43" s="178">
        <v>0.0</v>
      </c>
      <c r="P43" s="165">
        <v>0.0</v>
      </c>
      <c r="Q43" s="165">
        <v>0.0</v>
      </c>
      <c r="R43" s="165">
        <v>0.0</v>
      </c>
      <c r="S43" s="165">
        <v>0.0</v>
      </c>
      <c r="T43" s="165">
        <v>0.0</v>
      </c>
      <c r="U43" s="165">
        <v>0.0</v>
      </c>
      <c r="V43" s="165">
        <v>0.0</v>
      </c>
      <c r="W43" s="165">
        <v>0.0</v>
      </c>
    </row>
    <row r="44" ht="15.75" customHeight="1">
      <c r="A44" s="261">
        <v>9.0</v>
      </c>
      <c r="B44" s="100"/>
      <c r="C44" s="263">
        <v>0.0</v>
      </c>
      <c r="D44" s="178">
        <v>0.0</v>
      </c>
      <c r="E44" s="178">
        <v>0.0</v>
      </c>
      <c r="F44" s="264">
        <v>1.0</v>
      </c>
      <c r="G44" s="178">
        <v>0.0</v>
      </c>
      <c r="H44" s="178">
        <v>0.0</v>
      </c>
      <c r="I44" s="264">
        <v>0.0</v>
      </c>
      <c r="J44" s="178">
        <v>0.0</v>
      </c>
      <c r="K44" s="178">
        <v>0.0</v>
      </c>
      <c r="L44" s="178">
        <v>0.0</v>
      </c>
      <c r="M44" s="178">
        <v>0.0</v>
      </c>
      <c r="N44" s="178">
        <v>0.0</v>
      </c>
      <c r="O44" s="178">
        <v>0.0</v>
      </c>
      <c r="P44" s="165">
        <v>0.0</v>
      </c>
      <c r="Q44" s="165">
        <v>0.0</v>
      </c>
      <c r="R44" s="165">
        <v>0.0</v>
      </c>
      <c r="S44" s="165">
        <v>0.0</v>
      </c>
      <c r="T44" s="165">
        <v>0.0</v>
      </c>
      <c r="U44" s="165">
        <v>0.0</v>
      </c>
      <c r="V44" s="165">
        <v>0.0</v>
      </c>
      <c r="W44" s="165">
        <v>0.0</v>
      </c>
    </row>
    <row r="45" ht="15.75" customHeight="1">
      <c r="A45" s="261">
        <v>10.0</v>
      </c>
      <c r="B45" s="100"/>
      <c r="C45" s="263">
        <v>0.0</v>
      </c>
      <c r="D45" s="178">
        <v>0.0</v>
      </c>
      <c r="E45" s="178">
        <v>0.0</v>
      </c>
      <c r="F45" s="264">
        <v>1.0</v>
      </c>
      <c r="G45" s="178">
        <v>0.0</v>
      </c>
      <c r="H45" s="178">
        <v>0.0</v>
      </c>
      <c r="I45" s="264">
        <v>0.0</v>
      </c>
      <c r="J45" s="178">
        <v>0.0</v>
      </c>
      <c r="K45" s="178">
        <v>0.0</v>
      </c>
      <c r="L45" s="178">
        <v>0.0</v>
      </c>
      <c r="M45" s="178">
        <v>0.0</v>
      </c>
      <c r="N45" s="178">
        <v>0.0</v>
      </c>
      <c r="O45" s="178">
        <v>0.0</v>
      </c>
      <c r="P45" s="165">
        <v>0.0</v>
      </c>
      <c r="Q45" s="165">
        <v>0.0</v>
      </c>
      <c r="R45" s="165">
        <v>0.0</v>
      </c>
      <c r="S45" s="165">
        <v>0.0</v>
      </c>
      <c r="T45" s="165">
        <v>0.0</v>
      </c>
      <c r="U45" s="165">
        <v>0.0</v>
      </c>
      <c r="V45" s="165">
        <v>0.0</v>
      </c>
      <c r="W45" s="165">
        <v>0.0</v>
      </c>
    </row>
    <row r="46" ht="15.75" customHeight="1">
      <c r="A46" s="261">
        <v>11.0</v>
      </c>
      <c r="B46" s="100"/>
      <c r="C46" s="263">
        <v>0.0</v>
      </c>
      <c r="D46" s="178">
        <v>0.0</v>
      </c>
      <c r="E46" s="178">
        <v>0.0</v>
      </c>
      <c r="F46" s="178">
        <v>0.0</v>
      </c>
      <c r="G46" s="178">
        <v>0.0</v>
      </c>
      <c r="H46" s="178">
        <v>0.0</v>
      </c>
      <c r="I46" s="178">
        <v>0.0</v>
      </c>
      <c r="J46" s="178">
        <v>0.0</v>
      </c>
      <c r="K46" s="178">
        <v>0.0</v>
      </c>
      <c r="L46" s="178">
        <v>0.0</v>
      </c>
      <c r="M46" s="178">
        <v>0.0</v>
      </c>
      <c r="N46" s="178">
        <v>0.0</v>
      </c>
      <c r="O46" s="178">
        <v>0.0</v>
      </c>
      <c r="P46" s="165">
        <v>0.0</v>
      </c>
      <c r="Q46" s="165">
        <v>0.0</v>
      </c>
      <c r="R46" s="165">
        <v>0.0</v>
      </c>
      <c r="S46" s="165">
        <v>0.0</v>
      </c>
      <c r="T46" s="165">
        <v>0.0</v>
      </c>
      <c r="U46" s="165">
        <v>0.0</v>
      </c>
      <c r="V46" s="165">
        <v>0.0</v>
      </c>
      <c r="W46" s="165">
        <v>0.0</v>
      </c>
    </row>
    <row r="47" ht="15.75" customHeight="1">
      <c r="A47" s="261">
        <v>12.0</v>
      </c>
      <c r="B47" s="100"/>
      <c r="C47" s="263">
        <v>0.0</v>
      </c>
      <c r="D47" s="178">
        <v>0.0</v>
      </c>
      <c r="E47" s="178">
        <v>0.0</v>
      </c>
      <c r="F47" s="178">
        <v>0.0</v>
      </c>
      <c r="G47" s="178">
        <v>0.0</v>
      </c>
      <c r="H47" s="178">
        <v>0.0</v>
      </c>
      <c r="I47" s="178">
        <v>0.0</v>
      </c>
      <c r="J47" s="178">
        <v>0.0</v>
      </c>
      <c r="K47" s="178">
        <v>0.0</v>
      </c>
      <c r="L47" s="178">
        <v>0.0</v>
      </c>
      <c r="M47" s="178">
        <v>0.0</v>
      </c>
      <c r="N47" s="178">
        <v>0.0</v>
      </c>
      <c r="O47" s="178">
        <v>0.0</v>
      </c>
      <c r="P47" s="165">
        <v>0.0</v>
      </c>
      <c r="Q47" s="165">
        <v>0.0</v>
      </c>
      <c r="R47" s="165">
        <v>0.0</v>
      </c>
      <c r="S47" s="165">
        <v>0.0</v>
      </c>
      <c r="T47" s="165">
        <v>0.0</v>
      </c>
      <c r="U47" s="165">
        <v>0.0</v>
      </c>
      <c r="V47" s="165">
        <v>0.0</v>
      </c>
      <c r="W47" s="165">
        <v>0.0</v>
      </c>
    </row>
    <row r="48" ht="15.75" customHeight="1">
      <c r="A48" s="261">
        <v>13.0</v>
      </c>
      <c r="B48" s="100"/>
      <c r="C48" s="263">
        <v>0.0</v>
      </c>
      <c r="D48" s="178">
        <v>0.0</v>
      </c>
      <c r="E48" s="178">
        <v>0.0</v>
      </c>
      <c r="F48" s="178">
        <v>0.0</v>
      </c>
      <c r="G48" s="178">
        <v>0.0</v>
      </c>
      <c r="H48" s="178">
        <v>0.0</v>
      </c>
      <c r="I48" s="178">
        <v>0.0</v>
      </c>
      <c r="J48" s="178">
        <v>0.0</v>
      </c>
      <c r="K48" s="178">
        <v>0.0</v>
      </c>
      <c r="L48" s="178">
        <v>0.0</v>
      </c>
      <c r="M48" s="178">
        <v>0.0</v>
      </c>
      <c r="N48" s="178">
        <v>0.0</v>
      </c>
      <c r="O48" s="178">
        <v>0.0</v>
      </c>
      <c r="P48" s="165">
        <v>0.0</v>
      </c>
      <c r="Q48" s="165">
        <v>0.0</v>
      </c>
      <c r="R48" s="165">
        <v>0.0</v>
      </c>
      <c r="S48" s="165">
        <v>0.0</v>
      </c>
      <c r="T48" s="165">
        <v>0.0</v>
      </c>
      <c r="U48" s="165">
        <v>0.0</v>
      </c>
      <c r="V48" s="165">
        <v>0.0</v>
      </c>
      <c r="W48" s="165">
        <v>0.0</v>
      </c>
    </row>
    <row r="49" ht="15.75" customHeight="1">
      <c r="A49" s="261">
        <v>14.0</v>
      </c>
      <c r="B49" s="100"/>
      <c r="C49" s="263">
        <v>0.0</v>
      </c>
      <c r="D49" s="178">
        <v>0.0</v>
      </c>
      <c r="E49" s="178">
        <v>0.0</v>
      </c>
      <c r="F49" s="178">
        <v>0.0</v>
      </c>
      <c r="G49" s="178">
        <v>0.0</v>
      </c>
      <c r="H49" s="178">
        <v>0.0</v>
      </c>
      <c r="I49" s="178">
        <v>0.0</v>
      </c>
      <c r="J49" s="178">
        <v>0.0</v>
      </c>
      <c r="K49" s="178">
        <v>0.0</v>
      </c>
      <c r="L49" s="178">
        <v>0.0</v>
      </c>
      <c r="M49" s="178">
        <v>0.0</v>
      </c>
      <c r="N49" s="178">
        <v>0.0</v>
      </c>
      <c r="O49" s="178">
        <v>0.0</v>
      </c>
      <c r="P49" s="165">
        <v>0.0</v>
      </c>
      <c r="Q49" s="165">
        <v>0.0</v>
      </c>
      <c r="R49" s="165">
        <v>0.0</v>
      </c>
      <c r="S49" s="165">
        <v>0.0</v>
      </c>
      <c r="T49" s="165">
        <v>0.0</v>
      </c>
      <c r="U49" s="165">
        <v>0.0</v>
      </c>
      <c r="V49" s="165">
        <v>0.0</v>
      </c>
      <c r="W49" s="165">
        <v>0.0</v>
      </c>
    </row>
    <row r="50" ht="15.75" customHeight="1">
      <c r="A50" s="261">
        <v>15.0</v>
      </c>
      <c r="B50" s="100"/>
      <c r="C50" s="263">
        <v>0.0</v>
      </c>
      <c r="D50" s="178">
        <v>0.0</v>
      </c>
      <c r="E50" s="178">
        <v>0.0</v>
      </c>
      <c r="F50" s="178">
        <v>0.0</v>
      </c>
      <c r="G50" s="178">
        <v>0.0</v>
      </c>
      <c r="H50" s="178">
        <v>0.0</v>
      </c>
      <c r="I50" s="178">
        <v>0.0</v>
      </c>
      <c r="J50" s="178">
        <v>0.0</v>
      </c>
      <c r="K50" s="178">
        <v>0.0</v>
      </c>
      <c r="L50" s="178">
        <v>0.0</v>
      </c>
      <c r="M50" s="178">
        <v>0.0</v>
      </c>
      <c r="N50" s="178">
        <v>0.0</v>
      </c>
      <c r="O50" s="178">
        <v>0.0</v>
      </c>
      <c r="P50" s="165">
        <v>0.0</v>
      </c>
      <c r="Q50" s="165">
        <v>0.0</v>
      </c>
      <c r="R50" s="165">
        <v>0.0</v>
      </c>
      <c r="S50" s="165">
        <v>0.0</v>
      </c>
      <c r="T50" s="165">
        <v>0.0</v>
      </c>
      <c r="U50" s="165">
        <v>0.0</v>
      </c>
      <c r="V50" s="165">
        <v>0.0</v>
      </c>
      <c r="W50" s="165">
        <v>0.0</v>
      </c>
    </row>
    <row r="51" ht="15.75" customHeight="1">
      <c r="A51" s="261">
        <v>16.0</v>
      </c>
      <c r="B51" s="100"/>
      <c r="C51" s="263">
        <v>0.0</v>
      </c>
      <c r="D51" s="178">
        <v>0.0</v>
      </c>
      <c r="E51" s="178">
        <v>0.0</v>
      </c>
      <c r="F51" s="178">
        <v>0.0</v>
      </c>
      <c r="G51" s="178">
        <v>0.0</v>
      </c>
      <c r="H51" s="178">
        <v>0.0</v>
      </c>
      <c r="I51" s="178">
        <v>0.0</v>
      </c>
      <c r="J51" s="178">
        <v>0.0</v>
      </c>
      <c r="K51" s="178">
        <v>0.0</v>
      </c>
      <c r="L51" s="178">
        <v>0.0</v>
      </c>
      <c r="M51" s="178">
        <v>0.0</v>
      </c>
      <c r="N51" s="178">
        <v>0.0</v>
      </c>
      <c r="O51" s="178">
        <v>0.0</v>
      </c>
      <c r="P51" s="165">
        <v>0.0</v>
      </c>
      <c r="Q51" s="165">
        <v>0.0</v>
      </c>
      <c r="R51" s="165">
        <v>0.0</v>
      </c>
      <c r="S51" s="165">
        <v>0.0</v>
      </c>
      <c r="T51" s="165">
        <v>0.0</v>
      </c>
      <c r="U51" s="165">
        <v>0.0</v>
      </c>
      <c r="V51" s="165">
        <v>0.0</v>
      </c>
      <c r="W51" s="165">
        <v>0.0</v>
      </c>
    </row>
    <row r="52" ht="15.75" customHeight="1">
      <c r="A52" s="261">
        <v>17.0</v>
      </c>
      <c r="B52" s="100"/>
      <c r="C52" s="263">
        <v>0.0</v>
      </c>
      <c r="D52" s="178">
        <v>0.0</v>
      </c>
      <c r="E52" s="178">
        <v>0.0</v>
      </c>
      <c r="F52" s="178">
        <v>0.0</v>
      </c>
      <c r="G52" s="178">
        <v>0.0</v>
      </c>
      <c r="H52" s="178">
        <v>0.0</v>
      </c>
      <c r="I52" s="178">
        <v>0.0</v>
      </c>
      <c r="J52" s="178">
        <v>0.0</v>
      </c>
      <c r="K52" s="178">
        <v>0.0</v>
      </c>
      <c r="L52" s="178">
        <v>0.0</v>
      </c>
      <c r="M52" s="178">
        <v>0.0</v>
      </c>
      <c r="N52" s="178">
        <v>0.0</v>
      </c>
      <c r="O52" s="178">
        <v>0.0</v>
      </c>
      <c r="P52" s="165">
        <v>0.0</v>
      </c>
      <c r="Q52" s="165">
        <v>0.0</v>
      </c>
      <c r="R52" s="165">
        <v>0.0</v>
      </c>
      <c r="S52" s="165">
        <v>0.0</v>
      </c>
      <c r="T52" s="165">
        <v>0.0</v>
      </c>
      <c r="U52" s="165">
        <v>0.0</v>
      </c>
      <c r="V52" s="165">
        <v>0.0</v>
      </c>
      <c r="W52" s="165">
        <v>0.0</v>
      </c>
    </row>
    <row r="53" ht="15.75" customHeight="1">
      <c r="A53" s="261">
        <v>18.0</v>
      </c>
      <c r="B53" s="100"/>
      <c r="C53" s="263">
        <v>0.0</v>
      </c>
      <c r="D53" s="178">
        <v>0.0</v>
      </c>
      <c r="E53" s="178">
        <v>0.0</v>
      </c>
      <c r="F53" s="178">
        <v>0.0</v>
      </c>
      <c r="G53" s="178">
        <v>0.0</v>
      </c>
      <c r="H53" s="178">
        <v>0.0</v>
      </c>
      <c r="I53" s="178">
        <v>0.0</v>
      </c>
      <c r="J53" s="178">
        <v>0.0</v>
      </c>
      <c r="K53" s="178">
        <v>0.0</v>
      </c>
      <c r="L53" s="178">
        <v>0.0</v>
      </c>
      <c r="M53" s="178">
        <v>0.0</v>
      </c>
      <c r="N53" s="178">
        <v>0.0</v>
      </c>
      <c r="O53" s="178">
        <v>0.0</v>
      </c>
      <c r="P53" s="165">
        <v>0.0</v>
      </c>
      <c r="Q53" s="165">
        <v>0.0</v>
      </c>
      <c r="R53" s="165">
        <v>0.0</v>
      </c>
      <c r="S53" s="165">
        <v>0.0</v>
      </c>
      <c r="T53" s="165">
        <v>0.0</v>
      </c>
      <c r="U53" s="165">
        <v>0.0</v>
      </c>
      <c r="V53" s="165">
        <v>0.0</v>
      </c>
      <c r="W53" s="165">
        <v>0.0</v>
      </c>
    </row>
    <row r="54" ht="15.75" customHeight="1">
      <c r="A54" s="261">
        <v>19.0</v>
      </c>
      <c r="B54" s="100"/>
      <c r="C54" s="263">
        <v>0.0</v>
      </c>
      <c r="D54" s="178">
        <v>0.0</v>
      </c>
      <c r="E54" s="178">
        <v>0.0</v>
      </c>
      <c r="F54" s="178">
        <v>0.0</v>
      </c>
      <c r="G54" s="178">
        <v>0.0</v>
      </c>
      <c r="H54" s="178">
        <v>0.0</v>
      </c>
      <c r="I54" s="178">
        <v>0.0</v>
      </c>
      <c r="J54" s="178">
        <v>0.0</v>
      </c>
      <c r="K54" s="178">
        <v>0.0</v>
      </c>
      <c r="L54" s="178">
        <v>0.0</v>
      </c>
      <c r="M54" s="178">
        <v>0.0</v>
      </c>
      <c r="N54" s="178">
        <v>0.0</v>
      </c>
      <c r="O54" s="178">
        <v>0.0</v>
      </c>
      <c r="P54" s="165">
        <v>0.0</v>
      </c>
      <c r="Q54" s="165">
        <v>0.0</v>
      </c>
      <c r="R54" s="165">
        <v>0.0</v>
      </c>
      <c r="S54" s="165">
        <v>0.0</v>
      </c>
      <c r="T54" s="165">
        <v>0.0</v>
      </c>
      <c r="U54" s="165">
        <v>0.0</v>
      </c>
      <c r="V54" s="165">
        <v>0.0</v>
      </c>
      <c r="W54" s="165">
        <v>0.0</v>
      </c>
    </row>
    <row r="55" ht="15.75" customHeight="1">
      <c r="A55" s="261">
        <v>20.0</v>
      </c>
      <c r="B55" s="100"/>
      <c r="C55" s="263">
        <v>0.0</v>
      </c>
      <c r="D55" s="178">
        <v>0.0</v>
      </c>
      <c r="E55" s="178">
        <v>0.0</v>
      </c>
      <c r="F55" s="178">
        <v>0.0</v>
      </c>
      <c r="G55" s="178">
        <v>0.0</v>
      </c>
      <c r="H55" s="178">
        <v>0.0</v>
      </c>
      <c r="I55" s="178">
        <v>0.0</v>
      </c>
      <c r="J55" s="178">
        <v>0.0</v>
      </c>
      <c r="K55" s="178">
        <v>0.0</v>
      </c>
      <c r="L55" s="178">
        <v>0.0</v>
      </c>
      <c r="M55" s="178">
        <v>0.0</v>
      </c>
      <c r="N55" s="178">
        <v>0.0</v>
      </c>
      <c r="O55" s="178">
        <v>0.0</v>
      </c>
      <c r="P55" s="165">
        <v>0.0</v>
      </c>
      <c r="Q55" s="165">
        <v>0.0</v>
      </c>
      <c r="R55" s="165">
        <v>0.0</v>
      </c>
      <c r="S55" s="165">
        <v>0.0</v>
      </c>
      <c r="T55" s="165">
        <v>0.0</v>
      </c>
      <c r="U55" s="165">
        <v>0.0</v>
      </c>
      <c r="V55" s="165">
        <v>0.0</v>
      </c>
      <c r="W55" s="165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W30 C36:W55">
    <cfRule type="cellIs" dxfId="5" priority="1" operator="greaterThan">
      <formula>0</formula>
    </cfRule>
  </conditionalFormatting>
  <conditionalFormatting sqref="A11:W30 A36:A55 C36:W55">
    <cfRule type="expression" dxfId="6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2" width="5.75"/>
    <col customWidth="1" min="23" max="24" width="8.63"/>
  </cols>
  <sheetData>
    <row r="1" ht="21.75" customHeight="1">
      <c r="A1" s="183" t="s">
        <v>40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</row>
    <row r="2" ht="19.5" customHeight="1">
      <c r="A2" s="265" t="s">
        <v>114</v>
      </c>
      <c r="B2" s="265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</row>
    <row r="3">
      <c r="A3" s="266" t="s">
        <v>329</v>
      </c>
      <c r="B3" s="267" t="s">
        <v>330</v>
      </c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</row>
    <row r="4">
      <c r="A4" s="266" t="s">
        <v>196</v>
      </c>
      <c r="B4" s="268">
        <v>7.0</v>
      </c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</row>
    <row r="5">
      <c r="A5" s="266" t="s">
        <v>331</v>
      </c>
      <c r="B5" s="268">
        <v>3.0</v>
      </c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</row>
    <row r="6">
      <c r="A6" s="266" t="s">
        <v>332</v>
      </c>
      <c r="B6" s="268">
        <v>3.0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</row>
    <row r="7">
      <c r="A7" s="266" t="s">
        <v>333</v>
      </c>
      <c r="B7" s="268" t="b">
        <f t="shared" ref="B7:B8" si="1">FALSE()</f>
        <v>0</v>
      </c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</row>
    <row r="8">
      <c r="A8" s="266" t="s">
        <v>334</v>
      </c>
      <c r="B8" s="268" t="b">
        <f t="shared" si="1"/>
        <v>0</v>
      </c>
      <c r="C8" s="220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</row>
    <row r="9">
      <c r="A9" s="266" t="s">
        <v>335</v>
      </c>
      <c r="B9" s="268">
        <v>12.0</v>
      </c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</row>
    <row r="10">
      <c r="A10" s="266" t="s">
        <v>336</v>
      </c>
      <c r="B10" s="268">
        <f>SUM(B16:B22)</f>
        <v>165</v>
      </c>
      <c r="C10" s="220"/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</row>
    <row r="11">
      <c r="A11" s="266" t="s">
        <v>337</v>
      </c>
      <c r="B11" s="268">
        <f>SUM(B26:B28)</f>
        <v>110</v>
      </c>
      <c r="C11" s="220"/>
      <c r="D11" s="220"/>
      <c r="E11" s="220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</row>
    <row r="12">
      <c r="A12" s="266" t="s">
        <v>338</v>
      </c>
      <c r="B12" s="268">
        <f>COUNTIFS(B16:B22,"&gt;0")</f>
        <v>3</v>
      </c>
      <c r="C12" s="220"/>
      <c r="D12" s="220"/>
      <c r="E12" s="220"/>
      <c r="F12" s="220"/>
      <c r="G12" s="220"/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</row>
    <row r="13">
      <c r="A13" s="220"/>
      <c r="B13" s="220"/>
      <c r="C13" s="220"/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</row>
    <row r="14" ht="19.5" customHeight="1">
      <c r="A14" s="265" t="s">
        <v>339</v>
      </c>
      <c r="B14" s="265"/>
      <c r="C14" s="265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</row>
    <row r="15" ht="75.0" customHeight="1">
      <c r="A15" s="269" t="s">
        <v>144</v>
      </c>
      <c r="B15" s="270" t="s">
        <v>82</v>
      </c>
      <c r="C15" s="189" t="s">
        <v>68</v>
      </c>
      <c r="D15" s="189" t="s">
        <v>103</v>
      </c>
      <c r="E15" s="189" t="s">
        <v>69</v>
      </c>
      <c r="F15" s="189" t="s">
        <v>70</v>
      </c>
      <c r="G15" s="189" t="s">
        <v>71</v>
      </c>
      <c r="H15" s="189" t="s">
        <v>72</v>
      </c>
      <c r="I15" s="189" t="s">
        <v>73</v>
      </c>
      <c r="J15" s="189" t="s">
        <v>74</v>
      </c>
      <c r="K15" s="189" t="s">
        <v>75</v>
      </c>
      <c r="L15" s="189" t="s">
        <v>76</v>
      </c>
      <c r="M15" s="189" t="s">
        <v>77</v>
      </c>
      <c r="N15" s="189" t="s">
        <v>78</v>
      </c>
      <c r="O15" s="189" t="s">
        <v>118</v>
      </c>
      <c r="P15" s="189" t="s">
        <v>104</v>
      </c>
      <c r="Q15" s="189" t="s">
        <v>105</v>
      </c>
      <c r="R15" s="189" t="s">
        <v>106</v>
      </c>
      <c r="S15" s="189" t="s">
        <v>107</v>
      </c>
      <c r="T15" s="189" t="s">
        <v>108</v>
      </c>
      <c r="U15" s="189" t="s">
        <v>109</v>
      </c>
      <c r="V15" s="189" t="s">
        <v>110</v>
      </c>
    </row>
    <row r="16">
      <c r="A16" s="271" t="str">
        <f t="shared" ref="A16:A22" si="2">CHOOSE(ROW()-ROW($A$16)+1,"1st","2nd","3rd","4th","5th","6th","7th","8th","9th","10th")</f>
        <v>1st</v>
      </c>
      <c r="B16" s="272">
        <v>100.0</v>
      </c>
      <c r="C16" s="187">
        <v>0.0</v>
      </c>
      <c r="D16" s="187">
        <v>0.0</v>
      </c>
      <c r="E16" s="187">
        <v>0.0</v>
      </c>
      <c r="F16" s="187">
        <v>0.0</v>
      </c>
      <c r="G16" s="187">
        <v>1.0</v>
      </c>
      <c r="H16" s="187">
        <v>0.0</v>
      </c>
      <c r="I16" s="187">
        <v>1.0</v>
      </c>
      <c r="J16" s="187">
        <v>1.0</v>
      </c>
      <c r="K16" s="187">
        <v>0.0</v>
      </c>
      <c r="L16" s="187">
        <v>0.0</v>
      </c>
      <c r="M16" s="187">
        <v>0.0</v>
      </c>
      <c r="N16" s="187">
        <v>0.0</v>
      </c>
      <c r="O16" s="187">
        <v>0.0</v>
      </c>
      <c r="P16" s="187">
        <v>0.0</v>
      </c>
      <c r="Q16" s="187">
        <v>0.0</v>
      </c>
      <c r="R16" s="187">
        <v>0.0</v>
      </c>
      <c r="S16" s="187">
        <v>0.0</v>
      </c>
      <c r="T16" s="187">
        <v>0.0</v>
      </c>
      <c r="U16" s="187">
        <v>0.0</v>
      </c>
      <c r="V16" s="187">
        <v>0.0</v>
      </c>
    </row>
    <row r="17">
      <c r="A17" s="271" t="str">
        <f t="shared" si="2"/>
        <v>2nd</v>
      </c>
      <c r="B17" s="272">
        <v>45.0</v>
      </c>
      <c r="C17" s="187">
        <v>0.0</v>
      </c>
      <c r="D17" s="187">
        <v>0.0</v>
      </c>
      <c r="E17" s="187">
        <v>0.0</v>
      </c>
      <c r="F17" s="187">
        <v>0.0</v>
      </c>
      <c r="G17" s="187">
        <v>1.0</v>
      </c>
      <c r="H17" s="187">
        <v>1.0</v>
      </c>
      <c r="I17" s="187">
        <v>0.0</v>
      </c>
      <c r="J17" s="187">
        <v>1.0</v>
      </c>
      <c r="K17" s="187">
        <v>0.0</v>
      </c>
      <c r="L17" s="187">
        <v>0.0</v>
      </c>
      <c r="M17" s="187">
        <v>0.0</v>
      </c>
      <c r="N17" s="187">
        <v>0.0</v>
      </c>
      <c r="O17" s="187">
        <v>0.0</v>
      </c>
      <c r="P17" s="187">
        <v>0.0</v>
      </c>
      <c r="Q17" s="187">
        <v>0.0</v>
      </c>
      <c r="R17" s="187">
        <v>0.0</v>
      </c>
      <c r="S17" s="187">
        <v>0.0</v>
      </c>
      <c r="T17" s="187">
        <v>0.0</v>
      </c>
      <c r="U17" s="187">
        <v>0.0</v>
      </c>
      <c r="V17" s="187">
        <v>0.0</v>
      </c>
    </row>
    <row r="18">
      <c r="A18" s="271" t="str">
        <f t="shared" si="2"/>
        <v>3rd</v>
      </c>
      <c r="B18" s="272">
        <v>20.0</v>
      </c>
      <c r="C18" s="187">
        <v>0.0</v>
      </c>
      <c r="D18" s="187">
        <v>0.0</v>
      </c>
      <c r="E18" s="187">
        <v>0.0</v>
      </c>
      <c r="F18" s="187">
        <v>0.0</v>
      </c>
      <c r="G18" s="187">
        <v>0.0</v>
      </c>
      <c r="H18" s="187">
        <v>1.0</v>
      </c>
      <c r="I18" s="187">
        <v>1.0</v>
      </c>
      <c r="J18" s="187">
        <v>0.0</v>
      </c>
      <c r="K18" s="187">
        <v>0.0</v>
      </c>
      <c r="L18" s="187">
        <v>0.0</v>
      </c>
      <c r="M18" s="187">
        <v>0.0</v>
      </c>
      <c r="N18" s="187">
        <v>0.0</v>
      </c>
      <c r="O18" s="187">
        <v>0.0</v>
      </c>
      <c r="P18" s="187">
        <v>0.0</v>
      </c>
      <c r="Q18" s="187">
        <v>0.0</v>
      </c>
      <c r="R18" s="187">
        <v>0.0</v>
      </c>
      <c r="S18" s="187">
        <v>0.0</v>
      </c>
      <c r="T18" s="187">
        <v>0.0</v>
      </c>
      <c r="U18" s="187">
        <v>0.0</v>
      </c>
      <c r="V18" s="187">
        <v>0.0</v>
      </c>
    </row>
    <row r="19">
      <c r="A19" s="271" t="str">
        <f t="shared" si="2"/>
        <v>4th</v>
      </c>
      <c r="B19" s="272">
        <v>0.0</v>
      </c>
      <c r="C19" s="187">
        <v>0.0</v>
      </c>
      <c r="D19" s="187">
        <v>0.0</v>
      </c>
      <c r="E19" s="187">
        <v>0.0</v>
      </c>
      <c r="F19" s="187">
        <v>0.0</v>
      </c>
      <c r="G19" s="187">
        <v>0.0</v>
      </c>
      <c r="H19" s="187">
        <v>0.0</v>
      </c>
      <c r="I19" s="187">
        <v>0.0</v>
      </c>
      <c r="J19" s="187">
        <v>0.0</v>
      </c>
      <c r="K19" s="187">
        <v>0.0</v>
      </c>
      <c r="L19" s="187">
        <v>0.0</v>
      </c>
      <c r="M19" s="187">
        <v>0.0</v>
      </c>
      <c r="N19" s="187">
        <v>0.0</v>
      </c>
      <c r="O19" s="187">
        <v>0.0</v>
      </c>
      <c r="P19" s="187">
        <v>0.0</v>
      </c>
      <c r="Q19" s="187">
        <v>0.0</v>
      </c>
      <c r="R19" s="187">
        <v>0.0</v>
      </c>
      <c r="S19" s="187">
        <v>0.0</v>
      </c>
      <c r="T19" s="187">
        <v>0.0</v>
      </c>
      <c r="U19" s="187">
        <v>0.0</v>
      </c>
      <c r="V19" s="187">
        <v>0.0</v>
      </c>
    </row>
    <row r="20">
      <c r="A20" s="271" t="str">
        <f t="shared" si="2"/>
        <v>5th</v>
      </c>
      <c r="B20" s="272">
        <v>0.0</v>
      </c>
      <c r="C20" s="187">
        <v>0.0</v>
      </c>
      <c r="D20" s="187">
        <v>0.0</v>
      </c>
      <c r="E20" s="187">
        <v>0.0</v>
      </c>
      <c r="F20" s="187">
        <v>0.0</v>
      </c>
      <c r="G20" s="187">
        <v>0.0</v>
      </c>
      <c r="H20" s="187">
        <v>0.0</v>
      </c>
      <c r="I20" s="187">
        <v>0.0</v>
      </c>
      <c r="J20" s="187">
        <v>0.0</v>
      </c>
      <c r="K20" s="187">
        <v>0.0</v>
      </c>
      <c r="L20" s="187">
        <v>0.0</v>
      </c>
      <c r="M20" s="187">
        <v>0.0</v>
      </c>
      <c r="N20" s="187">
        <v>0.0</v>
      </c>
      <c r="O20" s="187">
        <v>0.0</v>
      </c>
      <c r="P20" s="187">
        <v>0.0</v>
      </c>
      <c r="Q20" s="187">
        <v>0.0</v>
      </c>
      <c r="R20" s="187">
        <v>0.0</v>
      </c>
      <c r="S20" s="187">
        <v>0.0</v>
      </c>
      <c r="T20" s="187">
        <v>0.0</v>
      </c>
      <c r="U20" s="187">
        <v>0.0</v>
      </c>
      <c r="V20" s="187">
        <v>0.0</v>
      </c>
    </row>
    <row r="21" ht="15.75" customHeight="1">
      <c r="A21" s="271" t="str">
        <f t="shared" si="2"/>
        <v>6th</v>
      </c>
      <c r="B21" s="272">
        <v>0.0</v>
      </c>
      <c r="C21" s="187">
        <v>0.0</v>
      </c>
      <c r="D21" s="187">
        <v>0.0</v>
      </c>
      <c r="E21" s="187">
        <v>0.0</v>
      </c>
      <c r="F21" s="187">
        <v>0.0</v>
      </c>
      <c r="G21" s="187">
        <v>0.0</v>
      </c>
      <c r="H21" s="187">
        <v>0.0</v>
      </c>
      <c r="I21" s="187">
        <v>0.0</v>
      </c>
      <c r="J21" s="187">
        <v>0.0</v>
      </c>
      <c r="K21" s="187">
        <v>0.0</v>
      </c>
      <c r="L21" s="187">
        <v>0.0</v>
      </c>
      <c r="M21" s="187">
        <v>0.0</v>
      </c>
      <c r="N21" s="187">
        <v>0.0</v>
      </c>
      <c r="O21" s="187">
        <v>0.0</v>
      </c>
      <c r="P21" s="187">
        <v>0.0</v>
      </c>
      <c r="Q21" s="187">
        <v>0.0</v>
      </c>
      <c r="R21" s="187">
        <v>0.0</v>
      </c>
      <c r="S21" s="187">
        <v>0.0</v>
      </c>
      <c r="T21" s="187">
        <v>0.0</v>
      </c>
      <c r="U21" s="187">
        <v>0.0</v>
      </c>
      <c r="V21" s="187">
        <v>0.0</v>
      </c>
    </row>
    <row r="22" ht="15.75" customHeight="1">
      <c r="A22" s="271" t="str">
        <f t="shared" si="2"/>
        <v>7th</v>
      </c>
      <c r="B22" s="272">
        <v>0.0</v>
      </c>
      <c r="C22" s="187">
        <v>0.0</v>
      </c>
      <c r="D22" s="187">
        <v>0.0</v>
      </c>
      <c r="E22" s="187">
        <v>0.0</v>
      </c>
      <c r="F22" s="187">
        <v>0.0</v>
      </c>
      <c r="G22" s="187">
        <v>0.0</v>
      </c>
      <c r="H22" s="187">
        <v>0.0</v>
      </c>
      <c r="I22" s="187">
        <v>0.0</v>
      </c>
      <c r="J22" s="187">
        <v>0.0</v>
      </c>
      <c r="K22" s="187">
        <v>0.0</v>
      </c>
      <c r="L22" s="187">
        <v>0.0</v>
      </c>
      <c r="M22" s="187">
        <v>0.0</v>
      </c>
      <c r="N22" s="187">
        <v>0.0</v>
      </c>
      <c r="O22" s="187">
        <v>0.0</v>
      </c>
      <c r="P22" s="187">
        <v>0.0</v>
      </c>
      <c r="Q22" s="187">
        <v>0.0</v>
      </c>
      <c r="R22" s="187">
        <v>0.0</v>
      </c>
      <c r="S22" s="187">
        <v>0.0</v>
      </c>
      <c r="T22" s="187">
        <v>0.0</v>
      </c>
      <c r="U22" s="187">
        <v>0.0</v>
      </c>
      <c r="V22" s="187">
        <v>0.0</v>
      </c>
    </row>
    <row r="23" ht="15.75" customHeight="1">
      <c r="A23" s="220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</row>
    <row r="24" ht="19.5" customHeight="1">
      <c r="A24" s="265" t="s">
        <v>340</v>
      </c>
      <c r="B24" s="265"/>
      <c r="C24" s="265"/>
      <c r="D24" s="265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</row>
    <row r="25" ht="75.0" customHeight="1">
      <c r="A25" s="269" t="s">
        <v>144</v>
      </c>
      <c r="B25" s="270" t="s">
        <v>82</v>
      </c>
      <c r="C25" s="189" t="s">
        <v>68</v>
      </c>
      <c r="D25" s="189" t="s">
        <v>103</v>
      </c>
      <c r="E25" s="189" t="s">
        <v>69</v>
      </c>
      <c r="F25" s="189" t="s">
        <v>70</v>
      </c>
      <c r="G25" s="189" t="s">
        <v>71</v>
      </c>
      <c r="H25" s="189" t="s">
        <v>72</v>
      </c>
      <c r="I25" s="189" t="s">
        <v>73</v>
      </c>
      <c r="J25" s="189" t="s">
        <v>74</v>
      </c>
      <c r="K25" s="189" t="s">
        <v>75</v>
      </c>
      <c r="L25" s="189" t="s">
        <v>76</v>
      </c>
      <c r="M25" s="189" t="s">
        <v>77</v>
      </c>
      <c r="N25" s="189" t="s">
        <v>78</v>
      </c>
      <c r="O25" s="189" t="s">
        <v>118</v>
      </c>
      <c r="P25" s="189" t="s">
        <v>104</v>
      </c>
      <c r="Q25" s="189" t="s">
        <v>105</v>
      </c>
      <c r="R25" s="189" t="s">
        <v>106</v>
      </c>
      <c r="S25" s="189" t="s">
        <v>107</v>
      </c>
      <c r="T25" s="189" t="s">
        <v>108</v>
      </c>
      <c r="U25" s="189" t="s">
        <v>109</v>
      </c>
      <c r="V25" s="189" t="s">
        <v>110</v>
      </c>
    </row>
    <row r="26" ht="15.75" customHeight="1">
      <c r="A26" s="271" t="str">
        <f t="shared" ref="A26:A28" si="3">CHOOSE(ROW()-ROW($A$26)+1,"1st","2nd","3rd","4th","5th","6th","7th","8th","9th","10th")</f>
        <v>1st</v>
      </c>
      <c r="B26" s="272">
        <v>70.0</v>
      </c>
      <c r="C26" s="187">
        <v>0.0</v>
      </c>
      <c r="D26" s="187">
        <v>0.0</v>
      </c>
      <c r="E26" s="187">
        <v>0.0</v>
      </c>
      <c r="F26" s="187">
        <v>0.0</v>
      </c>
      <c r="G26" s="187">
        <v>1.0</v>
      </c>
      <c r="H26" s="187">
        <v>0.0</v>
      </c>
      <c r="I26" s="187">
        <v>0.0</v>
      </c>
      <c r="J26" s="187">
        <v>1.0</v>
      </c>
      <c r="K26" s="187">
        <v>0.0</v>
      </c>
      <c r="L26" s="187">
        <v>0.0</v>
      </c>
      <c r="M26" s="187">
        <v>0.0</v>
      </c>
      <c r="N26" s="187">
        <v>0.0</v>
      </c>
      <c r="O26" s="187">
        <v>0.0</v>
      </c>
      <c r="P26" s="187">
        <v>0.0</v>
      </c>
      <c r="Q26" s="187">
        <v>0.0</v>
      </c>
      <c r="R26" s="187">
        <v>0.0</v>
      </c>
      <c r="S26" s="187">
        <v>0.0</v>
      </c>
      <c r="T26" s="187">
        <v>0.0</v>
      </c>
      <c r="U26" s="187">
        <v>0.0</v>
      </c>
      <c r="V26" s="187">
        <v>0.0</v>
      </c>
    </row>
    <row r="27" ht="15.75" customHeight="1">
      <c r="A27" s="271" t="str">
        <f t="shared" si="3"/>
        <v>2nd</v>
      </c>
      <c r="B27" s="272">
        <v>30.0</v>
      </c>
      <c r="C27" s="187">
        <v>0.0</v>
      </c>
      <c r="D27" s="187">
        <v>0.0</v>
      </c>
      <c r="E27" s="187">
        <v>0.0</v>
      </c>
      <c r="F27" s="187">
        <v>1.0</v>
      </c>
      <c r="G27" s="187">
        <v>0.0</v>
      </c>
      <c r="H27" s="187">
        <v>0.0</v>
      </c>
      <c r="I27" s="187">
        <v>1.0</v>
      </c>
      <c r="J27" s="187">
        <v>0.0</v>
      </c>
      <c r="K27" s="187">
        <v>0.0</v>
      </c>
      <c r="L27" s="187">
        <v>0.0</v>
      </c>
      <c r="M27" s="187">
        <v>0.0</v>
      </c>
      <c r="N27" s="187">
        <v>0.0</v>
      </c>
      <c r="O27" s="187">
        <v>0.0</v>
      </c>
      <c r="P27" s="187">
        <v>0.0</v>
      </c>
      <c r="Q27" s="187">
        <v>0.0</v>
      </c>
      <c r="R27" s="187">
        <v>0.0</v>
      </c>
      <c r="S27" s="187">
        <v>0.0</v>
      </c>
      <c r="T27" s="187">
        <v>0.0</v>
      </c>
      <c r="U27" s="187">
        <v>0.0</v>
      </c>
      <c r="V27" s="187">
        <v>0.0</v>
      </c>
    </row>
    <row r="28" ht="15.75" customHeight="1">
      <c r="A28" s="271" t="str">
        <f t="shared" si="3"/>
        <v>3rd</v>
      </c>
      <c r="B28" s="272">
        <v>10.0</v>
      </c>
      <c r="C28" s="187">
        <v>0.0</v>
      </c>
      <c r="D28" s="187">
        <v>0.0</v>
      </c>
      <c r="E28" s="187">
        <v>1.0</v>
      </c>
      <c r="F28" s="187">
        <v>0.0</v>
      </c>
      <c r="G28" s="187">
        <v>0.0</v>
      </c>
      <c r="H28" s="187">
        <v>1.0</v>
      </c>
      <c r="I28" s="187">
        <v>0.0</v>
      </c>
      <c r="J28" s="187">
        <v>0.0</v>
      </c>
      <c r="K28" s="187">
        <v>0.0</v>
      </c>
      <c r="L28" s="187">
        <v>0.0</v>
      </c>
      <c r="M28" s="187">
        <v>0.0</v>
      </c>
      <c r="N28" s="187">
        <v>0.0</v>
      </c>
      <c r="O28" s="187">
        <v>0.0</v>
      </c>
      <c r="P28" s="187">
        <v>0.0</v>
      </c>
      <c r="Q28" s="187">
        <v>0.0</v>
      </c>
      <c r="R28" s="187">
        <v>0.0</v>
      </c>
      <c r="S28" s="187">
        <v>0.0</v>
      </c>
      <c r="T28" s="187">
        <v>0.0</v>
      </c>
      <c r="U28" s="187">
        <v>0.0</v>
      </c>
      <c r="V28" s="187">
        <v>0.0</v>
      </c>
    </row>
    <row r="29" ht="15.75" customHeight="1">
      <c r="A29" s="220"/>
      <c r="B29" s="220"/>
      <c r="C29" s="220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</row>
    <row r="30" ht="15.75" customHeight="1">
      <c r="A30" s="22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</row>
    <row r="31" ht="15.75" customHeight="1">
      <c r="A31" s="22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</row>
    <row r="32" ht="15.75" customHeight="1">
      <c r="A32" s="220"/>
      <c r="B32" s="220"/>
      <c r="C32" s="220"/>
      <c r="D32" s="220"/>
      <c r="E32" s="220"/>
      <c r="F32" s="220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</row>
    <row r="33" ht="15.75" customHeight="1">
      <c r="A33" s="220"/>
      <c r="B33" s="220"/>
      <c r="C33" s="220"/>
      <c r="D33" s="220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</row>
    <row r="34" ht="15.75" customHeight="1">
      <c r="A34" s="220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</row>
    <row r="35" ht="15.75" customHeight="1">
      <c r="A35" s="22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</row>
    <row r="36" ht="15.75" customHeight="1">
      <c r="A36" s="220"/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</row>
    <row r="37" ht="15.75" customHeight="1">
      <c r="A37" s="22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</row>
    <row r="38" ht="15.75" customHeight="1">
      <c r="A38" s="220"/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</row>
    <row r="39" ht="15.75" customHeight="1">
      <c r="A39" s="220"/>
      <c r="B39" s="220"/>
      <c r="C39" s="220"/>
      <c r="D39" s="220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</row>
    <row r="40" ht="15.75" customHeight="1">
      <c r="A40" s="220"/>
      <c r="B40" s="220"/>
      <c r="C40" s="220"/>
      <c r="D40" s="220"/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</row>
    <row r="41" ht="15.75" customHeight="1">
      <c r="A41" s="22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</row>
    <row r="42" ht="15.75" customHeight="1">
      <c r="A42" s="220"/>
      <c r="B42" s="220"/>
      <c r="C42" s="220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</row>
    <row r="43" ht="15.75" customHeight="1">
      <c r="A43" s="22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</row>
    <row r="44" ht="15.75" customHeight="1">
      <c r="A44" s="220"/>
      <c r="B44" s="220"/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</row>
    <row r="45" ht="15.75" customHeight="1">
      <c r="A45" s="220"/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</row>
    <row r="46" ht="15.75" customHeight="1">
      <c r="A46" s="22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</row>
    <row r="47" ht="15.75" customHeight="1">
      <c r="A47" s="22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</row>
    <row r="48" ht="15.75" customHeight="1">
      <c r="A48" s="220"/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</row>
    <row r="49" ht="15.75" customHeight="1">
      <c r="A49" s="220"/>
      <c r="B49" s="220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</row>
    <row r="50" ht="15.75" customHeight="1">
      <c r="A50" s="220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</row>
    <row r="51" ht="15.75" customHeight="1">
      <c r="A51" s="220"/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</row>
    <row r="52" ht="15.75" customHeight="1">
      <c r="A52" s="22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</row>
    <row r="53" ht="15.75" customHeight="1">
      <c r="A53" s="220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</row>
    <row r="54" ht="15.75" customHeight="1">
      <c r="A54" s="22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</row>
    <row r="55" ht="15.75" customHeight="1">
      <c r="A55" s="220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</row>
    <row r="56" ht="15.75" customHeight="1">
      <c r="A56" s="22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</row>
    <row r="57" ht="15.75" customHeight="1">
      <c r="A57" s="220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</row>
    <row r="58" ht="15.75" customHeight="1">
      <c r="A58" s="22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</row>
    <row r="59" ht="15.75" customHeight="1">
      <c r="A59" s="220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</row>
    <row r="60" ht="15.75" customHeight="1">
      <c r="A60" s="220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</row>
    <row r="61" ht="15.75" customHeight="1">
      <c r="A61" s="22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</row>
    <row r="62" ht="15.75" customHeight="1">
      <c r="A62" s="220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</row>
    <row r="63" ht="15.75" customHeight="1">
      <c r="A63" s="22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</row>
    <row r="64" ht="15.75" customHeight="1">
      <c r="A64" s="220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</row>
    <row r="65" ht="15.75" customHeight="1">
      <c r="A65" s="220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</row>
    <row r="66" ht="15.75" customHeight="1">
      <c r="A66" s="220"/>
      <c r="B66" s="220"/>
      <c r="C66" s="220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</row>
    <row r="67" ht="15.75" customHeight="1">
      <c r="A67" s="22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</row>
    <row r="68" ht="15.75" customHeight="1">
      <c r="A68" s="220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</row>
    <row r="69" ht="15.75" customHeight="1">
      <c r="A69" s="220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</row>
    <row r="70" ht="15.75" customHeight="1">
      <c r="A70" s="220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</row>
    <row r="71" ht="15.75" customHeight="1">
      <c r="A71" s="22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</row>
    <row r="72" ht="15.75" customHeight="1">
      <c r="A72" s="220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</row>
    <row r="73" ht="15.75" customHeight="1">
      <c r="A73" s="220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</row>
    <row r="74" ht="15.75" customHeight="1">
      <c r="A74" s="220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</row>
    <row r="75" ht="15.75" customHeight="1">
      <c r="A75" s="22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</row>
    <row r="76" ht="15.75" customHeight="1">
      <c r="A76" s="220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</row>
    <row r="77" ht="15.75" customHeight="1">
      <c r="A77" s="220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</row>
    <row r="78" ht="15.75" customHeight="1">
      <c r="A78" s="220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</row>
    <row r="79" ht="15.75" customHeight="1">
      <c r="A79" s="22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</row>
    <row r="80" ht="15.75" customHeight="1">
      <c r="A80" s="220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</row>
    <row r="81" ht="15.75" customHeight="1">
      <c r="A81" s="220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</row>
    <row r="82" ht="15.75" customHeight="1">
      <c r="A82" s="220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</row>
    <row r="83" ht="15.75" customHeight="1">
      <c r="A83" s="22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</row>
    <row r="84" ht="15.75" customHeight="1">
      <c r="A84" s="220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</row>
    <row r="85" ht="15.75" customHeight="1">
      <c r="A85" s="220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</row>
    <row r="86" ht="15.75" customHeight="1">
      <c r="A86" s="220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</row>
    <row r="87" ht="15.75" customHeight="1">
      <c r="A87" s="22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</row>
    <row r="88" ht="15.75" customHeight="1">
      <c r="A88" s="220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</row>
    <row r="89" ht="15.75" customHeight="1">
      <c r="A89" s="220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</row>
    <row r="90" ht="15.75" customHeight="1">
      <c r="A90" s="220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</row>
    <row r="91" ht="15.75" customHeight="1">
      <c r="A91" s="22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</row>
    <row r="92" ht="15.75" customHeight="1">
      <c r="A92" s="220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</row>
    <row r="93" ht="15.75" customHeight="1">
      <c r="A93" s="220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</row>
    <row r="94" ht="15.75" customHeight="1">
      <c r="A94" s="220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</row>
    <row r="95" ht="15.75" customHeight="1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</row>
    <row r="96" ht="15.75" customHeight="1">
      <c r="A96" s="220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</row>
    <row r="97" ht="15.75" customHeight="1">
      <c r="A97" s="220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</row>
    <row r="98" ht="15.75" customHeight="1">
      <c r="A98" s="220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</row>
    <row r="99" ht="15.75" customHeight="1">
      <c r="A99" s="22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</row>
    <row r="100" ht="15.75" customHeight="1">
      <c r="A100" s="220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</row>
    <row r="101" ht="15.75" customHeight="1">
      <c r="A101" s="220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</row>
    <row r="102" ht="15.75" customHeight="1">
      <c r="A102" s="220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</row>
    <row r="103" ht="15.75" customHeight="1">
      <c r="A103" s="22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</row>
    <row r="104" ht="15.75" customHeight="1">
      <c r="A104" s="220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</row>
    <row r="105" ht="15.75" customHeight="1">
      <c r="A105" s="220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</row>
    <row r="106" ht="15.75" customHeight="1">
      <c r="A106" s="220"/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</row>
    <row r="107" ht="15.75" customHeight="1">
      <c r="A107" s="22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</row>
    <row r="108" ht="15.75" customHeight="1">
      <c r="A108" s="220"/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</row>
    <row r="109" ht="15.75" customHeight="1">
      <c r="A109" s="220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</row>
    <row r="110" ht="15.75" customHeight="1">
      <c r="A110" s="220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</row>
    <row r="111" ht="15.75" customHeight="1">
      <c r="A111" s="22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</row>
    <row r="112" ht="15.75" customHeight="1">
      <c r="A112" s="220"/>
      <c r="B112" s="220"/>
      <c r="C112" s="220"/>
      <c r="D112" s="220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</row>
    <row r="113" ht="15.75" customHeight="1">
      <c r="A113" s="220"/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</row>
    <row r="114" ht="15.75" customHeight="1">
      <c r="A114" s="220"/>
      <c r="B114" s="220"/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</row>
    <row r="115" ht="15.75" customHeight="1">
      <c r="A115" s="22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</row>
    <row r="116" ht="15.75" customHeight="1">
      <c r="A116" s="220"/>
      <c r="B116" s="220"/>
      <c r="C116" s="220"/>
      <c r="D116" s="220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</row>
    <row r="117" ht="15.75" customHeight="1">
      <c r="A117" s="220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</row>
    <row r="118" ht="15.75" customHeight="1">
      <c r="A118" s="220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</row>
    <row r="119" ht="15.75" customHeight="1">
      <c r="A119" s="22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</row>
    <row r="120" ht="15.75" customHeight="1">
      <c r="A120" s="220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</row>
    <row r="121" ht="15.75" customHeight="1">
      <c r="A121" s="220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</row>
    <row r="122" ht="15.75" customHeight="1">
      <c r="A122" s="220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</row>
    <row r="123" ht="15.75" customHeight="1">
      <c r="A123" s="220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</row>
    <row r="124" ht="15.75" customHeight="1">
      <c r="A124" s="220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</row>
    <row r="125" ht="15.75" customHeight="1">
      <c r="A125" s="220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</row>
    <row r="126" ht="15.75" customHeight="1">
      <c r="A126" s="220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</row>
    <row r="127" ht="15.75" customHeight="1">
      <c r="A127" s="220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</row>
    <row r="128" ht="15.75" customHeight="1">
      <c r="A128" s="220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</row>
    <row r="129" ht="15.75" customHeight="1">
      <c r="A129" s="220"/>
      <c r="B129" s="220"/>
      <c r="C129" s="220"/>
      <c r="D129" s="220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</row>
    <row r="130" ht="15.75" customHeight="1">
      <c r="A130" s="220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</row>
    <row r="131" ht="15.75" customHeight="1">
      <c r="A131" s="220"/>
      <c r="B131" s="220"/>
      <c r="C131" s="220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</row>
    <row r="132" ht="15.75" customHeight="1">
      <c r="A132" s="220"/>
      <c r="B132" s="220"/>
      <c r="C132" s="220"/>
      <c r="D132" s="220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</row>
    <row r="133" ht="15.75" customHeight="1">
      <c r="A133" s="220"/>
      <c r="B133" s="220"/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</row>
    <row r="134" ht="15.75" customHeight="1">
      <c r="A134" s="220"/>
      <c r="B134" s="220"/>
      <c r="C134" s="220"/>
      <c r="D134" s="220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</row>
    <row r="135" ht="15.75" customHeight="1">
      <c r="A135" s="220"/>
      <c r="B135" s="220"/>
      <c r="C135" s="220"/>
      <c r="D135" s="220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</row>
    <row r="136" ht="15.75" customHeight="1">
      <c r="A136" s="220"/>
      <c r="B136" s="220"/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</row>
    <row r="137" ht="15.75" customHeight="1">
      <c r="A137" s="220"/>
      <c r="B137" s="220"/>
      <c r="C137" s="220"/>
      <c r="D137" s="220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</row>
    <row r="138" ht="15.75" customHeight="1">
      <c r="A138" s="220"/>
      <c r="B138" s="220"/>
      <c r="C138" s="220"/>
      <c r="D138" s="220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</row>
    <row r="139" ht="15.75" customHeight="1">
      <c r="A139" s="220"/>
      <c r="B139" s="220"/>
      <c r="C139" s="220"/>
      <c r="D139" s="220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</row>
    <row r="140" ht="15.75" customHeight="1">
      <c r="A140" s="22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</row>
    <row r="141" ht="15.75" customHeight="1">
      <c r="A141" s="220"/>
      <c r="B141" s="220"/>
      <c r="C141" s="220"/>
      <c r="D141" s="220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</row>
    <row r="142" ht="15.75" customHeight="1">
      <c r="A142" s="220"/>
      <c r="B142" s="220"/>
      <c r="C142" s="220"/>
      <c r="D142" s="220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</row>
    <row r="143" ht="15.75" customHeight="1">
      <c r="A143" s="220"/>
      <c r="B143" s="220"/>
      <c r="C143" s="220"/>
      <c r="D143" s="220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</row>
    <row r="144" ht="15.75" customHeight="1">
      <c r="A144" s="220"/>
      <c r="B144" s="220"/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</row>
    <row r="145" ht="15.75" customHeight="1">
      <c r="A145" s="22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</row>
    <row r="146" ht="15.75" customHeight="1">
      <c r="A146" s="220"/>
      <c r="B146" s="220"/>
      <c r="C146" s="220"/>
      <c r="D146" s="220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</row>
    <row r="147" ht="15.75" customHeight="1">
      <c r="A147" s="220"/>
      <c r="B147" s="220"/>
      <c r="C147" s="220"/>
      <c r="D147" s="220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</row>
    <row r="148" ht="15.75" customHeight="1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</row>
    <row r="149" ht="15.75" customHeight="1">
      <c r="A149" s="220"/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</row>
    <row r="150" ht="15.75" customHeight="1">
      <c r="A150" s="220"/>
      <c r="B150" s="220"/>
      <c r="C150" s="220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</row>
    <row r="151" ht="15.75" customHeight="1">
      <c r="A151" s="220"/>
      <c r="B151" s="220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</row>
    <row r="152" ht="15.75" customHeight="1">
      <c r="A152" s="220"/>
      <c r="B152" s="220"/>
      <c r="C152" s="220"/>
      <c r="D152" s="220"/>
      <c r="E152" s="220"/>
      <c r="F152" s="220"/>
      <c r="G152" s="220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</row>
    <row r="153" ht="15.75" customHeight="1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</row>
    <row r="154" ht="15.75" customHeight="1">
      <c r="A154" s="220"/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</row>
    <row r="155" ht="15.75" customHeight="1">
      <c r="A155" s="220"/>
      <c r="B155" s="220"/>
      <c r="C155" s="220"/>
      <c r="D155" s="220"/>
      <c r="E155" s="220"/>
      <c r="F155" s="220"/>
      <c r="G155" s="220"/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</row>
    <row r="156" ht="15.75" customHeight="1">
      <c r="A156" s="220"/>
      <c r="B156" s="220"/>
      <c r="C156" s="220"/>
      <c r="D156" s="220"/>
      <c r="E156" s="220"/>
      <c r="F156" s="220"/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</row>
    <row r="157" ht="15.75" customHeight="1">
      <c r="A157" s="220"/>
      <c r="B157" s="220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</row>
    <row r="158" ht="15.75" customHeight="1">
      <c r="A158" s="220"/>
      <c r="B158" s="220"/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</row>
    <row r="159" ht="15.75" customHeight="1">
      <c r="A159" s="220"/>
      <c r="B159" s="220"/>
      <c r="C159" s="220"/>
      <c r="D159" s="220"/>
      <c r="E159" s="220"/>
      <c r="F159" s="220"/>
      <c r="G159" s="220"/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</row>
    <row r="160" ht="15.75" customHeight="1">
      <c r="A160" s="220"/>
      <c r="B160" s="220"/>
      <c r="C160" s="220"/>
      <c r="D160" s="220"/>
      <c r="E160" s="220"/>
      <c r="F160" s="220"/>
      <c r="G160" s="220"/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</row>
    <row r="161" ht="15.75" customHeight="1">
      <c r="A161" s="220"/>
      <c r="B161" s="220"/>
      <c r="C161" s="220"/>
      <c r="D161" s="220"/>
      <c r="E161" s="220"/>
      <c r="F161" s="220"/>
      <c r="G161" s="220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</row>
    <row r="162" ht="15.75" customHeight="1">
      <c r="A162" s="220"/>
      <c r="B162" s="220"/>
      <c r="C162" s="220"/>
      <c r="D162" s="220"/>
      <c r="E162" s="220"/>
      <c r="F162" s="220"/>
      <c r="G162" s="220"/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</row>
    <row r="163" ht="15.75" customHeight="1">
      <c r="A163" s="220"/>
      <c r="B163" s="220"/>
      <c r="C163" s="220"/>
      <c r="D163" s="220"/>
      <c r="E163" s="220"/>
      <c r="F163" s="220"/>
      <c r="G163" s="220"/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</row>
    <row r="164" ht="15.75" customHeight="1">
      <c r="A164" s="220"/>
      <c r="B164" s="220"/>
      <c r="C164" s="220"/>
      <c r="D164" s="220"/>
      <c r="E164" s="220"/>
      <c r="F164" s="220"/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</row>
    <row r="165" ht="15.75" customHeight="1">
      <c r="A165" s="220"/>
      <c r="B165" s="220"/>
      <c r="C165" s="220"/>
      <c r="D165" s="220"/>
      <c r="E165" s="220"/>
      <c r="F165" s="220"/>
      <c r="G165" s="220"/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</row>
    <row r="166" ht="15.75" customHeight="1">
      <c r="A166" s="220"/>
      <c r="B166" s="220"/>
      <c r="C166" s="220"/>
      <c r="D166" s="220"/>
      <c r="E166" s="220"/>
      <c r="F166" s="220"/>
      <c r="G166" s="220"/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</row>
    <row r="167" ht="15.75" customHeight="1">
      <c r="A167" s="220"/>
      <c r="B167" s="220"/>
      <c r="C167" s="220"/>
      <c r="D167" s="220"/>
      <c r="E167" s="220"/>
      <c r="F167" s="220"/>
      <c r="G167" s="220"/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</row>
    <row r="168" ht="15.75" customHeight="1">
      <c r="A168" s="220"/>
      <c r="B168" s="220"/>
      <c r="C168" s="220"/>
      <c r="D168" s="220"/>
      <c r="E168" s="220"/>
      <c r="F168" s="220"/>
      <c r="G168" s="220"/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</row>
    <row r="169" ht="15.75" customHeight="1">
      <c r="A169" s="220"/>
      <c r="B169" s="220"/>
      <c r="C169" s="220"/>
      <c r="D169" s="220"/>
      <c r="E169" s="220"/>
      <c r="F169" s="220"/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</row>
    <row r="170" ht="15.75" customHeight="1">
      <c r="A170" s="22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</row>
    <row r="171" ht="15.75" customHeight="1">
      <c r="A171" s="220"/>
      <c r="B171" s="220"/>
      <c r="C171" s="220"/>
      <c r="D171" s="220"/>
      <c r="E171" s="220"/>
      <c r="F171" s="220"/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</row>
    <row r="172" ht="15.75" customHeight="1">
      <c r="A172" s="220"/>
      <c r="B172" s="220"/>
      <c r="C172" s="220"/>
      <c r="D172" s="220"/>
      <c r="E172" s="220"/>
      <c r="F172" s="220"/>
      <c r="G172" s="220"/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</row>
    <row r="173" ht="15.75" customHeight="1">
      <c r="A173" s="220"/>
      <c r="B173" s="220"/>
      <c r="C173" s="220"/>
      <c r="D173" s="220"/>
      <c r="E173" s="220"/>
      <c r="F173" s="220"/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</row>
    <row r="174" ht="15.75" customHeight="1">
      <c r="A174" s="220"/>
      <c r="B174" s="220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</row>
    <row r="175" ht="15.75" customHeight="1">
      <c r="A175" s="22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</row>
    <row r="176" ht="15.75" customHeight="1">
      <c r="A176" s="220"/>
      <c r="B176" s="220"/>
      <c r="C176" s="220"/>
      <c r="D176" s="220"/>
      <c r="E176" s="220"/>
      <c r="F176" s="220"/>
      <c r="G176" s="220"/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</row>
    <row r="177" ht="15.75" customHeight="1">
      <c r="A177" s="220"/>
      <c r="B177" s="220"/>
      <c r="C177" s="220"/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</row>
    <row r="178" ht="15.75" customHeight="1">
      <c r="A178" s="220"/>
      <c r="B178" s="220"/>
      <c r="C178" s="220"/>
      <c r="D178" s="220"/>
      <c r="E178" s="220"/>
      <c r="F178" s="220"/>
      <c r="G178" s="220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</row>
    <row r="179" ht="15.75" customHeight="1">
      <c r="A179" s="220"/>
      <c r="B179" s="220"/>
      <c r="C179" s="220"/>
      <c r="D179" s="220"/>
      <c r="E179" s="220"/>
      <c r="F179" s="220"/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</row>
    <row r="180" ht="15.75" customHeight="1">
      <c r="A180" s="220"/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</row>
    <row r="181" ht="15.75" customHeight="1">
      <c r="A181" s="220"/>
      <c r="B181" s="220"/>
      <c r="C181" s="220"/>
      <c r="D181" s="220"/>
      <c r="E181" s="220"/>
      <c r="F181" s="220"/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</row>
    <row r="182" ht="15.75" customHeight="1">
      <c r="A182" s="220"/>
      <c r="B182" s="220"/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</row>
    <row r="183" ht="15.75" customHeight="1">
      <c r="A183" s="220"/>
      <c r="B183" s="220"/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</row>
    <row r="184" ht="15.75" customHeight="1">
      <c r="A184" s="220"/>
      <c r="B184" s="220"/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</row>
    <row r="185" ht="15.75" customHeight="1">
      <c r="A185" s="220"/>
      <c r="B185" s="220"/>
      <c r="C185" s="220"/>
      <c r="D185" s="220"/>
      <c r="E185" s="220"/>
      <c r="F185" s="220"/>
      <c r="G185" s="220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</row>
    <row r="186" ht="15.75" customHeight="1">
      <c r="A186" s="220"/>
      <c r="B186" s="220"/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</row>
    <row r="187" ht="15.75" customHeight="1">
      <c r="A187" s="220"/>
      <c r="B187" s="220"/>
      <c r="C187" s="220"/>
      <c r="D187" s="220"/>
      <c r="E187" s="220"/>
      <c r="F187" s="220"/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</row>
    <row r="188" ht="15.75" customHeight="1">
      <c r="A188" s="220"/>
      <c r="B188" s="220"/>
      <c r="C188" s="220"/>
      <c r="D188" s="220"/>
      <c r="E188" s="220"/>
      <c r="F188" s="220"/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</row>
    <row r="189" ht="15.75" customHeight="1">
      <c r="A189" s="220"/>
      <c r="B189" s="220"/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</row>
    <row r="190" ht="15.75" customHeight="1">
      <c r="A190" s="220"/>
      <c r="B190" s="220"/>
      <c r="C190" s="220"/>
      <c r="D190" s="220"/>
      <c r="E190" s="220"/>
      <c r="F190" s="220"/>
      <c r="G190" s="220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</row>
    <row r="191" ht="15.75" customHeight="1">
      <c r="A191" s="220"/>
      <c r="B191" s="220"/>
      <c r="C191" s="220"/>
      <c r="D191" s="220"/>
      <c r="E191" s="220"/>
      <c r="F191" s="220"/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</row>
    <row r="192" ht="15.75" customHeight="1">
      <c r="A192" s="220"/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</row>
    <row r="193" ht="15.75" customHeight="1">
      <c r="A193" s="220"/>
      <c r="B193" s="220"/>
      <c r="C193" s="220"/>
      <c r="D193" s="220"/>
      <c r="E193" s="220"/>
      <c r="F193" s="220"/>
      <c r="G193" s="220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</row>
    <row r="194" ht="15.75" customHeight="1">
      <c r="A194" s="220"/>
      <c r="B194" s="220"/>
      <c r="C194" s="220"/>
      <c r="D194" s="220"/>
      <c r="E194" s="220"/>
      <c r="F194" s="220"/>
      <c r="G194" s="220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</row>
    <row r="195" ht="15.75" customHeight="1">
      <c r="A195" s="220"/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</row>
    <row r="196" ht="15.75" customHeight="1">
      <c r="A196" s="220"/>
      <c r="B196" s="220"/>
      <c r="C196" s="220"/>
      <c r="D196" s="220"/>
      <c r="E196" s="220"/>
      <c r="F196" s="220"/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</row>
    <row r="197" ht="15.75" customHeight="1">
      <c r="A197" s="220"/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</row>
    <row r="198" ht="15.75" customHeight="1">
      <c r="A198" s="220"/>
      <c r="B198" s="220"/>
      <c r="C198" s="220"/>
      <c r="D198" s="220"/>
      <c r="E198" s="220"/>
      <c r="F198" s="220"/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</row>
    <row r="199" ht="15.75" customHeight="1">
      <c r="A199" s="220"/>
      <c r="B199" s="220"/>
      <c r="C199" s="220"/>
      <c r="D199" s="220"/>
      <c r="E199" s="220"/>
      <c r="F199" s="220"/>
      <c r="G199" s="220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</row>
    <row r="200" ht="15.75" customHeight="1">
      <c r="A200" s="220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</row>
    <row r="201" ht="15.75" customHeight="1">
      <c r="A201" s="220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</row>
    <row r="202" ht="15.75" customHeight="1">
      <c r="A202" s="22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</row>
    <row r="203" ht="15.75" customHeight="1">
      <c r="A203" s="220"/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</row>
    <row r="204" ht="15.75" customHeight="1">
      <c r="A204" s="220"/>
      <c r="B204" s="220"/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</row>
    <row r="205" ht="15.75" customHeight="1">
      <c r="A205" s="220"/>
      <c r="B205" s="220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</row>
    <row r="206" ht="15.75" customHeight="1">
      <c r="A206" s="220"/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</row>
    <row r="207" ht="15.75" customHeight="1">
      <c r="A207" s="22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</row>
    <row r="208" ht="15.75" customHeight="1">
      <c r="A208" s="220"/>
      <c r="B208" s="220"/>
      <c r="C208" s="220"/>
      <c r="D208" s="220"/>
      <c r="E208" s="220"/>
      <c r="F208" s="220"/>
      <c r="G208" s="220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</row>
    <row r="209" ht="15.75" customHeight="1">
      <c r="A209" s="220"/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</row>
    <row r="210" ht="15.75" customHeight="1">
      <c r="A210" s="220"/>
      <c r="B210" s="220"/>
      <c r="C210" s="220"/>
      <c r="D210" s="220"/>
      <c r="E210" s="220"/>
      <c r="F210" s="220"/>
      <c r="G210" s="220"/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</row>
    <row r="211" ht="15.75" customHeight="1">
      <c r="A211" s="220"/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</row>
    <row r="212" ht="15.75" customHeight="1">
      <c r="A212" s="220"/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</row>
    <row r="213" ht="15.75" customHeight="1">
      <c r="A213" s="220"/>
      <c r="B213" s="220"/>
      <c r="C213" s="220"/>
      <c r="D213" s="220"/>
      <c r="E213" s="220"/>
      <c r="F213" s="220"/>
      <c r="G213" s="220"/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</row>
    <row r="214" ht="15.75" customHeight="1">
      <c r="A214" s="220"/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</row>
    <row r="215" ht="15.75" customHeight="1">
      <c r="A215" s="220"/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</row>
    <row r="216" ht="15.75" customHeight="1">
      <c r="A216" s="220"/>
      <c r="B216" s="220"/>
      <c r="C216" s="220"/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</row>
    <row r="217" ht="15.75" customHeight="1">
      <c r="A217" s="220"/>
      <c r="B217" s="220"/>
      <c r="C217" s="220"/>
      <c r="D217" s="220"/>
      <c r="E217" s="220"/>
      <c r="F217" s="220"/>
      <c r="G217" s="220"/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</row>
    <row r="218" ht="15.75" customHeight="1">
      <c r="A218" s="220"/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</row>
    <row r="219" ht="15.75" customHeight="1">
      <c r="A219" s="220"/>
      <c r="B219" s="220"/>
      <c r="C219" s="220"/>
      <c r="D219" s="220"/>
      <c r="E219" s="220"/>
      <c r="F219" s="220"/>
      <c r="G219" s="220"/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</row>
    <row r="220" ht="15.75" customHeight="1">
      <c r="A220" s="22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</row>
    <row r="221" ht="15.75" customHeight="1">
      <c r="A221" s="220"/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</row>
    <row r="222" ht="15.75" customHeight="1">
      <c r="A222" s="220"/>
      <c r="B222" s="220"/>
      <c r="C222" s="220"/>
      <c r="D222" s="220"/>
      <c r="E222" s="220"/>
      <c r="F222" s="220"/>
      <c r="G222" s="220"/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</row>
    <row r="223" ht="15.75" customHeight="1">
      <c r="A223" s="220"/>
      <c r="B223" s="220"/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</row>
    <row r="224" ht="15.75" customHeight="1">
      <c r="A224" s="220"/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</row>
    <row r="225" ht="15.75" customHeight="1">
      <c r="A225" s="220"/>
      <c r="B225" s="220"/>
      <c r="C225" s="220"/>
      <c r="D225" s="220"/>
      <c r="E225" s="220"/>
      <c r="F225" s="220"/>
      <c r="G225" s="220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</row>
    <row r="226" ht="15.75" customHeight="1">
      <c r="A226" s="220"/>
      <c r="B226" s="220"/>
      <c r="C226" s="220"/>
      <c r="D226" s="220"/>
      <c r="E226" s="220"/>
      <c r="F226" s="220"/>
      <c r="G226" s="220"/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</row>
    <row r="227" ht="15.75" customHeight="1">
      <c r="A227" s="220"/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</row>
    <row r="228" ht="15.75" customHeight="1">
      <c r="A228" s="220"/>
      <c r="B228" s="220"/>
      <c r="C228" s="220"/>
      <c r="D228" s="220"/>
      <c r="E228" s="220"/>
      <c r="F228" s="220"/>
      <c r="G228" s="220"/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</row>
    <row r="229" ht="15.75" customHeight="1">
      <c r="A229" s="220"/>
      <c r="B229" s="220"/>
      <c r="C229" s="220"/>
      <c r="D229" s="220"/>
      <c r="E229" s="220"/>
      <c r="F229" s="220"/>
      <c r="G229" s="220"/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</row>
    <row r="230" ht="15.75" customHeight="1">
      <c r="A230" s="220"/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</row>
    <row r="231" ht="15.75" customHeight="1">
      <c r="A231" s="220"/>
      <c r="B231" s="220"/>
      <c r="C231" s="220"/>
      <c r="D231" s="220"/>
      <c r="E231" s="220"/>
      <c r="F231" s="220"/>
      <c r="G231" s="220"/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</row>
    <row r="232" ht="15.75" customHeight="1">
      <c r="A232" s="220"/>
      <c r="B232" s="220"/>
      <c r="C232" s="220"/>
      <c r="D232" s="220"/>
      <c r="E232" s="220"/>
      <c r="F232" s="220"/>
      <c r="G232" s="220"/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</row>
    <row r="233" ht="15.75" customHeight="1">
      <c r="A233" s="220"/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</row>
    <row r="234" ht="15.75" customHeight="1">
      <c r="A234" s="220"/>
      <c r="B234" s="220"/>
      <c r="C234" s="220"/>
      <c r="D234" s="220"/>
      <c r="E234" s="220"/>
      <c r="F234" s="220"/>
      <c r="G234" s="220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</row>
    <row r="235" ht="15.75" customHeight="1">
      <c r="A235" s="220"/>
      <c r="B235" s="220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</row>
    <row r="236" ht="15.75" customHeight="1">
      <c r="A236" s="220"/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</row>
    <row r="237" ht="15.75" customHeight="1">
      <c r="A237" s="220"/>
      <c r="B237" s="220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</row>
    <row r="238" ht="15.75" customHeight="1">
      <c r="A238" s="22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</row>
    <row r="239" ht="15.75" customHeight="1">
      <c r="A239" s="220"/>
      <c r="B239" s="220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</row>
    <row r="240" ht="15.75" customHeight="1">
      <c r="A240" s="220"/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</row>
    <row r="241" ht="15.75" customHeight="1">
      <c r="A241" s="220"/>
      <c r="B241" s="220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</row>
    <row r="242" ht="15.75" customHeight="1">
      <c r="A242" s="22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</row>
    <row r="243" ht="15.75" customHeight="1">
      <c r="A243" s="220"/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</row>
    <row r="244" ht="15.75" customHeight="1">
      <c r="A244" s="220"/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</row>
    <row r="245" ht="15.75" customHeight="1">
      <c r="A245" s="220"/>
      <c r="B245" s="220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</row>
    <row r="246" ht="15.75" customHeight="1">
      <c r="A246" s="22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</row>
    <row r="247" ht="15.75" customHeight="1">
      <c r="A247" s="220"/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</row>
    <row r="248" ht="15.75" customHeight="1">
      <c r="A248" s="220"/>
      <c r="B248" s="220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</row>
    <row r="249" ht="15.75" customHeight="1">
      <c r="A249" s="220"/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</row>
    <row r="250" ht="15.75" customHeight="1">
      <c r="A250" s="22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</row>
    <row r="251" ht="15.75" customHeight="1">
      <c r="A251" s="220"/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</row>
    <row r="252" ht="15.75" customHeight="1">
      <c r="A252" s="220"/>
      <c r="B252" s="220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</row>
    <row r="253" ht="15.75" customHeight="1">
      <c r="A253" s="220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</row>
    <row r="254" ht="15.75" customHeight="1">
      <c r="A254" s="22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</row>
    <row r="255" ht="15.75" customHeight="1">
      <c r="A255" s="220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</row>
    <row r="256" ht="15.75" customHeight="1">
      <c r="A256" s="220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</row>
    <row r="257" ht="15.75" customHeight="1">
      <c r="A257" s="220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</row>
    <row r="258" ht="15.75" customHeight="1">
      <c r="A258" s="22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</row>
    <row r="259" ht="15.75" customHeight="1">
      <c r="A259" s="220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</row>
    <row r="260" ht="15.75" customHeight="1">
      <c r="A260" s="220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</row>
    <row r="261" ht="15.75" customHeight="1">
      <c r="A261" s="220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</row>
    <row r="262" ht="15.75" customHeight="1">
      <c r="A262" s="22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</row>
    <row r="263" ht="15.75" customHeight="1">
      <c r="A263" s="220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</row>
    <row r="264" ht="15.75" customHeight="1">
      <c r="A264" s="220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</row>
    <row r="265" ht="15.75" customHeight="1">
      <c r="A265" s="220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</row>
    <row r="266" ht="15.75" customHeight="1">
      <c r="A266" s="22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</row>
    <row r="267" ht="15.75" customHeight="1">
      <c r="A267" s="220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</row>
    <row r="268" ht="15.75" customHeight="1">
      <c r="A268" s="220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</row>
    <row r="269" ht="15.75" customHeight="1">
      <c r="A269" s="220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</row>
    <row r="270" ht="15.75" customHeight="1">
      <c r="A270" s="22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</row>
    <row r="271" ht="15.75" customHeight="1">
      <c r="A271" s="220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</row>
    <row r="272" ht="15.75" customHeight="1">
      <c r="A272" s="220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</row>
    <row r="273" ht="15.75" customHeight="1">
      <c r="A273" s="220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</row>
    <row r="274" ht="15.75" customHeight="1">
      <c r="A274" s="220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</row>
    <row r="275" ht="15.75" customHeight="1">
      <c r="A275" s="220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</row>
    <row r="276" ht="15.75" customHeight="1">
      <c r="A276" s="220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</row>
    <row r="277" ht="15.75" customHeight="1">
      <c r="A277" s="220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</row>
    <row r="278" ht="15.75" customHeight="1">
      <c r="A278" s="220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</row>
    <row r="279" ht="15.75" customHeight="1">
      <c r="A279" s="220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</row>
    <row r="280" ht="15.75" customHeight="1">
      <c r="A280" s="220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</row>
    <row r="281" ht="15.75" customHeight="1">
      <c r="A281" s="220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</row>
    <row r="282" ht="15.75" customHeight="1">
      <c r="A282" s="220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</row>
    <row r="283" ht="15.75" customHeight="1">
      <c r="A283" s="220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</row>
    <row r="284" ht="15.75" customHeight="1">
      <c r="A284" s="220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</row>
    <row r="285" ht="15.75" customHeight="1">
      <c r="A285" s="22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</row>
    <row r="286" ht="15.75" customHeight="1">
      <c r="A286" s="220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</row>
    <row r="287" ht="15.75" customHeight="1">
      <c r="A287" s="22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</row>
    <row r="288" ht="15.75" customHeight="1">
      <c r="A288" s="220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</row>
    <row r="289" ht="15.75" customHeight="1">
      <c r="A289" s="220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</row>
    <row r="290" ht="15.75" customHeight="1">
      <c r="A290" s="220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</row>
    <row r="291" ht="15.75" customHeight="1">
      <c r="A291" s="22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</row>
    <row r="292" ht="15.75" customHeight="1">
      <c r="A292" s="220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</row>
    <row r="293" ht="15.75" customHeight="1">
      <c r="A293" s="220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</row>
    <row r="294" ht="15.75" customHeight="1">
      <c r="A294" s="220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</row>
    <row r="295" ht="15.75" customHeight="1">
      <c r="A295" s="220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</row>
    <row r="296" ht="15.75" customHeight="1">
      <c r="A296" s="220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</row>
    <row r="297" ht="15.75" customHeight="1">
      <c r="A297" s="22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</row>
    <row r="298" ht="15.75" customHeight="1">
      <c r="A298" s="220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</row>
    <row r="299" ht="15.75" customHeight="1">
      <c r="A299" s="220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</row>
    <row r="300" ht="15.75" customHeight="1">
      <c r="A300" s="220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</row>
    <row r="301" ht="15.75" customHeight="1">
      <c r="A301" s="220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</row>
    <row r="302" ht="15.75" customHeight="1">
      <c r="A302" s="220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</row>
    <row r="303" ht="15.75" customHeight="1">
      <c r="A303" s="220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</row>
    <row r="304" ht="15.75" customHeight="1">
      <c r="A304" s="220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</row>
    <row r="305" ht="15.75" customHeight="1">
      <c r="A305" s="220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</row>
    <row r="306" ht="15.75" customHeight="1">
      <c r="A306" s="220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</row>
    <row r="307" ht="15.75" customHeight="1">
      <c r="A307" s="220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</row>
    <row r="308" ht="15.75" customHeight="1">
      <c r="A308" s="220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</row>
    <row r="309" ht="15.75" customHeight="1">
      <c r="A309" s="220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</row>
    <row r="310" ht="15.75" customHeight="1">
      <c r="A310" s="220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</row>
    <row r="311" ht="15.75" customHeight="1">
      <c r="A311" s="220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</row>
    <row r="312" ht="15.75" customHeight="1">
      <c r="A312" s="220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</row>
    <row r="313" ht="15.75" customHeight="1">
      <c r="A313" s="220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</row>
    <row r="314" ht="15.75" customHeight="1">
      <c r="A314" s="220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</row>
    <row r="315" ht="15.75" customHeight="1">
      <c r="A315" s="220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</row>
    <row r="316" ht="15.75" customHeight="1">
      <c r="A316" s="220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</row>
    <row r="317" ht="15.75" customHeight="1">
      <c r="A317" s="220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</row>
    <row r="318" ht="15.75" customHeight="1">
      <c r="A318" s="220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</row>
    <row r="319" ht="15.75" customHeight="1">
      <c r="A319" s="220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</row>
    <row r="320" ht="15.75" customHeight="1">
      <c r="A320" s="220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</row>
    <row r="321" ht="15.75" customHeight="1">
      <c r="A321" s="220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</row>
    <row r="322" ht="15.75" customHeight="1">
      <c r="A322" s="220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</row>
    <row r="323" ht="15.75" customHeight="1">
      <c r="A323" s="220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</row>
    <row r="324" ht="15.75" customHeight="1">
      <c r="A324" s="220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</row>
    <row r="325" ht="15.75" customHeight="1">
      <c r="A325" s="220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</row>
    <row r="326" ht="15.75" customHeight="1">
      <c r="A326" s="220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</row>
    <row r="327" ht="15.75" customHeight="1">
      <c r="A327" s="220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</row>
    <row r="328" ht="15.75" customHeight="1">
      <c r="A328" s="220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</row>
    <row r="329" ht="15.75" customHeight="1">
      <c r="A329" s="220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</row>
    <row r="330" ht="15.75" customHeight="1">
      <c r="A330" s="220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</row>
    <row r="331" ht="15.75" customHeight="1">
      <c r="A331" s="220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</row>
    <row r="332" ht="15.75" customHeight="1">
      <c r="A332" s="220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</row>
    <row r="333" ht="15.75" customHeight="1">
      <c r="A333" s="220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</row>
    <row r="334" ht="15.75" customHeight="1">
      <c r="A334" s="220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</row>
    <row r="335" ht="15.75" customHeight="1">
      <c r="A335" s="220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</row>
    <row r="336" ht="15.75" customHeight="1">
      <c r="A336" s="220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</row>
    <row r="337" ht="15.75" customHeight="1">
      <c r="A337" s="220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</row>
    <row r="338" ht="15.75" customHeight="1">
      <c r="A338" s="220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</row>
    <row r="339" ht="15.75" customHeight="1">
      <c r="A339" s="220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</row>
    <row r="340" ht="15.75" customHeight="1">
      <c r="A340" s="220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</row>
    <row r="341" ht="15.75" customHeight="1">
      <c r="A341" s="220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</row>
    <row r="342" ht="15.75" customHeight="1">
      <c r="A342" s="220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</row>
    <row r="343" ht="15.75" customHeight="1">
      <c r="A343" s="220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</row>
    <row r="344" ht="15.75" customHeight="1">
      <c r="A344" s="220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</row>
    <row r="345" ht="15.75" customHeight="1">
      <c r="A345" s="220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</row>
    <row r="346" ht="15.75" customHeight="1">
      <c r="A346" s="220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</row>
    <row r="347" ht="15.75" customHeight="1">
      <c r="A347" s="220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</row>
    <row r="348" ht="15.75" customHeight="1">
      <c r="A348" s="220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</row>
    <row r="349" ht="15.75" customHeight="1">
      <c r="A349" s="220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</row>
    <row r="350" ht="15.75" customHeight="1">
      <c r="A350" s="220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</row>
    <row r="351" ht="15.75" customHeight="1">
      <c r="A351" s="220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</row>
    <row r="352" ht="15.75" customHeight="1">
      <c r="A352" s="220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</row>
    <row r="353" ht="15.75" customHeight="1">
      <c r="A353" s="220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</row>
    <row r="354" ht="15.75" customHeight="1">
      <c r="A354" s="220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</row>
    <row r="355" ht="15.75" customHeight="1">
      <c r="A355" s="220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</row>
    <row r="356" ht="15.75" customHeight="1">
      <c r="A356" s="220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</row>
    <row r="357" ht="15.75" customHeight="1">
      <c r="A357" s="220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</row>
    <row r="358" ht="15.75" customHeight="1">
      <c r="A358" s="220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</row>
    <row r="359" ht="15.75" customHeight="1">
      <c r="A359" s="220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</row>
    <row r="360" ht="15.75" customHeight="1">
      <c r="A360" s="220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</row>
    <row r="361" ht="15.75" customHeight="1">
      <c r="A361" s="220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</row>
    <row r="362" ht="15.75" customHeight="1">
      <c r="A362" s="220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</row>
    <row r="363" ht="15.75" customHeight="1">
      <c r="A363" s="220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</row>
    <row r="364" ht="15.75" customHeight="1">
      <c r="A364" s="220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</row>
    <row r="365" ht="15.75" customHeight="1">
      <c r="A365" s="220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</row>
    <row r="366" ht="15.75" customHeight="1">
      <c r="A366" s="220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</row>
    <row r="367" ht="15.75" customHeight="1">
      <c r="A367" s="220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</row>
    <row r="368" ht="15.75" customHeight="1">
      <c r="A368" s="220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</row>
    <row r="369" ht="15.75" customHeight="1">
      <c r="A369" s="220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</row>
    <row r="370" ht="15.75" customHeight="1">
      <c r="A370" s="220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</row>
    <row r="371" ht="15.75" customHeight="1">
      <c r="A371" s="220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</row>
    <row r="372" ht="15.75" customHeight="1">
      <c r="A372" s="220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</row>
    <row r="373" ht="15.75" customHeight="1">
      <c r="A373" s="220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</row>
    <row r="374" ht="15.75" customHeight="1">
      <c r="A374" s="220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</row>
    <row r="375" ht="15.75" customHeight="1">
      <c r="A375" s="220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</row>
    <row r="376" ht="15.75" customHeight="1">
      <c r="A376" s="220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</row>
    <row r="377" ht="15.75" customHeight="1">
      <c r="A377" s="220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</row>
    <row r="378" ht="15.75" customHeight="1">
      <c r="A378" s="220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</row>
    <row r="379" ht="15.75" customHeight="1">
      <c r="A379" s="220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</row>
    <row r="380" ht="15.75" customHeight="1">
      <c r="A380" s="220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</row>
    <row r="381" ht="15.75" customHeight="1">
      <c r="A381" s="220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</row>
    <row r="382" ht="15.75" customHeight="1">
      <c r="A382" s="220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</row>
    <row r="383" ht="15.75" customHeight="1">
      <c r="A383" s="220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</row>
    <row r="384" ht="15.75" customHeight="1">
      <c r="A384" s="220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</row>
    <row r="385" ht="15.75" customHeight="1">
      <c r="A385" s="220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</row>
    <row r="386" ht="15.75" customHeight="1">
      <c r="A386" s="220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</row>
    <row r="387" ht="15.75" customHeight="1">
      <c r="A387" s="220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</row>
    <row r="388" ht="15.75" customHeight="1">
      <c r="A388" s="220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</row>
    <row r="389" ht="15.75" customHeight="1">
      <c r="A389" s="220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</row>
    <row r="390" ht="15.75" customHeight="1">
      <c r="A390" s="220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</row>
    <row r="391" ht="15.75" customHeight="1">
      <c r="A391" s="220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</row>
    <row r="392" ht="15.75" customHeight="1">
      <c r="A392" s="220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</row>
    <row r="393" ht="15.75" customHeight="1">
      <c r="A393" s="220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</row>
    <row r="394" ht="15.75" customHeight="1">
      <c r="A394" s="220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</row>
    <row r="395" ht="15.75" customHeight="1">
      <c r="A395" s="220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</row>
    <row r="396" ht="15.75" customHeight="1">
      <c r="A396" s="220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</row>
    <row r="397" ht="15.75" customHeight="1">
      <c r="A397" s="220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</row>
    <row r="398" ht="15.75" customHeight="1">
      <c r="A398" s="220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</row>
    <row r="399" ht="15.75" customHeight="1">
      <c r="A399" s="220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</row>
    <row r="400" ht="15.75" customHeight="1">
      <c r="A400" s="220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</row>
    <row r="401" ht="15.75" customHeight="1">
      <c r="A401" s="220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</row>
    <row r="402" ht="15.75" customHeight="1">
      <c r="A402" s="220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</row>
    <row r="403" ht="15.75" customHeight="1">
      <c r="A403" s="220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</row>
    <row r="404" ht="15.75" customHeight="1">
      <c r="A404" s="220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</row>
    <row r="405" ht="15.75" customHeight="1">
      <c r="A405" s="220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</row>
    <row r="406" ht="15.75" customHeight="1">
      <c r="A406" s="220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</row>
    <row r="407" ht="15.75" customHeight="1">
      <c r="A407" s="220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</row>
    <row r="408" ht="15.75" customHeight="1">
      <c r="A408" s="220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</row>
    <row r="409" ht="15.75" customHeight="1">
      <c r="A409" s="220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</row>
    <row r="410" ht="15.75" customHeight="1">
      <c r="A410" s="220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</row>
    <row r="411" ht="15.75" customHeight="1">
      <c r="A411" s="220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</row>
    <row r="412" ht="15.75" customHeight="1">
      <c r="A412" s="220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</row>
    <row r="413" ht="15.75" customHeight="1">
      <c r="A413" s="220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</row>
    <row r="414" ht="15.75" customHeight="1">
      <c r="A414" s="220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</row>
    <row r="415" ht="15.75" customHeight="1">
      <c r="A415" s="220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</row>
    <row r="416" ht="15.75" customHeight="1">
      <c r="A416" s="220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</row>
    <row r="417" ht="15.75" customHeight="1">
      <c r="A417" s="220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</row>
    <row r="418" ht="15.75" customHeight="1">
      <c r="A418" s="220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</row>
    <row r="419" ht="15.75" customHeight="1">
      <c r="A419" s="220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</row>
    <row r="420" ht="15.75" customHeight="1">
      <c r="A420" s="220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</row>
    <row r="421" ht="15.75" customHeight="1">
      <c r="A421" s="220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</row>
    <row r="422" ht="15.75" customHeight="1">
      <c r="A422" s="220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</row>
    <row r="423" ht="15.75" customHeight="1">
      <c r="A423" s="220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</row>
    <row r="424" ht="15.75" customHeight="1">
      <c r="A424" s="220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</row>
    <row r="425" ht="15.75" customHeight="1">
      <c r="A425" s="220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</row>
    <row r="426" ht="15.75" customHeight="1">
      <c r="A426" s="220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</row>
    <row r="427" ht="15.75" customHeight="1">
      <c r="A427" s="220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</row>
    <row r="428" ht="15.75" customHeight="1">
      <c r="A428" s="220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</row>
    <row r="429" ht="15.75" customHeight="1">
      <c r="A429" s="220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</row>
    <row r="430" ht="15.75" customHeight="1">
      <c r="A430" s="220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</row>
    <row r="431" ht="15.75" customHeight="1">
      <c r="A431" s="220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</row>
    <row r="432" ht="15.75" customHeight="1">
      <c r="A432" s="220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</row>
    <row r="433" ht="15.75" customHeight="1">
      <c r="A433" s="220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</row>
    <row r="434" ht="15.75" customHeight="1">
      <c r="A434" s="220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</row>
    <row r="435" ht="15.75" customHeight="1">
      <c r="A435" s="220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</row>
    <row r="436" ht="15.75" customHeight="1">
      <c r="A436" s="220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</row>
    <row r="437" ht="15.75" customHeight="1">
      <c r="A437" s="220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</row>
    <row r="438" ht="15.75" customHeight="1">
      <c r="A438" s="220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</row>
    <row r="439" ht="15.75" customHeight="1">
      <c r="A439" s="220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</row>
    <row r="440" ht="15.75" customHeight="1">
      <c r="A440" s="220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</row>
    <row r="441" ht="15.75" customHeight="1">
      <c r="A441" s="220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</row>
    <row r="442" ht="15.75" customHeight="1">
      <c r="A442" s="220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</row>
    <row r="443" ht="15.75" customHeight="1">
      <c r="A443" s="220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</row>
    <row r="444" ht="15.75" customHeight="1">
      <c r="A444" s="220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</row>
    <row r="445" ht="15.75" customHeight="1">
      <c r="A445" s="220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</row>
    <row r="446" ht="15.75" customHeight="1">
      <c r="A446" s="220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</row>
    <row r="447" ht="15.75" customHeight="1">
      <c r="A447" s="220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</row>
    <row r="448" ht="15.75" customHeight="1">
      <c r="A448" s="220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</row>
    <row r="449" ht="15.75" customHeight="1">
      <c r="A449" s="220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</row>
    <row r="450" ht="15.75" customHeight="1">
      <c r="A450" s="220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</row>
    <row r="451" ht="15.75" customHeight="1">
      <c r="A451" s="220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</row>
    <row r="452" ht="15.75" customHeight="1">
      <c r="A452" s="220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</row>
    <row r="453" ht="15.75" customHeight="1">
      <c r="A453" s="220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</row>
    <row r="454" ht="15.75" customHeight="1">
      <c r="A454" s="220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</row>
    <row r="455" ht="15.75" customHeight="1">
      <c r="A455" s="220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</row>
    <row r="456" ht="15.75" customHeight="1">
      <c r="A456" s="220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</row>
    <row r="457" ht="15.75" customHeight="1">
      <c r="A457" s="220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</row>
    <row r="458" ht="15.75" customHeight="1">
      <c r="A458" s="220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</row>
    <row r="459" ht="15.75" customHeight="1">
      <c r="A459" s="220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</row>
    <row r="460" ht="15.75" customHeight="1">
      <c r="A460" s="220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</row>
    <row r="461" ht="15.75" customHeight="1">
      <c r="A461" s="220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</row>
    <row r="462" ht="15.75" customHeight="1">
      <c r="A462" s="220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</row>
    <row r="463" ht="15.75" customHeight="1">
      <c r="A463" s="220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</row>
    <row r="464" ht="15.75" customHeight="1">
      <c r="A464" s="220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</row>
    <row r="465" ht="15.75" customHeight="1">
      <c r="A465" s="220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</row>
    <row r="466" ht="15.75" customHeight="1">
      <c r="A466" s="220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</row>
    <row r="467" ht="15.75" customHeight="1">
      <c r="A467" s="220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</row>
    <row r="468" ht="15.75" customHeight="1">
      <c r="A468" s="220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</row>
    <row r="469" ht="15.75" customHeight="1">
      <c r="A469" s="220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</row>
    <row r="470" ht="15.75" customHeight="1">
      <c r="A470" s="220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</row>
    <row r="471" ht="15.75" customHeight="1">
      <c r="A471" s="220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</row>
    <row r="472" ht="15.75" customHeight="1">
      <c r="A472" s="220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</row>
    <row r="473" ht="15.75" customHeight="1">
      <c r="A473" s="220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</row>
    <row r="474" ht="15.75" customHeight="1">
      <c r="A474" s="220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</row>
    <row r="475" ht="15.75" customHeight="1">
      <c r="A475" s="220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</row>
    <row r="476" ht="15.75" customHeight="1">
      <c r="A476" s="220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</row>
    <row r="477" ht="15.75" customHeight="1">
      <c r="A477" s="220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</row>
    <row r="478" ht="15.75" customHeight="1">
      <c r="A478" s="220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</row>
    <row r="479" ht="15.75" customHeight="1">
      <c r="A479" s="220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</row>
    <row r="480" ht="15.75" customHeight="1">
      <c r="A480" s="220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</row>
    <row r="481" ht="15.75" customHeight="1">
      <c r="A481" s="220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</row>
    <row r="482" ht="15.75" customHeight="1">
      <c r="A482" s="220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</row>
    <row r="483" ht="15.75" customHeight="1">
      <c r="A483" s="220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</row>
    <row r="484" ht="15.75" customHeight="1">
      <c r="A484" s="220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</row>
    <row r="485" ht="15.75" customHeight="1">
      <c r="A485" s="220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</row>
    <row r="486" ht="15.75" customHeight="1">
      <c r="A486" s="220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</row>
    <row r="487" ht="15.75" customHeight="1">
      <c r="A487" s="220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</row>
    <row r="488" ht="15.75" customHeight="1">
      <c r="A488" s="220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</row>
    <row r="489" ht="15.75" customHeight="1">
      <c r="A489" s="220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</row>
    <row r="490" ht="15.75" customHeight="1">
      <c r="A490" s="220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</row>
    <row r="491" ht="15.75" customHeight="1">
      <c r="A491" s="220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</row>
    <row r="492" ht="15.75" customHeight="1">
      <c r="A492" s="220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</row>
    <row r="493" ht="15.75" customHeight="1">
      <c r="A493" s="220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</row>
    <row r="494" ht="15.75" customHeight="1">
      <c r="A494" s="220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</row>
    <row r="495" ht="15.75" customHeight="1">
      <c r="A495" s="220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</row>
    <row r="496" ht="15.75" customHeight="1">
      <c r="A496" s="220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</row>
    <row r="497" ht="15.75" customHeight="1">
      <c r="A497" s="220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</row>
    <row r="498" ht="15.75" customHeight="1">
      <c r="A498" s="220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</row>
    <row r="499" ht="15.75" customHeight="1">
      <c r="A499" s="220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</row>
    <row r="500" ht="15.75" customHeight="1">
      <c r="A500" s="220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</row>
    <row r="501" ht="15.75" customHeight="1">
      <c r="A501" s="220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</row>
    <row r="502" ht="15.75" customHeight="1">
      <c r="A502" s="220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</row>
    <row r="503" ht="15.75" customHeight="1">
      <c r="A503" s="220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</row>
    <row r="504" ht="15.75" customHeight="1">
      <c r="A504" s="220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</row>
    <row r="505" ht="15.75" customHeight="1">
      <c r="A505" s="220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</row>
    <row r="506" ht="15.75" customHeight="1">
      <c r="A506" s="220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</row>
    <row r="507" ht="15.75" customHeight="1">
      <c r="A507" s="220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</row>
    <row r="508" ht="15.75" customHeight="1">
      <c r="A508" s="220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</row>
    <row r="509" ht="15.75" customHeight="1">
      <c r="A509" s="220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</row>
    <row r="510" ht="15.75" customHeight="1">
      <c r="A510" s="220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</row>
    <row r="511" ht="15.75" customHeight="1">
      <c r="A511" s="220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</row>
    <row r="512" ht="15.75" customHeight="1">
      <c r="A512" s="220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</row>
    <row r="513" ht="15.75" customHeight="1">
      <c r="A513" s="220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</row>
    <row r="514" ht="15.75" customHeight="1">
      <c r="A514" s="220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</row>
    <row r="515" ht="15.75" customHeight="1">
      <c r="A515" s="220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</row>
    <row r="516" ht="15.75" customHeight="1">
      <c r="A516" s="220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</row>
    <row r="517" ht="15.75" customHeight="1">
      <c r="A517" s="220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</row>
    <row r="518" ht="15.75" customHeight="1">
      <c r="A518" s="220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</row>
    <row r="519" ht="15.75" customHeight="1">
      <c r="A519" s="220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</row>
    <row r="520" ht="15.75" customHeight="1">
      <c r="A520" s="220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</row>
    <row r="521" ht="15.75" customHeight="1">
      <c r="A521" s="220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</row>
    <row r="522" ht="15.75" customHeight="1">
      <c r="A522" s="220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</row>
    <row r="523" ht="15.75" customHeight="1">
      <c r="A523" s="220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</row>
    <row r="524" ht="15.75" customHeight="1">
      <c r="A524" s="220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</row>
    <row r="525" ht="15.75" customHeight="1">
      <c r="A525" s="220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</row>
    <row r="526" ht="15.75" customHeight="1">
      <c r="A526" s="220"/>
      <c r="B526" s="220"/>
      <c r="C526" s="220"/>
      <c r="D526" s="220"/>
      <c r="E526" s="220"/>
      <c r="F526" s="22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</row>
    <row r="527" ht="15.75" customHeight="1">
      <c r="A527" s="220"/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</row>
    <row r="528" ht="15.75" customHeight="1">
      <c r="A528" s="220"/>
      <c r="B528" s="220"/>
      <c r="C528" s="220"/>
      <c r="D528" s="220"/>
      <c r="E528" s="220"/>
      <c r="F528" s="22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</row>
    <row r="529" ht="15.75" customHeight="1">
      <c r="A529" s="220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</row>
    <row r="530" ht="15.75" customHeight="1">
      <c r="A530" s="220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</row>
    <row r="531" ht="15.75" customHeight="1">
      <c r="A531" s="220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</row>
    <row r="532" ht="15.75" customHeight="1">
      <c r="A532" s="220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</row>
    <row r="533" ht="15.75" customHeight="1">
      <c r="A533" s="220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</row>
    <row r="534" ht="15.75" customHeight="1">
      <c r="A534" s="220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</row>
    <row r="535" ht="15.75" customHeight="1">
      <c r="A535" s="220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</row>
    <row r="536" ht="15.75" customHeight="1">
      <c r="A536" s="220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</row>
    <row r="537" ht="15.75" customHeight="1">
      <c r="A537" s="220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</row>
    <row r="538" ht="15.75" customHeight="1">
      <c r="A538" s="220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</row>
    <row r="539" ht="15.75" customHeight="1">
      <c r="A539" s="220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</row>
    <row r="540" ht="15.75" customHeight="1">
      <c r="A540" s="220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</row>
    <row r="541" ht="15.75" customHeight="1">
      <c r="A541" s="220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</row>
    <row r="542" ht="15.75" customHeight="1">
      <c r="A542" s="220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</row>
    <row r="543" ht="15.75" customHeight="1">
      <c r="A543" s="220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</row>
    <row r="544" ht="15.75" customHeight="1">
      <c r="A544" s="220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</row>
    <row r="545" ht="15.75" customHeight="1">
      <c r="A545" s="220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</row>
    <row r="546" ht="15.75" customHeight="1">
      <c r="A546" s="220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</row>
    <row r="547" ht="15.75" customHeight="1">
      <c r="A547" s="220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</row>
    <row r="548" ht="15.75" customHeight="1">
      <c r="A548" s="220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</row>
    <row r="549" ht="15.75" customHeight="1">
      <c r="A549" s="220"/>
      <c r="B549" s="220"/>
      <c r="C549" s="220"/>
      <c r="D549" s="220"/>
      <c r="E549" s="220"/>
      <c r="F549" s="22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</row>
    <row r="550" ht="15.75" customHeight="1">
      <c r="A550" s="220"/>
      <c r="B550" s="220"/>
      <c r="C550" s="220"/>
      <c r="D550" s="220"/>
      <c r="E550" s="220"/>
      <c r="F550" s="22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</row>
    <row r="551" ht="15.75" customHeight="1">
      <c r="A551" s="220"/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</row>
    <row r="552" ht="15.75" customHeight="1">
      <c r="A552" s="220"/>
      <c r="B552" s="220"/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</row>
    <row r="553" ht="15.75" customHeight="1">
      <c r="A553" s="220"/>
      <c r="B553" s="220"/>
      <c r="C553" s="220"/>
      <c r="D553" s="220"/>
      <c r="E553" s="220"/>
      <c r="F553" s="22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</row>
    <row r="554" ht="15.75" customHeight="1">
      <c r="A554" s="220"/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</row>
    <row r="555" ht="15.75" customHeight="1">
      <c r="A555" s="220"/>
      <c r="B555" s="220"/>
      <c r="C555" s="220"/>
      <c r="D555" s="220"/>
      <c r="E555" s="220"/>
      <c r="F555" s="22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</row>
    <row r="556" ht="15.75" customHeight="1">
      <c r="A556" s="220"/>
      <c r="B556" s="220"/>
      <c r="C556" s="220"/>
      <c r="D556" s="220"/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</row>
    <row r="557" ht="15.75" customHeight="1">
      <c r="A557" s="220"/>
      <c r="B557" s="220"/>
      <c r="C557" s="220"/>
      <c r="D557" s="220"/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</row>
    <row r="558" ht="15.75" customHeight="1">
      <c r="A558" s="220"/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</row>
    <row r="559" ht="15.75" customHeight="1">
      <c r="A559" s="220"/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</row>
    <row r="560" ht="15.75" customHeight="1">
      <c r="A560" s="220"/>
      <c r="B560" s="220"/>
      <c r="C560" s="220"/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</row>
    <row r="561" ht="15.75" customHeight="1">
      <c r="A561" s="220"/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</row>
    <row r="562" ht="15.75" customHeight="1">
      <c r="A562" s="220"/>
      <c r="B562" s="220"/>
      <c r="C562" s="220"/>
      <c r="D562" s="220"/>
      <c r="E562" s="220"/>
      <c r="F562" s="22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</row>
    <row r="563" ht="15.75" customHeight="1">
      <c r="A563" s="220"/>
      <c r="B563" s="220"/>
      <c r="C563" s="220"/>
      <c r="D563" s="220"/>
      <c r="E563" s="220"/>
      <c r="F563" s="22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</row>
    <row r="564" ht="15.75" customHeight="1">
      <c r="A564" s="220"/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</row>
    <row r="565" ht="15.75" customHeight="1">
      <c r="A565" s="220"/>
      <c r="B565" s="220"/>
      <c r="C565" s="220"/>
      <c r="D565" s="220"/>
      <c r="E565" s="220"/>
      <c r="F565" s="22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</row>
    <row r="566" ht="15.75" customHeight="1">
      <c r="A566" s="220"/>
      <c r="B566" s="220"/>
      <c r="C566" s="220"/>
      <c r="D566" s="220"/>
      <c r="E566" s="220"/>
      <c r="F566" s="22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</row>
    <row r="567" ht="15.75" customHeight="1">
      <c r="A567" s="220"/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</row>
    <row r="568" ht="15.75" customHeight="1">
      <c r="A568" s="220"/>
      <c r="B568" s="220"/>
      <c r="C568" s="220"/>
      <c r="D568" s="220"/>
      <c r="E568" s="220"/>
      <c r="F568" s="22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</row>
    <row r="569" ht="15.75" customHeight="1">
      <c r="A569" s="220"/>
      <c r="B569" s="220"/>
      <c r="C569" s="220"/>
      <c r="D569" s="220"/>
      <c r="E569" s="220"/>
      <c r="F569" s="22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</row>
    <row r="570" ht="15.75" customHeight="1">
      <c r="A570" s="220"/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</row>
    <row r="571" ht="15.75" customHeight="1">
      <c r="A571" s="220"/>
      <c r="B571" s="220"/>
      <c r="C571" s="220"/>
      <c r="D571" s="220"/>
      <c r="E571" s="220"/>
      <c r="F571" s="22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</row>
    <row r="572" ht="15.75" customHeight="1">
      <c r="A572" s="220"/>
      <c r="B572" s="220"/>
      <c r="C572" s="220"/>
      <c r="D572" s="220"/>
      <c r="E572" s="220"/>
      <c r="F572" s="22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</row>
    <row r="573" ht="15.75" customHeight="1">
      <c r="A573" s="220"/>
      <c r="B573" s="220"/>
      <c r="C573" s="220"/>
      <c r="D573" s="220"/>
      <c r="E573" s="220"/>
      <c r="F573" s="22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</row>
    <row r="574" ht="15.75" customHeight="1">
      <c r="A574" s="220"/>
      <c r="B574" s="220"/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</row>
    <row r="575" ht="15.75" customHeight="1">
      <c r="A575" s="220"/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</row>
    <row r="576" ht="15.75" customHeight="1">
      <c r="A576" s="220"/>
      <c r="B576" s="220"/>
      <c r="C576" s="220"/>
      <c r="D576" s="220"/>
      <c r="E576" s="220"/>
      <c r="F576" s="22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</row>
    <row r="577" ht="15.75" customHeight="1">
      <c r="A577" s="220"/>
      <c r="B577" s="220"/>
      <c r="C577" s="220"/>
      <c r="D577" s="220"/>
      <c r="E577" s="220"/>
      <c r="F577" s="22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</row>
    <row r="578" ht="15.75" customHeight="1">
      <c r="A578" s="220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</row>
    <row r="579" ht="15.75" customHeight="1">
      <c r="A579" s="220"/>
      <c r="B579" s="220"/>
      <c r="C579" s="220"/>
      <c r="D579" s="220"/>
      <c r="E579" s="220"/>
      <c r="F579" s="22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</row>
    <row r="580" ht="15.75" customHeight="1">
      <c r="A580" s="220"/>
      <c r="B580" s="220"/>
      <c r="C580" s="220"/>
      <c r="D580" s="220"/>
      <c r="E580" s="220"/>
      <c r="F580" s="22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</row>
    <row r="581" ht="15.75" customHeight="1">
      <c r="A581" s="220"/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</row>
    <row r="582" ht="15.75" customHeight="1">
      <c r="A582" s="220"/>
      <c r="B582" s="220"/>
      <c r="C582" s="220"/>
      <c r="D582" s="220"/>
      <c r="E582" s="220"/>
      <c r="F582" s="22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</row>
    <row r="583" ht="15.75" customHeight="1">
      <c r="A583" s="220"/>
      <c r="B583" s="220"/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</row>
    <row r="584" ht="15.75" customHeight="1">
      <c r="A584" s="220"/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</row>
    <row r="585" ht="15.75" customHeight="1">
      <c r="A585" s="220"/>
      <c r="B585" s="220"/>
      <c r="C585" s="220"/>
      <c r="D585" s="220"/>
      <c r="E585" s="220"/>
      <c r="F585" s="22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</row>
    <row r="586" ht="15.75" customHeight="1">
      <c r="A586" s="220"/>
      <c r="B586" s="220"/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</row>
    <row r="587" ht="15.75" customHeight="1">
      <c r="A587" s="220"/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</row>
    <row r="588" ht="15.75" customHeight="1">
      <c r="A588" s="220"/>
      <c r="B588" s="220"/>
      <c r="C588" s="220"/>
      <c r="D588" s="220"/>
      <c r="E588" s="220"/>
      <c r="F588" s="22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</row>
    <row r="589" ht="15.75" customHeight="1">
      <c r="A589" s="220"/>
      <c r="B589" s="220"/>
      <c r="C589" s="220"/>
      <c r="D589" s="220"/>
      <c r="E589" s="220"/>
      <c r="F589" s="22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</row>
    <row r="590" ht="15.75" customHeight="1">
      <c r="A590" s="220"/>
      <c r="B590" s="220"/>
      <c r="C590" s="220"/>
      <c r="D590" s="220"/>
      <c r="E590" s="220"/>
      <c r="F590" s="22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</row>
    <row r="591" ht="15.75" customHeight="1">
      <c r="A591" s="220"/>
      <c r="B591" s="220"/>
      <c r="C591" s="220"/>
      <c r="D591" s="220"/>
      <c r="E591" s="220"/>
      <c r="F591" s="22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</row>
    <row r="592" ht="15.75" customHeight="1">
      <c r="A592" s="220"/>
      <c r="B592" s="220"/>
      <c r="C592" s="220"/>
      <c r="D592" s="220"/>
      <c r="E592" s="220"/>
      <c r="F592" s="22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</row>
    <row r="593" ht="15.75" customHeight="1">
      <c r="A593" s="220"/>
      <c r="B593" s="220"/>
      <c r="C593" s="220"/>
      <c r="D593" s="220"/>
      <c r="E593" s="220"/>
      <c r="F593" s="22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</row>
    <row r="594" ht="15.75" customHeight="1">
      <c r="A594" s="220"/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</row>
    <row r="595" ht="15.75" customHeight="1">
      <c r="A595" s="220"/>
      <c r="B595" s="220"/>
      <c r="C595" s="220"/>
      <c r="D595" s="220"/>
      <c r="E595" s="220"/>
      <c r="F595" s="22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</row>
    <row r="596" ht="15.75" customHeight="1">
      <c r="A596" s="220"/>
      <c r="B596" s="220"/>
      <c r="C596" s="220"/>
      <c r="D596" s="220"/>
      <c r="E596" s="220"/>
      <c r="F596" s="22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</row>
    <row r="597" ht="15.75" customHeight="1">
      <c r="A597" s="220"/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</row>
    <row r="598" ht="15.75" customHeight="1">
      <c r="A598" s="220"/>
      <c r="B598" s="220"/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</row>
    <row r="599" ht="15.75" customHeight="1">
      <c r="A599" s="220"/>
      <c r="B599" s="220"/>
      <c r="C599" s="220"/>
      <c r="D599" s="220"/>
      <c r="E599" s="220"/>
      <c r="F599" s="22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</row>
    <row r="600" ht="15.75" customHeight="1">
      <c r="A600" s="220"/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</row>
    <row r="601" ht="15.75" customHeight="1">
      <c r="A601" s="220"/>
      <c r="B601" s="220"/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</row>
    <row r="602" ht="15.75" customHeight="1">
      <c r="A602" s="220"/>
      <c r="B602" s="220"/>
      <c r="C602" s="220"/>
      <c r="D602" s="220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</row>
    <row r="603" ht="15.75" customHeight="1">
      <c r="A603" s="220"/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</row>
    <row r="604" ht="15.75" customHeight="1">
      <c r="A604" s="220"/>
      <c r="B604" s="220"/>
      <c r="C604" s="220"/>
      <c r="D604" s="220"/>
      <c r="E604" s="220"/>
      <c r="F604" s="22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</row>
    <row r="605" ht="15.75" customHeight="1">
      <c r="A605" s="220"/>
      <c r="B605" s="220"/>
      <c r="C605" s="220"/>
      <c r="D605" s="220"/>
      <c r="E605" s="220"/>
      <c r="F605" s="22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</row>
    <row r="606" ht="15.75" customHeight="1">
      <c r="A606" s="220"/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</row>
    <row r="607" ht="15.75" customHeight="1">
      <c r="A607" s="220"/>
      <c r="B607" s="220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</row>
    <row r="608" ht="15.75" customHeight="1">
      <c r="A608" s="220"/>
      <c r="B608" s="220"/>
      <c r="C608" s="220"/>
      <c r="D608" s="220"/>
      <c r="E608" s="220"/>
      <c r="F608" s="22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</row>
    <row r="609" ht="15.75" customHeight="1">
      <c r="A609" s="220"/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</row>
    <row r="610" ht="15.75" customHeight="1">
      <c r="A610" s="220"/>
      <c r="B610" s="220"/>
      <c r="C610" s="220"/>
      <c r="D610" s="220"/>
      <c r="E610" s="220"/>
      <c r="F610" s="22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</row>
    <row r="611" ht="15.75" customHeight="1">
      <c r="A611" s="220"/>
      <c r="B611" s="220"/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</row>
    <row r="612" ht="15.75" customHeight="1">
      <c r="A612" s="220"/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</row>
    <row r="613" ht="15.75" customHeight="1">
      <c r="A613" s="220"/>
      <c r="B613" s="220"/>
      <c r="C613" s="220"/>
      <c r="D613" s="220"/>
      <c r="E613" s="220"/>
      <c r="F613" s="22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</row>
    <row r="614" ht="15.75" customHeight="1">
      <c r="A614" s="220"/>
      <c r="B614" s="220"/>
      <c r="C614" s="220"/>
      <c r="D614" s="220"/>
      <c r="E614" s="220"/>
      <c r="F614" s="220"/>
      <c r="G614" s="220"/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</row>
    <row r="615" ht="15.75" customHeight="1">
      <c r="A615" s="220"/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</row>
    <row r="616" ht="15.75" customHeight="1">
      <c r="A616" s="220"/>
      <c r="B616" s="220"/>
      <c r="C616" s="220"/>
      <c r="D616" s="220"/>
      <c r="E616" s="220"/>
      <c r="F616" s="220"/>
      <c r="G616" s="220"/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</row>
    <row r="617" ht="15.75" customHeight="1">
      <c r="A617" s="220"/>
      <c r="B617" s="220"/>
      <c r="C617" s="220"/>
      <c r="D617" s="220"/>
      <c r="E617" s="220"/>
      <c r="F617" s="220"/>
      <c r="G617" s="220"/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</row>
    <row r="618" ht="15.75" customHeight="1">
      <c r="A618" s="220"/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</row>
    <row r="619" ht="15.75" customHeight="1">
      <c r="A619" s="220"/>
      <c r="B619" s="220"/>
      <c r="C619" s="220"/>
      <c r="D619" s="220"/>
      <c r="E619" s="220"/>
      <c r="F619" s="220"/>
      <c r="G619" s="220"/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</row>
    <row r="620" ht="15.75" customHeight="1">
      <c r="A620" s="220"/>
      <c r="B620" s="220"/>
      <c r="C620" s="220"/>
      <c r="D620" s="220"/>
      <c r="E620" s="220"/>
      <c r="F620" s="220"/>
      <c r="G620" s="220"/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</row>
    <row r="621" ht="15.75" customHeight="1">
      <c r="A621" s="220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</row>
    <row r="622" ht="15.75" customHeight="1">
      <c r="A622" s="220"/>
      <c r="B622" s="220"/>
      <c r="C622" s="220"/>
      <c r="D622" s="220"/>
      <c r="E622" s="220"/>
      <c r="F622" s="220"/>
      <c r="G622" s="220"/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</row>
    <row r="623" ht="15.75" customHeight="1">
      <c r="A623" s="220"/>
      <c r="B623" s="220"/>
      <c r="C623" s="220"/>
      <c r="D623" s="220"/>
      <c r="E623" s="220"/>
      <c r="F623" s="220"/>
      <c r="G623" s="220"/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</row>
    <row r="624" ht="15.75" customHeight="1">
      <c r="A624" s="220"/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</row>
    <row r="625" ht="15.75" customHeight="1">
      <c r="A625" s="220"/>
      <c r="B625" s="220"/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</row>
    <row r="626" ht="15.75" customHeight="1">
      <c r="A626" s="220"/>
      <c r="B626" s="220"/>
      <c r="C626" s="220"/>
      <c r="D626" s="220"/>
      <c r="E626" s="220"/>
      <c r="F626" s="220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</row>
    <row r="627" ht="15.75" customHeight="1">
      <c r="A627" s="220"/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</row>
    <row r="628" ht="15.75" customHeight="1">
      <c r="A628" s="220"/>
      <c r="B628" s="220"/>
      <c r="C628" s="220"/>
      <c r="D628" s="220"/>
      <c r="E628" s="220"/>
      <c r="F628" s="220"/>
      <c r="G628" s="220"/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</row>
    <row r="629" ht="15.75" customHeight="1">
      <c r="A629" s="220"/>
      <c r="B629" s="220"/>
      <c r="C629" s="220"/>
      <c r="D629" s="220"/>
      <c r="E629" s="220"/>
      <c r="F629" s="220"/>
      <c r="G629" s="220"/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</row>
    <row r="630" ht="15.75" customHeight="1">
      <c r="A630" s="220"/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</row>
    <row r="631" ht="15.75" customHeight="1">
      <c r="A631" s="220"/>
      <c r="B631" s="220"/>
      <c r="C631" s="220"/>
      <c r="D631" s="220"/>
      <c r="E631" s="220"/>
      <c r="F631" s="220"/>
      <c r="G631" s="220"/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</row>
    <row r="632" ht="15.75" customHeight="1">
      <c r="A632" s="220"/>
      <c r="B632" s="220"/>
      <c r="C632" s="220"/>
      <c r="D632" s="220"/>
      <c r="E632" s="220"/>
      <c r="F632" s="220"/>
      <c r="G632" s="220"/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</row>
    <row r="633" ht="15.75" customHeight="1">
      <c r="A633" s="220"/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</row>
    <row r="634" ht="15.75" customHeight="1">
      <c r="A634" s="220"/>
      <c r="B634" s="220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</row>
    <row r="635" ht="15.75" customHeight="1">
      <c r="A635" s="220"/>
      <c r="B635" s="220"/>
      <c r="C635" s="220"/>
      <c r="D635" s="220"/>
      <c r="E635" s="220"/>
      <c r="F635" s="220"/>
      <c r="G635" s="220"/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</row>
    <row r="636" ht="15.75" customHeight="1">
      <c r="A636" s="220"/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</row>
    <row r="637" ht="15.75" customHeight="1">
      <c r="A637" s="220"/>
      <c r="B637" s="220"/>
      <c r="C637" s="220"/>
      <c r="D637" s="220"/>
      <c r="E637" s="220"/>
      <c r="F637" s="220"/>
      <c r="G637" s="220"/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</row>
    <row r="638" ht="15.75" customHeight="1">
      <c r="A638" s="220"/>
      <c r="B638" s="220"/>
      <c r="C638" s="220"/>
      <c r="D638" s="220"/>
      <c r="E638" s="220"/>
      <c r="F638" s="220"/>
      <c r="G638" s="220"/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</row>
    <row r="639" ht="15.75" customHeight="1">
      <c r="A639" s="220"/>
      <c r="B639" s="220"/>
      <c r="C639" s="220"/>
      <c r="D639" s="220"/>
      <c r="E639" s="220"/>
      <c r="F639" s="220"/>
      <c r="G639" s="220"/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</row>
    <row r="640" ht="15.75" customHeight="1">
      <c r="A640" s="220"/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</row>
    <row r="641" ht="15.75" customHeight="1">
      <c r="A641" s="220"/>
      <c r="B641" s="220"/>
      <c r="C641" s="220"/>
      <c r="D641" s="220"/>
      <c r="E641" s="220"/>
      <c r="F641" s="220"/>
      <c r="G641" s="220"/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</row>
    <row r="642" ht="15.75" customHeight="1">
      <c r="A642" s="220"/>
      <c r="B642" s="220"/>
      <c r="C642" s="220"/>
      <c r="D642" s="220"/>
      <c r="E642" s="220"/>
      <c r="F642" s="220"/>
      <c r="G642" s="220"/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</row>
    <row r="643" ht="15.75" customHeight="1">
      <c r="A643" s="220"/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</row>
    <row r="644" ht="15.75" customHeight="1">
      <c r="A644" s="220"/>
      <c r="B644" s="220"/>
      <c r="C644" s="220"/>
      <c r="D644" s="220"/>
      <c r="E644" s="220"/>
      <c r="F644" s="220"/>
      <c r="G644" s="220"/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</row>
    <row r="645" ht="15.75" customHeight="1">
      <c r="A645" s="220"/>
      <c r="B645" s="220"/>
      <c r="C645" s="220"/>
      <c r="D645" s="220"/>
      <c r="E645" s="220"/>
      <c r="F645" s="220"/>
      <c r="G645" s="220"/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</row>
    <row r="646" ht="15.75" customHeight="1">
      <c r="A646" s="220"/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</row>
    <row r="647" ht="15.75" customHeight="1">
      <c r="A647" s="220"/>
      <c r="B647" s="220"/>
      <c r="C647" s="220"/>
      <c r="D647" s="220"/>
      <c r="E647" s="220"/>
      <c r="F647" s="220"/>
      <c r="G647" s="220"/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</row>
    <row r="648" ht="15.75" customHeight="1">
      <c r="A648" s="220"/>
      <c r="B648" s="220"/>
      <c r="C648" s="220"/>
      <c r="D648" s="220"/>
      <c r="E648" s="220"/>
      <c r="F648" s="220"/>
      <c r="G648" s="220"/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</row>
    <row r="649" ht="15.75" customHeight="1">
      <c r="A649" s="220"/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</row>
    <row r="650" ht="15.75" customHeight="1">
      <c r="A650" s="220"/>
      <c r="B650" s="220"/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</row>
    <row r="651" ht="15.75" customHeight="1">
      <c r="A651" s="220"/>
      <c r="B651" s="220"/>
      <c r="C651" s="220"/>
      <c r="D651" s="220"/>
      <c r="E651" s="220"/>
      <c r="F651" s="220"/>
      <c r="G651" s="220"/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</row>
    <row r="652" ht="15.75" customHeight="1">
      <c r="A652" s="220"/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</row>
    <row r="653" ht="15.75" customHeight="1">
      <c r="A653" s="220"/>
      <c r="B653" s="220"/>
      <c r="C653" s="220"/>
      <c r="D653" s="220"/>
      <c r="E653" s="220"/>
      <c r="F653" s="220"/>
      <c r="G653" s="220"/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</row>
    <row r="654" ht="15.75" customHeight="1">
      <c r="A654" s="220"/>
      <c r="B654" s="220"/>
      <c r="C654" s="220"/>
      <c r="D654" s="220"/>
      <c r="E654" s="220"/>
      <c r="F654" s="220"/>
      <c r="G654" s="220"/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</row>
    <row r="655" ht="15.75" customHeight="1">
      <c r="A655" s="220"/>
      <c r="B655" s="220"/>
      <c r="C655" s="220"/>
      <c r="D655" s="220"/>
      <c r="E655" s="220"/>
      <c r="F655" s="220"/>
      <c r="G655" s="220"/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</row>
    <row r="656" ht="15.75" customHeight="1">
      <c r="A656" s="220"/>
      <c r="B656" s="220"/>
      <c r="C656" s="220"/>
      <c r="D656" s="220"/>
      <c r="E656" s="220"/>
      <c r="F656" s="220"/>
      <c r="G656" s="220"/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</row>
    <row r="657" ht="15.75" customHeight="1">
      <c r="A657" s="220"/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</row>
    <row r="658" ht="15.75" customHeight="1">
      <c r="A658" s="220"/>
      <c r="B658" s="220"/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</row>
    <row r="659" ht="15.75" customHeight="1">
      <c r="A659" s="220"/>
      <c r="B659" s="220"/>
      <c r="C659" s="220"/>
      <c r="D659" s="220"/>
      <c r="E659" s="220"/>
      <c r="F659" s="220"/>
      <c r="G659" s="220"/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</row>
    <row r="660" ht="15.75" customHeight="1">
      <c r="A660" s="220"/>
      <c r="B660" s="220"/>
      <c r="C660" s="220"/>
      <c r="D660" s="220"/>
      <c r="E660" s="220"/>
      <c r="F660" s="220"/>
      <c r="G660" s="220"/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</row>
    <row r="661" ht="15.75" customHeight="1">
      <c r="A661" s="220"/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</row>
    <row r="662" ht="15.75" customHeight="1">
      <c r="A662" s="220"/>
      <c r="B662" s="220"/>
      <c r="C662" s="220"/>
      <c r="D662" s="220"/>
      <c r="E662" s="220"/>
      <c r="F662" s="220"/>
      <c r="G662" s="220"/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</row>
    <row r="663" ht="15.75" customHeight="1">
      <c r="A663" s="220"/>
      <c r="B663" s="220"/>
      <c r="C663" s="220"/>
      <c r="D663" s="220"/>
      <c r="E663" s="220"/>
      <c r="F663" s="220"/>
      <c r="G663" s="220"/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</row>
    <row r="664" ht="15.75" customHeight="1">
      <c r="A664" s="220"/>
      <c r="B664" s="220"/>
      <c r="C664" s="220"/>
      <c r="D664" s="220"/>
      <c r="E664" s="220"/>
      <c r="F664" s="220"/>
      <c r="G664" s="220"/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</row>
    <row r="665" ht="15.75" customHeight="1">
      <c r="A665" s="220"/>
      <c r="B665" s="220"/>
      <c r="C665" s="220"/>
      <c r="D665" s="220"/>
      <c r="E665" s="220"/>
      <c r="F665" s="220"/>
      <c r="G665" s="220"/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</row>
    <row r="666" ht="15.75" customHeight="1">
      <c r="A666" s="220"/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</row>
    <row r="667" ht="15.75" customHeight="1">
      <c r="A667" s="220"/>
      <c r="B667" s="220"/>
      <c r="C667" s="220"/>
      <c r="D667" s="220"/>
      <c r="E667" s="220"/>
      <c r="F667" s="220"/>
      <c r="G667" s="220"/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</row>
    <row r="668" ht="15.75" customHeight="1">
      <c r="A668" s="220"/>
      <c r="B668" s="220"/>
      <c r="C668" s="220"/>
      <c r="D668" s="220"/>
      <c r="E668" s="220"/>
      <c r="F668" s="220"/>
      <c r="G668" s="220"/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</row>
    <row r="669" ht="15.75" customHeight="1">
      <c r="A669" s="220"/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</row>
    <row r="670" ht="15.75" customHeight="1">
      <c r="A670" s="220"/>
      <c r="B670" s="220"/>
      <c r="C670" s="220"/>
      <c r="D670" s="220"/>
      <c r="E670" s="220"/>
      <c r="F670" s="220"/>
      <c r="G670" s="220"/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</row>
    <row r="671" ht="15.75" customHeight="1">
      <c r="A671" s="220"/>
      <c r="B671" s="220"/>
      <c r="C671" s="220"/>
      <c r="D671" s="220"/>
      <c r="E671" s="220"/>
      <c r="F671" s="220"/>
      <c r="G671" s="220"/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</row>
    <row r="672" ht="15.75" customHeight="1">
      <c r="A672" s="220"/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</row>
    <row r="673" ht="15.75" customHeight="1">
      <c r="A673" s="220"/>
      <c r="B673" s="220"/>
      <c r="C673" s="220"/>
      <c r="D673" s="220"/>
      <c r="E673" s="220"/>
      <c r="F673" s="220"/>
      <c r="G673" s="220"/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</row>
    <row r="674" ht="15.75" customHeight="1">
      <c r="A674" s="220"/>
      <c r="B674" s="220"/>
      <c r="C674" s="220"/>
      <c r="D674" s="220"/>
      <c r="E674" s="220"/>
      <c r="F674" s="220"/>
      <c r="G674" s="220"/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</row>
    <row r="675" ht="15.75" customHeight="1">
      <c r="A675" s="220"/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</row>
    <row r="676" ht="15.75" customHeight="1">
      <c r="A676" s="220"/>
      <c r="B676" s="220"/>
      <c r="C676" s="220"/>
      <c r="D676" s="220"/>
      <c r="E676" s="220"/>
      <c r="F676" s="220"/>
      <c r="G676" s="220"/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</row>
    <row r="677" ht="15.75" customHeight="1">
      <c r="A677" s="220"/>
      <c r="B677" s="220"/>
      <c r="C677" s="220"/>
      <c r="D677" s="220"/>
      <c r="E677" s="220"/>
      <c r="F677" s="220"/>
      <c r="G677" s="220"/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</row>
    <row r="678" ht="15.75" customHeight="1">
      <c r="A678" s="220"/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</row>
    <row r="679" ht="15.75" customHeight="1">
      <c r="A679" s="220"/>
      <c r="B679" s="220"/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</row>
    <row r="680" ht="15.75" customHeight="1">
      <c r="A680" s="220"/>
      <c r="B680" s="220"/>
      <c r="C680" s="220"/>
      <c r="D680" s="220"/>
      <c r="E680" s="220"/>
      <c r="F680" s="220"/>
      <c r="G680" s="220"/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</row>
    <row r="681" ht="15.75" customHeight="1">
      <c r="A681" s="220"/>
      <c r="B681" s="220"/>
      <c r="C681" s="220"/>
      <c r="D681" s="220"/>
      <c r="E681" s="220"/>
      <c r="F681" s="220"/>
      <c r="G681" s="220"/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</row>
    <row r="682" ht="15.75" customHeight="1">
      <c r="A682" s="220"/>
      <c r="B682" s="220"/>
      <c r="C682" s="220"/>
      <c r="D682" s="220"/>
      <c r="E682" s="220"/>
      <c r="F682" s="220"/>
      <c r="G682" s="220"/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</row>
    <row r="683" ht="15.75" customHeight="1">
      <c r="A683" s="220"/>
      <c r="B683" s="220"/>
      <c r="C683" s="220"/>
      <c r="D683" s="220"/>
      <c r="E683" s="220"/>
      <c r="F683" s="220"/>
      <c r="G683" s="220"/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</row>
    <row r="684" ht="15.75" customHeight="1">
      <c r="A684" s="220"/>
      <c r="B684" s="220"/>
      <c r="C684" s="220"/>
      <c r="D684" s="220"/>
      <c r="E684" s="220"/>
      <c r="F684" s="220"/>
      <c r="G684" s="220"/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</row>
    <row r="685" ht="15.75" customHeight="1">
      <c r="A685" s="220"/>
      <c r="B685" s="220"/>
      <c r="C685" s="220"/>
      <c r="D685" s="220"/>
      <c r="E685" s="220"/>
      <c r="F685" s="220"/>
      <c r="G685" s="220"/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</row>
    <row r="686" ht="15.75" customHeight="1">
      <c r="A686" s="220"/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</row>
    <row r="687" ht="15.75" customHeight="1">
      <c r="A687" s="220"/>
      <c r="B687" s="220"/>
      <c r="C687" s="220"/>
      <c r="D687" s="220"/>
      <c r="E687" s="220"/>
      <c r="F687" s="220"/>
      <c r="G687" s="220"/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</row>
    <row r="688" ht="15.75" customHeight="1">
      <c r="A688" s="220"/>
      <c r="B688" s="220"/>
      <c r="C688" s="220"/>
      <c r="D688" s="220"/>
      <c r="E688" s="220"/>
      <c r="F688" s="220"/>
      <c r="G688" s="220"/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</row>
    <row r="689" ht="15.75" customHeight="1">
      <c r="A689" s="220"/>
      <c r="B689" s="220"/>
      <c r="C689" s="220"/>
      <c r="D689" s="220"/>
      <c r="E689" s="220"/>
      <c r="F689" s="220"/>
      <c r="G689" s="220"/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</row>
    <row r="690" ht="15.75" customHeight="1">
      <c r="A690" s="220"/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</row>
    <row r="691" ht="15.75" customHeight="1">
      <c r="A691" s="220"/>
      <c r="B691" s="220"/>
      <c r="C691" s="220"/>
      <c r="D691" s="220"/>
      <c r="E691" s="220"/>
      <c r="F691" s="220"/>
      <c r="G691" s="220"/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</row>
    <row r="692" ht="15.75" customHeight="1">
      <c r="A692" s="220"/>
      <c r="B692" s="220"/>
      <c r="C692" s="220"/>
      <c r="D692" s="220"/>
      <c r="E692" s="220"/>
      <c r="F692" s="220"/>
      <c r="G692" s="220"/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</row>
    <row r="693" ht="15.75" customHeight="1">
      <c r="A693" s="220"/>
      <c r="B693" s="220"/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</row>
    <row r="694" ht="15.75" customHeight="1">
      <c r="A694" s="220"/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</row>
    <row r="695" ht="15.75" customHeight="1">
      <c r="A695" s="220"/>
      <c r="B695" s="220"/>
      <c r="C695" s="220"/>
      <c r="D695" s="220"/>
      <c r="E695" s="220"/>
      <c r="F695" s="220"/>
      <c r="G695" s="220"/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</row>
    <row r="696" ht="15.75" customHeight="1">
      <c r="A696" s="220"/>
      <c r="B696" s="220"/>
      <c r="C696" s="220"/>
      <c r="D696" s="220"/>
      <c r="E696" s="220"/>
      <c r="F696" s="220"/>
      <c r="G696" s="220"/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</row>
    <row r="697" ht="15.75" customHeight="1">
      <c r="A697" s="220"/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</row>
    <row r="698" ht="15.75" customHeight="1">
      <c r="A698" s="220"/>
      <c r="B698" s="220"/>
      <c r="C698" s="220"/>
      <c r="D698" s="220"/>
      <c r="E698" s="220"/>
      <c r="F698" s="220"/>
      <c r="G698" s="220"/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</row>
    <row r="699" ht="15.75" customHeight="1">
      <c r="A699" s="220"/>
      <c r="B699" s="220"/>
      <c r="C699" s="220"/>
      <c r="D699" s="220"/>
      <c r="E699" s="220"/>
      <c r="F699" s="220"/>
      <c r="G699" s="220"/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</row>
    <row r="700" ht="15.75" customHeight="1">
      <c r="A700" s="220"/>
      <c r="B700" s="220"/>
      <c r="C700" s="220"/>
      <c r="D700" s="220"/>
      <c r="E700" s="220"/>
      <c r="F700" s="220"/>
      <c r="G700" s="220"/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</row>
    <row r="701" ht="15.75" customHeight="1">
      <c r="A701" s="220"/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</row>
    <row r="702" ht="15.75" customHeight="1">
      <c r="A702" s="220"/>
      <c r="B702" s="220"/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</row>
    <row r="703" ht="15.75" customHeight="1">
      <c r="A703" s="220"/>
      <c r="B703" s="220"/>
      <c r="C703" s="220"/>
      <c r="D703" s="220"/>
      <c r="E703" s="220"/>
      <c r="F703" s="220"/>
      <c r="G703" s="220"/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</row>
    <row r="704" ht="15.75" customHeight="1">
      <c r="A704" s="220"/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</row>
    <row r="705" ht="15.75" customHeight="1">
      <c r="A705" s="220"/>
      <c r="B705" s="220"/>
      <c r="C705" s="220"/>
      <c r="D705" s="220"/>
      <c r="E705" s="220"/>
      <c r="F705" s="220"/>
      <c r="G705" s="220"/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</row>
    <row r="706" ht="15.75" customHeight="1">
      <c r="A706" s="220"/>
      <c r="B706" s="220"/>
      <c r="C706" s="220"/>
      <c r="D706" s="220"/>
      <c r="E706" s="220"/>
      <c r="F706" s="220"/>
      <c r="G706" s="220"/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</row>
    <row r="707" ht="15.75" customHeight="1">
      <c r="A707" s="220"/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</row>
    <row r="708" ht="15.75" customHeight="1">
      <c r="A708" s="220"/>
      <c r="B708" s="220"/>
      <c r="C708" s="220"/>
      <c r="D708" s="220"/>
      <c r="E708" s="220"/>
      <c r="F708" s="220"/>
      <c r="G708" s="220"/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</row>
    <row r="709" ht="15.75" customHeight="1">
      <c r="A709" s="220"/>
      <c r="B709" s="220"/>
      <c r="C709" s="220"/>
      <c r="D709" s="220"/>
      <c r="E709" s="220"/>
      <c r="F709" s="220"/>
      <c r="G709" s="220"/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</row>
    <row r="710" ht="15.75" customHeight="1">
      <c r="A710" s="220"/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</row>
    <row r="711" ht="15.75" customHeight="1">
      <c r="A711" s="220"/>
      <c r="B711" s="220"/>
      <c r="C711" s="220"/>
      <c r="D711" s="220"/>
      <c r="E711" s="220"/>
      <c r="F711" s="220"/>
      <c r="G711" s="220"/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</row>
    <row r="712" ht="15.75" customHeight="1">
      <c r="A712" s="220"/>
      <c r="B712" s="220"/>
      <c r="C712" s="220"/>
      <c r="D712" s="220"/>
      <c r="E712" s="220"/>
      <c r="F712" s="220"/>
      <c r="G712" s="220"/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</row>
    <row r="713" ht="15.75" customHeight="1">
      <c r="A713" s="220"/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</row>
    <row r="714" ht="15.75" customHeight="1">
      <c r="A714" s="220"/>
      <c r="B714" s="220"/>
      <c r="C714" s="220"/>
      <c r="D714" s="220"/>
      <c r="E714" s="220"/>
      <c r="F714" s="220"/>
      <c r="G714" s="220"/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</row>
    <row r="715" ht="15.75" customHeight="1">
      <c r="A715" s="220"/>
      <c r="B715" s="220"/>
      <c r="C715" s="220"/>
      <c r="D715" s="220"/>
      <c r="E715" s="220"/>
      <c r="F715" s="220"/>
      <c r="G715" s="220"/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</row>
    <row r="716" ht="15.75" customHeight="1">
      <c r="A716" s="220"/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</row>
    <row r="717" ht="15.75" customHeight="1">
      <c r="A717" s="220"/>
      <c r="B717" s="220"/>
      <c r="C717" s="220"/>
      <c r="D717" s="220"/>
      <c r="E717" s="220"/>
      <c r="F717" s="220"/>
      <c r="G717" s="220"/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</row>
    <row r="718" ht="15.75" customHeight="1">
      <c r="A718" s="220"/>
      <c r="B718" s="220"/>
      <c r="C718" s="220"/>
      <c r="D718" s="220"/>
      <c r="E718" s="220"/>
      <c r="F718" s="220"/>
      <c r="G718" s="220"/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</row>
    <row r="719" ht="15.75" customHeight="1">
      <c r="A719" s="220"/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</row>
    <row r="720" ht="15.75" customHeight="1">
      <c r="A720" s="220"/>
      <c r="B720" s="220"/>
      <c r="C720" s="220"/>
      <c r="D720" s="220"/>
      <c r="E720" s="220"/>
      <c r="F720" s="220"/>
      <c r="G720" s="220"/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</row>
    <row r="721" ht="15.75" customHeight="1">
      <c r="A721" s="220"/>
      <c r="B721" s="220"/>
      <c r="C721" s="220"/>
      <c r="D721" s="220"/>
      <c r="E721" s="220"/>
      <c r="F721" s="220"/>
      <c r="G721" s="220"/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</row>
    <row r="722" ht="15.75" customHeight="1">
      <c r="A722" s="220"/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</row>
    <row r="723" ht="15.75" customHeight="1">
      <c r="A723" s="220"/>
      <c r="B723" s="220"/>
      <c r="C723" s="220"/>
      <c r="D723" s="220"/>
      <c r="E723" s="220"/>
      <c r="F723" s="220"/>
      <c r="G723" s="220"/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</row>
    <row r="724" ht="15.75" customHeight="1">
      <c r="A724" s="220"/>
      <c r="B724" s="220"/>
      <c r="C724" s="220"/>
      <c r="D724" s="220"/>
      <c r="E724" s="220"/>
      <c r="F724" s="220"/>
      <c r="G724" s="220"/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</row>
    <row r="725" ht="15.75" customHeight="1">
      <c r="A725" s="220"/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</row>
    <row r="726" ht="15.75" customHeight="1">
      <c r="A726" s="220"/>
      <c r="B726" s="220"/>
      <c r="C726" s="220"/>
      <c r="D726" s="220"/>
      <c r="E726" s="220"/>
      <c r="F726" s="220"/>
      <c r="G726" s="220"/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</row>
    <row r="727" ht="15.75" customHeight="1">
      <c r="A727" s="220"/>
      <c r="B727" s="220"/>
      <c r="C727" s="220"/>
      <c r="D727" s="220"/>
      <c r="E727" s="220"/>
      <c r="F727" s="220"/>
      <c r="G727" s="220"/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</row>
    <row r="728" ht="15.75" customHeight="1">
      <c r="A728" s="220"/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</row>
    <row r="729" ht="15.75" customHeight="1">
      <c r="A729" s="220"/>
      <c r="B729" s="220"/>
      <c r="C729" s="220"/>
      <c r="D729" s="220"/>
      <c r="E729" s="220"/>
      <c r="F729" s="220"/>
      <c r="G729" s="220"/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</row>
    <row r="730" ht="15.75" customHeight="1">
      <c r="A730" s="220"/>
      <c r="B730" s="220"/>
      <c r="C730" s="220"/>
      <c r="D730" s="220"/>
      <c r="E730" s="220"/>
      <c r="F730" s="220"/>
      <c r="G730" s="220"/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</row>
    <row r="731" ht="15.75" customHeight="1">
      <c r="A731" s="220"/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</row>
    <row r="732" ht="15.75" customHeight="1">
      <c r="A732" s="220"/>
      <c r="B732" s="220"/>
      <c r="C732" s="220"/>
      <c r="D732" s="220"/>
      <c r="E732" s="220"/>
      <c r="F732" s="220"/>
      <c r="G732" s="220"/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</row>
    <row r="733" ht="15.75" customHeight="1">
      <c r="A733" s="220"/>
      <c r="B733" s="220"/>
      <c r="C733" s="220"/>
      <c r="D733" s="220"/>
      <c r="E733" s="220"/>
      <c r="F733" s="220"/>
      <c r="G733" s="220"/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</row>
    <row r="734" ht="15.75" customHeight="1">
      <c r="A734" s="220"/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</row>
    <row r="735" ht="15.75" customHeight="1">
      <c r="A735" s="220"/>
      <c r="B735" s="220"/>
      <c r="C735" s="220"/>
      <c r="D735" s="220"/>
      <c r="E735" s="220"/>
      <c r="F735" s="220"/>
      <c r="G735" s="220"/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</row>
    <row r="736" ht="15.75" customHeight="1">
      <c r="A736" s="220"/>
      <c r="B736" s="220"/>
      <c r="C736" s="220"/>
      <c r="D736" s="220"/>
      <c r="E736" s="220"/>
      <c r="F736" s="220"/>
      <c r="G736" s="220"/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</row>
    <row r="737" ht="15.75" customHeight="1">
      <c r="A737" s="220"/>
      <c r="B737" s="220"/>
      <c r="C737" s="220"/>
      <c r="D737" s="220"/>
      <c r="E737" s="220"/>
      <c r="F737" s="220"/>
      <c r="G737" s="220"/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</row>
    <row r="738" ht="15.75" customHeight="1">
      <c r="A738" s="220"/>
      <c r="B738" s="220"/>
      <c r="C738" s="220"/>
      <c r="D738" s="220"/>
      <c r="E738" s="220"/>
      <c r="F738" s="220"/>
      <c r="G738" s="220"/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</row>
    <row r="739" ht="15.75" customHeight="1">
      <c r="A739" s="220"/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</row>
    <row r="740" ht="15.75" customHeight="1">
      <c r="A740" s="220"/>
      <c r="B740" s="220"/>
      <c r="C740" s="220"/>
      <c r="D740" s="220"/>
      <c r="E740" s="220"/>
      <c r="F740" s="220"/>
      <c r="G740" s="220"/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</row>
    <row r="741" ht="15.75" customHeight="1">
      <c r="A741" s="220"/>
      <c r="B741" s="220"/>
      <c r="C741" s="220"/>
      <c r="D741" s="220"/>
      <c r="E741" s="220"/>
      <c r="F741" s="220"/>
      <c r="G741" s="220"/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</row>
    <row r="742" ht="15.75" customHeight="1">
      <c r="A742" s="220"/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</row>
    <row r="743" ht="15.75" customHeight="1">
      <c r="A743" s="220"/>
      <c r="B743" s="220"/>
      <c r="C743" s="220"/>
      <c r="D743" s="220"/>
      <c r="E743" s="220"/>
      <c r="F743" s="220"/>
      <c r="G743" s="220"/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</row>
    <row r="744" ht="15.75" customHeight="1">
      <c r="A744" s="220"/>
      <c r="B744" s="220"/>
      <c r="C744" s="220"/>
      <c r="D744" s="220"/>
      <c r="E744" s="220"/>
      <c r="F744" s="220"/>
      <c r="G744" s="220"/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</row>
    <row r="745" ht="15.75" customHeight="1">
      <c r="A745" s="220"/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</row>
    <row r="746" ht="15.75" customHeight="1">
      <c r="A746" s="220"/>
      <c r="B746" s="220"/>
      <c r="C746" s="220"/>
      <c r="D746" s="220"/>
      <c r="E746" s="220"/>
      <c r="F746" s="220"/>
      <c r="G746" s="220"/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</row>
    <row r="747" ht="15.75" customHeight="1">
      <c r="A747" s="220"/>
      <c r="B747" s="220"/>
      <c r="C747" s="220"/>
      <c r="D747" s="220"/>
      <c r="E747" s="220"/>
      <c r="F747" s="220"/>
      <c r="G747" s="220"/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</row>
    <row r="748" ht="15.75" customHeight="1">
      <c r="A748" s="220"/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</row>
    <row r="749" ht="15.75" customHeight="1">
      <c r="A749" s="220"/>
      <c r="B749" s="220"/>
      <c r="C749" s="220"/>
      <c r="D749" s="220"/>
      <c r="E749" s="220"/>
      <c r="F749" s="220"/>
      <c r="G749" s="220"/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</row>
    <row r="750" ht="15.75" customHeight="1">
      <c r="A750" s="220"/>
      <c r="B750" s="220"/>
      <c r="C750" s="220"/>
      <c r="D750" s="220"/>
      <c r="E750" s="220"/>
      <c r="F750" s="220"/>
      <c r="G750" s="220"/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</row>
    <row r="751" ht="15.75" customHeight="1">
      <c r="A751" s="220"/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</row>
    <row r="752" ht="15.75" customHeight="1">
      <c r="A752" s="220"/>
      <c r="B752" s="220"/>
      <c r="C752" s="220"/>
      <c r="D752" s="220"/>
      <c r="E752" s="220"/>
      <c r="F752" s="220"/>
      <c r="G752" s="220"/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</row>
    <row r="753" ht="15.75" customHeight="1">
      <c r="A753" s="220"/>
      <c r="B753" s="220"/>
      <c r="C753" s="220"/>
      <c r="D753" s="220"/>
      <c r="E753" s="220"/>
      <c r="F753" s="220"/>
      <c r="G753" s="220"/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</row>
    <row r="754" ht="15.75" customHeight="1">
      <c r="A754" s="220"/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</row>
    <row r="755" ht="15.75" customHeight="1">
      <c r="A755" s="220"/>
      <c r="B755" s="220"/>
      <c r="C755" s="220"/>
      <c r="D755" s="220"/>
      <c r="E755" s="220"/>
      <c r="F755" s="220"/>
      <c r="G755" s="220"/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</row>
    <row r="756" ht="15.75" customHeight="1">
      <c r="A756" s="220"/>
      <c r="B756" s="220"/>
      <c r="C756" s="220"/>
      <c r="D756" s="220"/>
      <c r="E756" s="220"/>
      <c r="F756" s="220"/>
      <c r="G756" s="220"/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</row>
    <row r="757" ht="15.75" customHeight="1">
      <c r="A757" s="220"/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</row>
    <row r="758" ht="15.75" customHeight="1">
      <c r="A758" s="220"/>
      <c r="B758" s="220"/>
      <c r="C758" s="220"/>
      <c r="D758" s="220"/>
      <c r="E758" s="220"/>
      <c r="F758" s="220"/>
      <c r="G758" s="220"/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</row>
    <row r="759" ht="15.75" customHeight="1">
      <c r="A759" s="220"/>
      <c r="B759" s="220"/>
      <c r="C759" s="220"/>
      <c r="D759" s="220"/>
      <c r="E759" s="220"/>
      <c r="F759" s="220"/>
      <c r="G759" s="220"/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</row>
    <row r="760" ht="15.75" customHeight="1">
      <c r="A760" s="220"/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</row>
    <row r="761" ht="15.75" customHeight="1">
      <c r="A761" s="220"/>
      <c r="B761" s="220"/>
      <c r="C761" s="220"/>
      <c r="D761" s="220"/>
      <c r="E761" s="220"/>
      <c r="F761" s="220"/>
      <c r="G761" s="220"/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</row>
    <row r="762" ht="15.75" customHeight="1">
      <c r="A762" s="220"/>
      <c r="B762" s="220"/>
      <c r="C762" s="220"/>
      <c r="D762" s="220"/>
      <c r="E762" s="220"/>
      <c r="F762" s="220"/>
      <c r="G762" s="220"/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</row>
    <row r="763" ht="15.75" customHeight="1">
      <c r="A763" s="220"/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</row>
    <row r="764" ht="15.75" customHeight="1">
      <c r="A764" s="220"/>
      <c r="B764" s="220"/>
      <c r="C764" s="220"/>
      <c r="D764" s="220"/>
      <c r="E764" s="220"/>
      <c r="F764" s="220"/>
      <c r="G764" s="220"/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</row>
    <row r="765" ht="15.75" customHeight="1">
      <c r="A765" s="220"/>
      <c r="B765" s="220"/>
      <c r="C765" s="220"/>
      <c r="D765" s="220"/>
      <c r="E765" s="220"/>
      <c r="F765" s="220"/>
      <c r="G765" s="220"/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</row>
    <row r="766" ht="15.75" customHeight="1">
      <c r="A766" s="220"/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</row>
    <row r="767" ht="15.75" customHeight="1">
      <c r="A767" s="220"/>
      <c r="B767" s="220"/>
      <c r="C767" s="220"/>
      <c r="D767" s="220"/>
      <c r="E767" s="220"/>
      <c r="F767" s="220"/>
      <c r="G767" s="220"/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</row>
    <row r="768" ht="15.75" customHeight="1">
      <c r="A768" s="220"/>
      <c r="B768" s="220"/>
      <c r="C768" s="220"/>
      <c r="D768" s="220"/>
      <c r="E768" s="220"/>
      <c r="F768" s="220"/>
      <c r="G768" s="220"/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</row>
    <row r="769" ht="15.75" customHeight="1">
      <c r="A769" s="220"/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</row>
    <row r="770" ht="15.75" customHeight="1">
      <c r="A770" s="220"/>
      <c r="B770" s="220"/>
      <c r="C770" s="220"/>
      <c r="D770" s="220"/>
      <c r="E770" s="220"/>
      <c r="F770" s="220"/>
      <c r="G770" s="220"/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</row>
    <row r="771" ht="15.75" customHeight="1">
      <c r="A771" s="220"/>
      <c r="B771" s="220"/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</row>
    <row r="772" ht="15.75" customHeight="1">
      <c r="A772" s="220"/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</row>
    <row r="773" ht="15.75" customHeight="1">
      <c r="A773" s="220"/>
      <c r="B773" s="220"/>
      <c r="C773" s="220"/>
      <c r="D773" s="220"/>
      <c r="E773" s="220"/>
      <c r="F773" s="220"/>
      <c r="G773" s="220"/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</row>
    <row r="774" ht="15.75" customHeight="1">
      <c r="A774" s="220"/>
      <c r="B774" s="220"/>
      <c r="C774" s="220"/>
      <c r="D774" s="220"/>
      <c r="E774" s="220"/>
      <c r="F774" s="220"/>
      <c r="G774" s="220"/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</row>
    <row r="775" ht="15.75" customHeight="1">
      <c r="A775" s="220"/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</row>
    <row r="776" ht="15.75" customHeight="1">
      <c r="A776" s="220"/>
      <c r="B776" s="220"/>
      <c r="C776" s="220"/>
      <c r="D776" s="220"/>
      <c r="E776" s="220"/>
      <c r="F776" s="220"/>
      <c r="G776" s="220"/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</row>
    <row r="777" ht="15.75" customHeight="1">
      <c r="A777" s="220"/>
      <c r="B777" s="220"/>
      <c r="C777" s="220"/>
      <c r="D777" s="220"/>
      <c r="E777" s="220"/>
      <c r="F777" s="220"/>
      <c r="G777" s="220"/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</row>
    <row r="778" ht="15.75" customHeight="1">
      <c r="A778" s="220"/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</row>
    <row r="779" ht="15.75" customHeight="1">
      <c r="A779" s="220"/>
      <c r="B779" s="220"/>
      <c r="C779" s="220"/>
      <c r="D779" s="220"/>
      <c r="E779" s="220"/>
      <c r="F779" s="220"/>
      <c r="G779" s="220"/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</row>
    <row r="780" ht="15.75" customHeight="1">
      <c r="A780" s="220"/>
      <c r="B780" s="220"/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</row>
    <row r="781" ht="15.75" customHeight="1">
      <c r="A781" s="220"/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</row>
    <row r="782" ht="15.75" customHeight="1">
      <c r="A782" s="220"/>
      <c r="B782" s="220"/>
      <c r="C782" s="220"/>
      <c r="D782" s="220"/>
      <c r="E782" s="220"/>
      <c r="F782" s="220"/>
      <c r="G782" s="220"/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</row>
    <row r="783" ht="15.75" customHeight="1">
      <c r="A783" s="220"/>
      <c r="B783" s="220"/>
      <c r="C783" s="220"/>
      <c r="D783" s="220"/>
      <c r="E783" s="220"/>
      <c r="F783" s="220"/>
      <c r="G783" s="220"/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</row>
    <row r="784" ht="15.75" customHeight="1">
      <c r="A784" s="220"/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</row>
    <row r="785" ht="15.75" customHeight="1">
      <c r="A785" s="220"/>
      <c r="B785" s="220"/>
      <c r="C785" s="220"/>
      <c r="D785" s="220"/>
      <c r="E785" s="220"/>
      <c r="F785" s="220"/>
      <c r="G785" s="220"/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</row>
    <row r="786" ht="15.75" customHeight="1">
      <c r="A786" s="220"/>
      <c r="B786" s="220"/>
      <c r="C786" s="220"/>
      <c r="D786" s="220"/>
      <c r="E786" s="220"/>
      <c r="F786" s="220"/>
      <c r="G786" s="220"/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</row>
    <row r="787" ht="15.75" customHeight="1">
      <c r="A787" s="220"/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</row>
    <row r="788" ht="15.75" customHeight="1">
      <c r="A788" s="220"/>
      <c r="B788" s="220"/>
      <c r="C788" s="220"/>
      <c r="D788" s="220"/>
      <c r="E788" s="220"/>
      <c r="F788" s="220"/>
      <c r="G788" s="220"/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</row>
    <row r="789" ht="15.75" customHeight="1">
      <c r="A789" s="220"/>
      <c r="B789" s="220"/>
      <c r="C789" s="220"/>
      <c r="D789" s="220"/>
      <c r="E789" s="220"/>
      <c r="F789" s="220"/>
      <c r="G789" s="220"/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</row>
    <row r="790" ht="15.75" customHeight="1">
      <c r="A790" s="220"/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</row>
    <row r="791" ht="15.75" customHeight="1">
      <c r="A791" s="220"/>
      <c r="B791" s="220"/>
      <c r="C791" s="220"/>
      <c r="D791" s="220"/>
      <c r="E791" s="220"/>
      <c r="F791" s="220"/>
      <c r="G791" s="220"/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</row>
    <row r="792" ht="15.75" customHeight="1">
      <c r="A792" s="220"/>
      <c r="B792" s="220"/>
      <c r="C792" s="220"/>
      <c r="D792" s="220"/>
      <c r="E792" s="220"/>
      <c r="F792" s="220"/>
      <c r="G792" s="220"/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</row>
    <row r="793" ht="15.75" customHeight="1">
      <c r="A793" s="220"/>
      <c r="B793" s="220"/>
      <c r="C793" s="220"/>
      <c r="D793" s="220"/>
      <c r="E793" s="220"/>
      <c r="F793" s="220"/>
      <c r="G793" s="220"/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</row>
    <row r="794" ht="15.75" customHeight="1">
      <c r="A794" s="220"/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</row>
    <row r="795" ht="15.75" customHeight="1">
      <c r="A795" s="220"/>
      <c r="B795" s="220"/>
      <c r="C795" s="220"/>
      <c r="D795" s="220"/>
      <c r="E795" s="220"/>
      <c r="F795" s="220"/>
      <c r="G795" s="220"/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</row>
    <row r="796" ht="15.75" customHeight="1">
      <c r="A796" s="220"/>
      <c r="B796" s="220"/>
      <c r="C796" s="220"/>
      <c r="D796" s="220"/>
      <c r="E796" s="220"/>
      <c r="F796" s="220"/>
      <c r="G796" s="220"/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</row>
    <row r="797" ht="15.75" customHeight="1">
      <c r="A797" s="220"/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</row>
    <row r="798" ht="15.75" customHeight="1">
      <c r="A798" s="220"/>
      <c r="B798" s="220"/>
      <c r="C798" s="220"/>
      <c r="D798" s="220"/>
      <c r="E798" s="220"/>
      <c r="F798" s="220"/>
      <c r="G798" s="220"/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</row>
    <row r="799" ht="15.75" customHeight="1">
      <c r="A799" s="220"/>
      <c r="B799" s="220"/>
      <c r="C799" s="220"/>
      <c r="D799" s="220"/>
      <c r="E799" s="220"/>
      <c r="F799" s="220"/>
      <c r="G799" s="220"/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</row>
    <row r="800" ht="15.75" customHeight="1">
      <c r="A800" s="220"/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</row>
    <row r="801" ht="15.75" customHeight="1">
      <c r="A801" s="220"/>
      <c r="B801" s="220"/>
      <c r="C801" s="220"/>
      <c r="D801" s="220"/>
      <c r="E801" s="220"/>
      <c r="F801" s="220"/>
      <c r="G801" s="220"/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</row>
    <row r="802" ht="15.75" customHeight="1">
      <c r="A802" s="220"/>
      <c r="B802" s="220"/>
      <c r="C802" s="220"/>
      <c r="D802" s="220"/>
      <c r="E802" s="220"/>
      <c r="F802" s="220"/>
      <c r="G802" s="220"/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</row>
    <row r="803" ht="15.75" customHeight="1">
      <c r="A803" s="220"/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</row>
    <row r="804" ht="15.75" customHeight="1">
      <c r="A804" s="220"/>
      <c r="B804" s="220"/>
      <c r="C804" s="220"/>
      <c r="D804" s="220"/>
      <c r="E804" s="220"/>
      <c r="F804" s="220"/>
      <c r="G804" s="220"/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</row>
    <row r="805" ht="15.75" customHeight="1">
      <c r="A805" s="220"/>
      <c r="B805" s="220"/>
      <c r="C805" s="220"/>
      <c r="D805" s="220"/>
      <c r="E805" s="220"/>
      <c r="F805" s="220"/>
      <c r="G805" s="220"/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</row>
    <row r="806" ht="15.75" customHeight="1">
      <c r="A806" s="220"/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</row>
    <row r="807" ht="15.75" customHeight="1">
      <c r="A807" s="220"/>
      <c r="B807" s="220"/>
      <c r="C807" s="220"/>
      <c r="D807" s="220"/>
      <c r="E807" s="220"/>
      <c r="F807" s="220"/>
      <c r="G807" s="220"/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</row>
    <row r="808" ht="15.75" customHeight="1">
      <c r="A808" s="220"/>
      <c r="B808" s="220"/>
      <c r="C808" s="220"/>
      <c r="D808" s="220"/>
      <c r="E808" s="220"/>
      <c r="F808" s="220"/>
      <c r="G808" s="220"/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</row>
    <row r="809" ht="15.75" customHeight="1">
      <c r="A809" s="220"/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</row>
    <row r="810" ht="15.75" customHeight="1">
      <c r="A810" s="220"/>
      <c r="B810" s="220"/>
      <c r="C810" s="220"/>
      <c r="D810" s="220"/>
      <c r="E810" s="220"/>
      <c r="F810" s="220"/>
      <c r="G810" s="220"/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</row>
    <row r="811" ht="15.75" customHeight="1">
      <c r="A811" s="220"/>
      <c r="B811" s="220"/>
      <c r="C811" s="220"/>
      <c r="D811" s="220"/>
      <c r="E811" s="220"/>
      <c r="F811" s="220"/>
      <c r="G811" s="220"/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</row>
    <row r="812" ht="15.75" customHeight="1">
      <c r="A812" s="220"/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</row>
    <row r="813" ht="15.75" customHeight="1">
      <c r="A813" s="220"/>
      <c r="B813" s="220"/>
      <c r="C813" s="220"/>
      <c r="D813" s="220"/>
      <c r="E813" s="220"/>
      <c r="F813" s="220"/>
      <c r="G813" s="220"/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</row>
    <row r="814" ht="15.75" customHeight="1">
      <c r="A814" s="220"/>
      <c r="B814" s="220"/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</row>
    <row r="815" ht="15.75" customHeight="1">
      <c r="A815" s="220"/>
      <c r="B815" s="220"/>
      <c r="C815" s="220"/>
      <c r="D815" s="220"/>
      <c r="E815" s="220"/>
      <c r="F815" s="220"/>
      <c r="G815" s="220"/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</row>
    <row r="816" ht="15.75" customHeight="1">
      <c r="A816" s="220"/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</row>
    <row r="817" ht="15.75" customHeight="1">
      <c r="A817" s="220"/>
      <c r="B817" s="220"/>
      <c r="C817" s="220"/>
      <c r="D817" s="220"/>
      <c r="E817" s="220"/>
      <c r="F817" s="220"/>
      <c r="G817" s="220"/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</row>
    <row r="818" ht="15.75" customHeight="1">
      <c r="A818" s="220"/>
      <c r="B818" s="220"/>
      <c r="C818" s="220"/>
      <c r="D818" s="220"/>
      <c r="E818" s="220"/>
      <c r="F818" s="220"/>
      <c r="G818" s="220"/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</row>
    <row r="819" ht="15.75" customHeight="1">
      <c r="A819" s="220"/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</row>
    <row r="820" ht="15.75" customHeight="1">
      <c r="A820" s="220"/>
      <c r="B820" s="220"/>
      <c r="C820" s="220"/>
      <c r="D820" s="220"/>
      <c r="E820" s="220"/>
      <c r="F820" s="220"/>
      <c r="G820" s="220"/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</row>
    <row r="821" ht="15.75" customHeight="1">
      <c r="A821" s="220"/>
      <c r="B821" s="220"/>
      <c r="C821" s="220"/>
      <c r="D821" s="220"/>
      <c r="E821" s="220"/>
      <c r="F821" s="220"/>
      <c r="G821" s="220"/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</row>
    <row r="822" ht="15.75" customHeight="1">
      <c r="A822" s="220"/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</row>
    <row r="823" ht="15.75" customHeight="1">
      <c r="A823" s="220"/>
      <c r="B823" s="220"/>
      <c r="C823" s="220"/>
      <c r="D823" s="220"/>
      <c r="E823" s="220"/>
      <c r="F823" s="220"/>
      <c r="G823" s="220"/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</row>
    <row r="824" ht="15.75" customHeight="1">
      <c r="A824" s="220"/>
      <c r="B824" s="220"/>
      <c r="C824" s="220"/>
      <c r="D824" s="220"/>
      <c r="E824" s="220"/>
      <c r="F824" s="220"/>
      <c r="G824" s="220"/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</row>
    <row r="825" ht="15.75" customHeight="1">
      <c r="A825" s="220"/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</row>
    <row r="826" ht="15.75" customHeight="1">
      <c r="A826" s="220"/>
      <c r="B826" s="220"/>
      <c r="C826" s="220"/>
      <c r="D826" s="220"/>
      <c r="E826" s="220"/>
      <c r="F826" s="220"/>
      <c r="G826" s="220"/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</row>
    <row r="827" ht="15.75" customHeight="1">
      <c r="A827" s="220"/>
      <c r="B827" s="220"/>
      <c r="C827" s="220"/>
      <c r="D827" s="220"/>
      <c r="E827" s="220"/>
      <c r="F827" s="220"/>
      <c r="G827" s="220"/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</row>
    <row r="828" ht="15.75" customHeight="1">
      <c r="A828" s="220"/>
      <c r="B828" s="220"/>
      <c r="C828" s="220"/>
      <c r="D828" s="220"/>
      <c r="E828" s="220"/>
      <c r="F828" s="220"/>
      <c r="G828" s="220"/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</row>
    <row r="829" ht="15.75" customHeight="1">
      <c r="A829" s="220"/>
      <c r="B829" s="220"/>
      <c r="C829" s="220"/>
      <c r="D829" s="220"/>
      <c r="E829" s="220"/>
      <c r="F829" s="220"/>
      <c r="G829" s="220"/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</row>
    <row r="830" ht="15.75" customHeight="1">
      <c r="A830" s="220"/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</row>
    <row r="831" ht="15.75" customHeight="1">
      <c r="A831" s="220"/>
      <c r="B831" s="220"/>
      <c r="C831" s="220"/>
      <c r="D831" s="220"/>
      <c r="E831" s="220"/>
      <c r="F831" s="220"/>
      <c r="G831" s="220"/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</row>
    <row r="832" ht="15.75" customHeight="1">
      <c r="A832" s="220"/>
      <c r="B832" s="220"/>
      <c r="C832" s="220"/>
      <c r="D832" s="220"/>
      <c r="E832" s="220"/>
      <c r="F832" s="220"/>
      <c r="G832" s="220"/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</row>
    <row r="833" ht="15.75" customHeight="1">
      <c r="A833" s="220"/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</row>
    <row r="834" ht="15.75" customHeight="1">
      <c r="A834" s="220"/>
      <c r="B834" s="220"/>
      <c r="C834" s="220"/>
      <c r="D834" s="220"/>
      <c r="E834" s="220"/>
      <c r="F834" s="220"/>
      <c r="G834" s="220"/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</row>
    <row r="835" ht="15.75" customHeight="1">
      <c r="A835" s="220"/>
      <c r="B835" s="220"/>
      <c r="C835" s="220"/>
      <c r="D835" s="220"/>
      <c r="E835" s="220"/>
      <c r="F835" s="220"/>
      <c r="G835" s="220"/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</row>
    <row r="836" ht="15.75" customHeight="1">
      <c r="A836" s="220"/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</row>
    <row r="837" ht="15.75" customHeight="1">
      <c r="A837" s="220"/>
      <c r="B837" s="220"/>
      <c r="C837" s="220"/>
      <c r="D837" s="220"/>
      <c r="E837" s="220"/>
      <c r="F837" s="220"/>
      <c r="G837" s="220"/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</row>
    <row r="838" ht="15.75" customHeight="1">
      <c r="A838" s="220"/>
      <c r="B838" s="220"/>
      <c r="C838" s="220"/>
      <c r="D838" s="220"/>
      <c r="E838" s="220"/>
      <c r="F838" s="220"/>
      <c r="G838" s="220"/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</row>
    <row r="839" ht="15.75" customHeight="1">
      <c r="A839" s="220"/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</row>
    <row r="840" ht="15.75" customHeight="1">
      <c r="A840" s="220"/>
      <c r="B840" s="220"/>
      <c r="C840" s="220"/>
      <c r="D840" s="220"/>
      <c r="E840" s="220"/>
      <c r="F840" s="220"/>
      <c r="G840" s="220"/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</row>
    <row r="841" ht="15.75" customHeight="1">
      <c r="A841" s="220"/>
      <c r="B841" s="220"/>
      <c r="C841" s="220"/>
      <c r="D841" s="220"/>
      <c r="E841" s="220"/>
      <c r="F841" s="220"/>
      <c r="G841" s="220"/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</row>
    <row r="842" ht="15.75" customHeight="1">
      <c r="A842" s="220"/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</row>
    <row r="843" ht="15.75" customHeight="1">
      <c r="A843" s="220"/>
      <c r="B843" s="220"/>
      <c r="C843" s="220"/>
      <c r="D843" s="220"/>
      <c r="E843" s="220"/>
      <c r="F843" s="220"/>
      <c r="G843" s="220"/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</row>
    <row r="844" ht="15.75" customHeight="1">
      <c r="A844" s="220"/>
      <c r="B844" s="220"/>
      <c r="C844" s="220"/>
      <c r="D844" s="220"/>
      <c r="E844" s="220"/>
      <c r="F844" s="220"/>
      <c r="G844" s="220"/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</row>
    <row r="845" ht="15.75" customHeight="1">
      <c r="A845" s="220"/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</row>
    <row r="846" ht="15.75" customHeight="1">
      <c r="A846" s="220"/>
      <c r="B846" s="220"/>
      <c r="C846" s="220"/>
      <c r="D846" s="220"/>
      <c r="E846" s="220"/>
      <c r="F846" s="220"/>
      <c r="G846" s="220"/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</row>
    <row r="847" ht="15.75" customHeight="1">
      <c r="A847" s="220"/>
      <c r="B847" s="220"/>
      <c r="C847" s="220"/>
      <c r="D847" s="220"/>
      <c r="E847" s="220"/>
      <c r="F847" s="220"/>
      <c r="G847" s="220"/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</row>
    <row r="848" ht="15.75" customHeight="1">
      <c r="A848" s="220"/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</row>
    <row r="849" ht="15.75" customHeight="1">
      <c r="A849" s="220"/>
      <c r="B849" s="220"/>
      <c r="C849" s="220"/>
      <c r="D849" s="220"/>
      <c r="E849" s="220"/>
      <c r="F849" s="220"/>
      <c r="G849" s="220"/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</row>
    <row r="850" ht="15.75" customHeight="1">
      <c r="A850" s="220"/>
      <c r="B850" s="220"/>
      <c r="C850" s="220"/>
      <c r="D850" s="220"/>
      <c r="E850" s="220"/>
      <c r="F850" s="220"/>
      <c r="G850" s="220"/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</row>
    <row r="851" ht="15.75" customHeight="1">
      <c r="A851" s="220"/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</row>
    <row r="852" ht="15.75" customHeight="1">
      <c r="A852" s="220"/>
      <c r="B852" s="220"/>
      <c r="C852" s="220"/>
      <c r="D852" s="220"/>
      <c r="E852" s="220"/>
      <c r="F852" s="220"/>
      <c r="G852" s="220"/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</row>
    <row r="853" ht="15.75" customHeight="1">
      <c r="A853" s="220"/>
      <c r="B853" s="220"/>
      <c r="C853" s="220"/>
      <c r="D853" s="220"/>
      <c r="E853" s="220"/>
      <c r="F853" s="220"/>
      <c r="G853" s="220"/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</row>
    <row r="854" ht="15.75" customHeight="1">
      <c r="A854" s="220"/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</row>
    <row r="855" ht="15.75" customHeight="1">
      <c r="A855" s="220"/>
      <c r="B855" s="220"/>
      <c r="C855" s="220"/>
      <c r="D855" s="220"/>
      <c r="E855" s="220"/>
      <c r="F855" s="220"/>
      <c r="G855" s="220"/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</row>
    <row r="856" ht="15.75" customHeight="1">
      <c r="A856" s="220"/>
      <c r="B856" s="220"/>
      <c r="C856" s="220"/>
      <c r="D856" s="220"/>
      <c r="E856" s="220"/>
      <c r="F856" s="220"/>
      <c r="G856" s="220"/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</row>
    <row r="857" ht="15.75" customHeight="1">
      <c r="A857" s="220"/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</row>
    <row r="858" ht="15.75" customHeight="1">
      <c r="A858" s="220"/>
      <c r="B858" s="220"/>
      <c r="C858" s="220"/>
      <c r="D858" s="220"/>
      <c r="E858" s="220"/>
      <c r="F858" s="220"/>
      <c r="G858" s="220"/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</row>
    <row r="859" ht="15.75" customHeight="1">
      <c r="A859" s="220"/>
      <c r="B859" s="220"/>
      <c r="C859" s="220"/>
      <c r="D859" s="220"/>
      <c r="E859" s="220"/>
      <c r="F859" s="220"/>
      <c r="G859" s="220"/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</row>
    <row r="860" ht="15.75" customHeight="1">
      <c r="A860" s="220"/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</row>
    <row r="861" ht="15.75" customHeight="1">
      <c r="A861" s="220"/>
      <c r="B861" s="220"/>
      <c r="C861" s="220"/>
      <c r="D861" s="220"/>
      <c r="E861" s="220"/>
      <c r="F861" s="220"/>
      <c r="G861" s="220"/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</row>
    <row r="862" ht="15.75" customHeight="1">
      <c r="A862" s="220"/>
      <c r="B862" s="220"/>
      <c r="C862" s="220"/>
      <c r="D862" s="220"/>
      <c r="E862" s="220"/>
      <c r="F862" s="220"/>
      <c r="G862" s="220"/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</row>
    <row r="863" ht="15.75" customHeight="1">
      <c r="A863" s="220"/>
      <c r="B863" s="220"/>
      <c r="C863" s="220"/>
      <c r="D863" s="220"/>
      <c r="E863" s="220"/>
      <c r="F863" s="220"/>
      <c r="G863" s="220"/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</row>
    <row r="864" ht="15.75" customHeight="1">
      <c r="A864" s="220"/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</row>
    <row r="865" ht="15.75" customHeight="1">
      <c r="A865" s="220"/>
      <c r="B865" s="220"/>
      <c r="C865" s="220"/>
      <c r="D865" s="220"/>
      <c r="E865" s="220"/>
      <c r="F865" s="220"/>
      <c r="G865" s="220"/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</row>
    <row r="866" ht="15.75" customHeight="1">
      <c r="A866" s="220"/>
      <c r="B866" s="220"/>
      <c r="C866" s="220"/>
      <c r="D866" s="220"/>
      <c r="E866" s="220"/>
      <c r="F866" s="220"/>
      <c r="G866" s="220"/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</row>
    <row r="867" ht="15.75" customHeight="1">
      <c r="A867" s="220"/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</row>
    <row r="868" ht="15.75" customHeight="1">
      <c r="A868" s="220"/>
      <c r="B868" s="220"/>
      <c r="C868" s="220"/>
      <c r="D868" s="220"/>
      <c r="E868" s="220"/>
      <c r="F868" s="220"/>
      <c r="G868" s="220"/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</row>
    <row r="869" ht="15.75" customHeight="1">
      <c r="A869" s="220"/>
      <c r="B869" s="220"/>
      <c r="C869" s="220"/>
      <c r="D869" s="220"/>
      <c r="E869" s="220"/>
      <c r="F869" s="220"/>
      <c r="G869" s="220"/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</row>
    <row r="870" ht="15.75" customHeight="1">
      <c r="A870" s="220"/>
      <c r="B870" s="220"/>
      <c r="C870" s="220"/>
      <c r="D870" s="220"/>
      <c r="E870" s="220"/>
      <c r="F870" s="220"/>
      <c r="G870" s="220"/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</row>
    <row r="871" ht="15.75" customHeight="1">
      <c r="A871" s="220"/>
      <c r="B871" s="220"/>
      <c r="C871" s="220"/>
      <c r="D871" s="220"/>
      <c r="E871" s="220"/>
      <c r="F871" s="220"/>
      <c r="G871" s="220"/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</row>
    <row r="872" ht="15.75" customHeight="1">
      <c r="A872" s="220"/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</row>
    <row r="873" ht="15.75" customHeight="1">
      <c r="A873" s="220"/>
      <c r="B873" s="220"/>
      <c r="C873" s="220"/>
      <c r="D873" s="220"/>
      <c r="E873" s="220"/>
      <c r="F873" s="220"/>
      <c r="G873" s="220"/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</row>
    <row r="874" ht="15.75" customHeight="1">
      <c r="A874" s="220"/>
      <c r="B874" s="220"/>
      <c r="C874" s="220"/>
      <c r="D874" s="220"/>
      <c r="E874" s="220"/>
      <c r="F874" s="220"/>
      <c r="G874" s="220"/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</row>
    <row r="875" ht="15.75" customHeight="1">
      <c r="A875" s="220"/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</row>
    <row r="876" ht="15.75" customHeight="1">
      <c r="A876" s="220"/>
      <c r="B876" s="220"/>
      <c r="C876" s="220"/>
      <c r="D876" s="220"/>
      <c r="E876" s="220"/>
      <c r="F876" s="220"/>
      <c r="G876" s="220"/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</row>
    <row r="877" ht="15.75" customHeight="1">
      <c r="A877" s="220"/>
      <c r="B877" s="220"/>
      <c r="C877" s="220"/>
      <c r="D877" s="220"/>
      <c r="E877" s="220"/>
      <c r="F877" s="220"/>
      <c r="G877" s="220"/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</row>
    <row r="878" ht="15.75" customHeight="1">
      <c r="A878" s="220"/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</row>
    <row r="879" ht="15.75" customHeight="1">
      <c r="A879" s="220"/>
      <c r="B879" s="220"/>
      <c r="C879" s="220"/>
      <c r="D879" s="220"/>
      <c r="E879" s="220"/>
      <c r="F879" s="220"/>
      <c r="G879" s="220"/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</row>
    <row r="880" ht="15.75" customHeight="1">
      <c r="A880" s="220"/>
      <c r="B880" s="220"/>
      <c r="C880" s="220"/>
      <c r="D880" s="220"/>
      <c r="E880" s="220"/>
      <c r="F880" s="220"/>
      <c r="G880" s="220"/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</row>
    <row r="881" ht="15.75" customHeight="1">
      <c r="A881" s="220"/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</row>
    <row r="882" ht="15.75" customHeight="1">
      <c r="A882" s="220"/>
      <c r="B882" s="220"/>
      <c r="C882" s="220"/>
      <c r="D882" s="220"/>
      <c r="E882" s="220"/>
      <c r="F882" s="220"/>
      <c r="G882" s="220"/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</row>
    <row r="883" ht="15.75" customHeight="1">
      <c r="A883" s="220"/>
      <c r="B883" s="220"/>
      <c r="C883" s="220"/>
      <c r="D883" s="220"/>
      <c r="E883" s="220"/>
      <c r="F883" s="220"/>
      <c r="G883" s="220"/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</row>
    <row r="884" ht="15.75" customHeight="1">
      <c r="A884" s="220"/>
      <c r="B884" s="220"/>
      <c r="C884" s="220"/>
      <c r="D884" s="220"/>
      <c r="E884" s="220"/>
      <c r="F884" s="220"/>
      <c r="G884" s="220"/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</row>
    <row r="885" ht="15.75" customHeight="1">
      <c r="A885" s="220"/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</row>
    <row r="886" ht="15.75" customHeight="1">
      <c r="A886" s="220"/>
      <c r="B886" s="220"/>
      <c r="C886" s="220"/>
      <c r="D886" s="220"/>
      <c r="E886" s="220"/>
      <c r="F886" s="220"/>
      <c r="G886" s="220"/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</row>
    <row r="887" ht="15.75" customHeight="1">
      <c r="A887" s="220"/>
      <c r="B887" s="220"/>
      <c r="C887" s="220"/>
      <c r="D887" s="220"/>
      <c r="E887" s="220"/>
      <c r="F887" s="220"/>
      <c r="G887" s="220"/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</row>
    <row r="888" ht="15.75" customHeight="1">
      <c r="A888" s="220"/>
      <c r="B888" s="220"/>
      <c r="C888" s="220"/>
      <c r="D888" s="220"/>
      <c r="E888" s="220"/>
      <c r="F888" s="220"/>
      <c r="G888" s="220"/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</row>
    <row r="889" ht="15.75" customHeight="1">
      <c r="A889" s="220"/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</row>
    <row r="890" ht="15.75" customHeight="1">
      <c r="A890" s="220"/>
      <c r="B890" s="220"/>
      <c r="C890" s="220"/>
      <c r="D890" s="220"/>
      <c r="E890" s="220"/>
      <c r="F890" s="220"/>
      <c r="G890" s="220"/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</row>
    <row r="891" ht="15.75" customHeight="1">
      <c r="A891" s="220"/>
      <c r="B891" s="220"/>
      <c r="C891" s="220"/>
      <c r="D891" s="220"/>
      <c r="E891" s="220"/>
      <c r="F891" s="220"/>
      <c r="G891" s="220"/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</row>
    <row r="892" ht="15.75" customHeight="1">
      <c r="A892" s="220"/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</row>
    <row r="893" ht="15.75" customHeight="1">
      <c r="A893" s="220"/>
      <c r="B893" s="220"/>
      <c r="C893" s="220"/>
      <c r="D893" s="220"/>
      <c r="E893" s="220"/>
      <c r="F893" s="220"/>
      <c r="G893" s="220"/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</row>
    <row r="894" ht="15.75" customHeight="1">
      <c r="A894" s="220"/>
      <c r="B894" s="220"/>
      <c r="C894" s="220"/>
      <c r="D894" s="220"/>
      <c r="E894" s="220"/>
      <c r="F894" s="220"/>
      <c r="G894" s="220"/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</row>
    <row r="895" ht="15.75" customHeight="1">
      <c r="A895" s="220"/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</row>
    <row r="896" ht="15.75" customHeight="1">
      <c r="A896" s="220"/>
      <c r="B896" s="220"/>
      <c r="C896" s="220"/>
      <c r="D896" s="220"/>
      <c r="E896" s="220"/>
      <c r="F896" s="220"/>
      <c r="G896" s="220"/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</row>
    <row r="897" ht="15.75" customHeight="1">
      <c r="A897" s="220"/>
      <c r="B897" s="220"/>
      <c r="C897" s="220"/>
      <c r="D897" s="220"/>
      <c r="E897" s="220"/>
      <c r="F897" s="220"/>
      <c r="G897" s="220"/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</row>
    <row r="898" ht="15.75" customHeight="1">
      <c r="A898" s="220"/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</row>
    <row r="899" ht="15.75" customHeight="1">
      <c r="A899" s="220"/>
      <c r="B899" s="220"/>
      <c r="C899" s="220"/>
      <c r="D899" s="220"/>
      <c r="E899" s="220"/>
      <c r="F899" s="220"/>
      <c r="G899" s="220"/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</row>
    <row r="900" ht="15.75" customHeight="1">
      <c r="A900" s="220"/>
      <c r="B900" s="220"/>
      <c r="C900" s="220"/>
      <c r="D900" s="220"/>
      <c r="E900" s="220"/>
      <c r="F900" s="220"/>
      <c r="G900" s="220"/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</row>
    <row r="901" ht="15.75" customHeight="1">
      <c r="A901" s="220"/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</row>
    <row r="902" ht="15.75" customHeight="1">
      <c r="A902" s="220"/>
      <c r="B902" s="220"/>
      <c r="C902" s="220"/>
      <c r="D902" s="220"/>
      <c r="E902" s="220"/>
      <c r="F902" s="220"/>
      <c r="G902" s="220"/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</row>
    <row r="903" ht="15.75" customHeight="1">
      <c r="A903" s="220"/>
      <c r="B903" s="220"/>
      <c r="C903" s="220"/>
      <c r="D903" s="220"/>
      <c r="E903" s="220"/>
      <c r="F903" s="220"/>
      <c r="G903" s="220"/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</row>
    <row r="904" ht="15.75" customHeight="1">
      <c r="A904" s="220"/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</row>
    <row r="905" ht="15.75" customHeight="1">
      <c r="A905" s="220"/>
      <c r="B905" s="220"/>
      <c r="C905" s="220"/>
      <c r="D905" s="220"/>
      <c r="E905" s="220"/>
      <c r="F905" s="220"/>
      <c r="G905" s="220"/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</row>
    <row r="906" ht="15.75" customHeight="1">
      <c r="A906" s="220"/>
      <c r="B906" s="220"/>
      <c r="C906" s="220"/>
      <c r="D906" s="220"/>
      <c r="E906" s="220"/>
      <c r="F906" s="220"/>
      <c r="G906" s="220"/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</row>
    <row r="907" ht="15.75" customHeight="1">
      <c r="A907" s="220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</row>
    <row r="908" ht="15.75" customHeight="1">
      <c r="A908" s="220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</row>
    <row r="909" ht="15.75" customHeight="1">
      <c r="A909" s="220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</row>
    <row r="910" ht="15.75" customHeight="1">
      <c r="A910" s="220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</row>
    <row r="911" ht="15.75" customHeight="1">
      <c r="A911" s="220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</row>
    <row r="912" ht="15.75" customHeight="1">
      <c r="A912" s="220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</row>
    <row r="913" ht="15.75" customHeight="1">
      <c r="A913" s="220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</row>
    <row r="914" ht="15.75" customHeight="1">
      <c r="A914" s="220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</row>
    <row r="915" ht="15.75" customHeight="1">
      <c r="A915" s="220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</row>
    <row r="916" ht="15.75" customHeight="1">
      <c r="A916" s="220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</row>
    <row r="917" ht="15.75" customHeight="1">
      <c r="A917" s="220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</row>
    <row r="918" ht="15.75" customHeight="1">
      <c r="A918" s="220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</row>
    <row r="919" ht="15.75" customHeight="1">
      <c r="A919" s="220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</row>
    <row r="920" ht="15.75" customHeight="1">
      <c r="A920" s="220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</row>
    <row r="921" ht="15.75" customHeight="1">
      <c r="A921" s="220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</row>
    <row r="922" ht="15.75" customHeight="1">
      <c r="A922" s="220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</row>
    <row r="923" ht="15.75" customHeight="1">
      <c r="A923" s="220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</row>
    <row r="924" ht="15.75" customHeight="1">
      <c r="A924" s="220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</row>
    <row r="925" ht="15.75" customHeight="1">
      <c r="A925" s="220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</row>
    <row r="926" ht="15.75" customHeight="1">
      <c r="A926" s="220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</row>
    <row r="927" ht="15.75" customHeight="1">
      <c r="A927" s="220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</row>
    <row r="928" ht="15.75" customHeight="1">
      <c r="A928" s="220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</row>
    <row r="929" ht="15.75" customHeight="1">
      <c r="A929" s="220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</row>
    <row r="930" ht="15.75" customHeight="1">
      <c r="A930" s="220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</row>
    <row r="931" ht="15.75" customHeight="1">
      <c r="A931" s="220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</row>
    <row r="932" ht="15.75" customHeight="1">
      <c r="A932" s="220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</row>
    <row r="933" ht="15.75" customHeight="1">
      <c r="A933" s="220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</row>
    <row r="934" ht="15.75" customHeight="1">
      <c r="A934" s="220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</row>
    <row r="935" ht="15.75" customHeight="1">
      <c r="A935" s="220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</row>
    <row r="936" ht="15.75" customHeight="1">
      <c r="A936" s="220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</row>
    <row r="937" ht="15.75" customHeight="1">
      <c r="A937" s="220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</row>
    <row r="938" ht="15.75" customHeight="1">
      <c r="A938" s="220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</row>
    <row r="939" ht="15.75" customHeight="1">
      <c r="A939" s="220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</row>
    <row r="940" ht="15.75" customHeight="1">
      <c r="A940" s="220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</row>
    <row r="941" ht="15.75" customHeight="1">
      <c r="A941" s="220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</row>
    <row r="942" ht="15.75" customHeight="1">
      <c r="A942" s="220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</row>
    <row r="943" ht="15.75" customHeight="1">
      <c r="A943" s="220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</row>
    <row r="944" ht="15.75" customHeight="1">
      <c r="A944" s="220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</row>
    <row r="945" ht="15.75" customHeight="1">
      <c r="A945" s="220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</row>
    <row r="946" ht="15.75" customHeight="1">
      <c r="A946" s="220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</row>
    <row r="947" ht="15.75" customHeight="1">
      <c r="A947" s="220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</row>
    <row r="948" ht="15.75" customHeight="1">
      <c r="A948" s="220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</row>
    <row r="949" ht="15.75" customHeight="1">
      <c r="A949" s="220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</row>
    <row r="950" ht="15.75" customHeight="1">
      <c r="A950" s="220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</row>
    <row r="951" ht="15.75" customHeight="1">
      <c r="A951" s="220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</row>
    <row r="952" ht="15.75" customHeight="1">
      <c r="A952" s="220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</row>
    <row r="953" ht="15.75" customHeight="1">
      <c r="A953" s="220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</row>
    <row r="954" ht="15.75" customHeight="1">
      <c r="A954" s="220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</row>
    <row r="955" ht="15.75" customHeight="1">
      <c r="A955" s="220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</row>
    <row r="956" ht="15.75" customHeight="1">
      <c r="A956" s="220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</row>
    <row r="957" ht="15.75" customHeight="1">
      <c r="A957" s="220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</row>
    <row r="958" ht="15.75" customHeight="1">
      <c r="A958" s="220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</row>
    <row r="959" ht="15.75" customHeight="1">
      <c r="A959" s="220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</row>
    <row r="960" ht="15.75" customHeight="1">
      <c r="A960" s="220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</row>
    <row r="961" ht="15.75" customHeight="1">
      <c r="A961" s="220"/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</row>
    <row r="962" ht="15.75" customHeight="1">
      <c r="A962" s="220"/>
      <c r="B962" s="220"/>
      <c r="C962" s="220"/>
      <c r="D962" s="220"/>
      <c r="E962" s="220"/>
      <c r="F962" s="220"/>
      <c r="G962" s="220"/>
      <c r="H962" s="220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</row>
    <row r="963" ht="15.75" customHeight="1">
      <c r="A963" s="220"/>
      <c r="B963" s="220"/>
      <c r="C963" s="220"/>
      <c r="D963" s="220"/>
      <c r="E963" s="220"/>
      <c r="F963" s="220"/>
      <c r="G963" s="220"/>
      <c r="H963" s="220"/>
      <c r="I963" s="220"/>
      <c r="J963" s="220"/>
      <c r="K963" s="220"/>
      <c r="L963" s="220"/>
      <c r="M963" s="220"/>
      <c r="N963" s="220"/>
      <c r="O963" s="220"/>
      <c r="P963" s="220"/>
      <c r="Q963" s="220"/>
      <c r="R963" s="220"/>
      <c r="S963" s="220"/>
      <c r="T963" s="220"/>
      <c r="U963" s="220"/>
      <c r="V963" s="220"/>
    </row>
    <row r="964" ht="15.75" customHeight="1">
      <c r="A964" s="220"/>
      <c r="B964" s="220"/>
      <c r="C964" s="220"/>
      <c r="D964" s="220"/>
      <c r="E964" s="220"/>
      <c r="F964" s="220"/>
      <c r="G964" s="220"/>
      <c r="H964" s="220"/>
      <c r="I964" s="220"/>
      <c r="J964" s="220"/>
      <c r="K964" s="220"/>
      <c r="L964" s="220"/>
      <c r="M964" s="220"/>
      <c r="N964" s="220"/>
      <c r="O964" s="220"/>
      <c r="P964" s="220"/>
      <c r="Q964" s="220"/>
      <c r="R964" s="220"/>
      <c r="S964" s="220"/>
      <c r="T964" s="220"/>
      <c r="U964" s="220"/>
      <c r="V964" s="220"/>
    </row>
    <row r="965" ht="15.75" customHeight="1">
      <c r="A965" s="220"/>
      <c r="B965" s="220"/>
      <c r="C965" s="220"/>
      <c r="D965" s="220"/>
      <c r="E965" s="220"/>
      <c r="F965" s="220"/>
      <c r="G965" s="220"/>
      <c r="H965" s="220"/>
      <c r="I965" s="220"/>
      <c r="J965" s="220"/>
      <c r="K965" s="220"/>
      <c r="L965" s="220"/>
      <c r="M965" s="220"/>
      <c r="N965" s="220"/>
      <c r="O965" s="220"/>
      <c r="P965" s="220"/>
      <c r="Q965" s="220"/>
      <c r="R965" s="220"/>
      <c r="S965" s="220"/>
      <c r="T965" s="220"/>
      <c r="U965" s="220"/>
      <c r="V965" s="220"/>
    </row>
    <row r="966" ht="15.75" customHeight="1">
      <c r="A966" s="220"/>
      <c r="B966" s="220"/>
      <c r="C966" s="220"/>
      <c r="D966" s="220"/>
      <c r="E966" s="220"/>
      <c r="F966" s="220"/>
      <c r="G966" s="220"/>
      <c r="H966" s="220"/>
      <c r="I966" s="220"/>
      <c r="J966" s="220"/>
      <c r="K966" s="220"/>
      <c r="L966" s="220"/>
      <c r="M966" s="220"/>
      <c r="N966" s="220"/>
      <c r="O966" s="220"/>
      <c r="P966" s="220"/>
      <c r="Q966" s="220"/>
      <c r="R966" s="220"/>
      <c r="S966" s="220"/>
      <c r="T966" s="220"/>
      <c r="U966" s="220"/>
      <c r="V966" s="220"/>
    </row>
    <row r="967" ht="15.75" customHeight="1">
      <c r="A967" s="220"/>
      <c r="B967" s="220"/>
      <c r="C967" s="220"/>
      <c r="D967" s="220"/>
      <c r="E967" s="220"/>
      <c r="F967" s="220"/>
      <c r="G967" s="220"/>
      <c r="H967" s="220"/>
      <c r="I967" s="220"/>
      <c r="J967" s="220"/>
      <c r="K967" s="220"/>
      <c r="L967" s="220"/>
      <c r="M967" s="220"/>
      <c r="N967" s="220"/>
      <c r="O967" s="220"/>
      <c r="P967" s="220"/>
      <c r="Q967" s="220"/>
      <c r="R967" s="220"/>
      <c r="S967" s="220"/>
      <c r="T967" s="220"/>
      <c r="U967" s="220"/>
      <c r="V967" s="220"/>
    </row>
    <row r="968" ht="15.75" customHeight="1">
      <c r="A968" s="220"/>
      <c r="B968" s="220"/>
      <c r="C968" s="220"/>
      <c r="D968" s="220"/>
      <c r="E968" s="220"/>
      <c r="F968" s="220"/>
      <c r="G968" s="220"/>
      <c r="H968" s="220"/>
      <c r="I968" s="220"/>
      <c r="J968" s="220"/>
      <c r="K968" s="220"/>
      <c r="L968" s="220"/>
      <c r="M968" s="220"/>
      <c r="N968" s="220"/>
      <c r="O968" s="220"/>
      <c r="P968" s="220"/>
      <c r="Q968" s="220"/>
      <c r="R968" s="220"/>
      <c r="S968" s="220"/>
      <c r="T968" s="220"/>
      <c r="U968" s="220"/>
      <c r="V968" s="220"/>
    </row>
    <row r="969" ht="15.75" customHeight="1">
      <c r="A969" s="220"/>
      <c r="B969" s="220"/>
      <c r="C969" s="220"/>
      <c r="D969" s="220"/>
      <c r="E969" s="220"/>
      <c r="F969" s="220"/>
      <c r="G969" s="220"/>
      <c r="H969" s="220"/>
      <c r="I969" s="220"/>
      <c r="J969" s="220"/>
      <c r="K969" s="220"/>
      <c r="L969" s="220"/>
      <c r="M969" s="220"/>
      <c r="N969" s="220"/>
      <c r="O969" s="220"/>
      <c r="P969" s="220"/>
      <c r="Q969" s="220"/>
      <c r="R969" s="220"/>
      <c r="S969" s="220"/>
      <c r="T969" s="220"/>
      <c r="U969" s="220"/>
      <c r="V969" s="220"/>
    </row>
    <row r="970" ht="15.75" customHeight="1">
      <c r="A970" s="220"/>
      <c r="B970" s="220"/>
      <c r="C970" s="220"/>
      <c r="D970" s="220"/>
      <c r="E970" s="220"/>
      <c r="F970" s="220"/>
      <c r="G970" s="220"/>
      <c r="H970" s="220"/>
      <c r="I970" s="220"/>
      <c r="J970" s="220"/>
      <c r="K970" s="220"/>
      <c r="L970" s="220"/>
      <c r="M970" s="220"/>
      <c r="N970" s="220"/>
      <c r="O970" s="220"/>
      <c r="P970" s="220"/>
      <c r="Q970" s="220"/>
      <c r="R970" s="220"/>
      <c r="S970" s="220"/>
      <c r="T970" s="220"/>
      <c r="U970" s="220"/>
      <c r="V970" s="220"/>
    </row>
    <row r="971" ht="15.75" customHeight="1">
      <c r="A971" s="220"/>
      <c r="B971" s="220"/>
      <c r="C971" s="220"/>
      <c r="D971" s="220"/>
      <c r="E971" s="220"/>
      <c r="F971" s="220"/>
      <c r="G971" s="220"/>
      <c r="H971" s="220"/>
      <c r="I971" s="220"/>
      <c r="J971" s="220"/>
      <c r="K971" s="220"/>
      <c r="L971" s="220"/>
      <c r="M971" s="220"/>
      <c r="N971" s="220"/>
      <c r="O971" s="220"/>
      <c r="P971" s="220"/>
      <c r="Q971" s="220"/>
      <c r="R971" s="220"/>
      <c r="S971" s="220"/>
      <c r="T971" s="220"/>
      <c r="U971" s="220"/>
      <c r="V971" s="220"/>
    </row>
    <row r="972" ht="15.75" customHeight="1">
      <c r="A972" s="220"/>
      <c r="B972" s="220"/>
      <c r="C972" s="220"/>
      <c r="D972" s="220"/>
      <c r="E972" s="220"/>
      <c r="F972" s="220"/>
      <c r="G972" s="220"/>
      <c r="H972" s="220"/>
      <c r="I972" s="220"/>
      <c r="J972" s="220"/>
      <c r="K972" s="220"/>
      <c r="L972" s="220"/>
      <c r="M972" s="220"/>
      <c r="N972" s="220"/>
      <c r="O972" s="220"/>
      <c r="P972" s="220"/>
      <c r="Q972" s="220"/>
      <c r="R972" s="220"/>
      <c r="S972" s="220"/>
      <c r="T972" s="220"/>
      <c r="U972" s="220"/>
      <c r="V972" s="220"/>
    </row>
    <row r="973" ht="15.75" customHeight="1">
      <c r="A973" s="220"/>
      <c r="B973" s="220"/>
      <c r="C973" s="220"/>
      <c r="D973" s="220"/>
      <c r="E973" s="220"/>
      <c r="F973" s="220"/>
      <c r="G973" s="220"/>
      <c r="H973" s="220"/>
      <c r="I973" s="220"/>
      <c r="J973" s="220"/>
      <c r="K973" s="220"/>
      <c r="L973" s="220"/>
      <c r="M973" s="220"/>
      <c r="N973" s="220"/>
      <c r="O973" s="220"/>
      <c r="P973" s="220"/>
      <c r="Q973" s="220"/>
      <c r="R973" s="220"/>
      <c r="S973" s="220"/>
      <c r="T973" s="220"/>
      <c r="U973" s="220"/>
      <c r="V973" s="220"/>
    </row>
    <row r="974" ht="15.75" customHeight="1">
      <c r="A974" s="220"/>
      <c r="B974" s="220"/>
      <c r="C974" s="220"/>
      <c r="D974" s="220"/>
      <c r="E974" s="220"/>
      <c r="F974" s="220"/>
      <c r="G974" s="220"/>
      <c r="H974" s="220"/>
      <c r="I974" s="220"/>
      <c r="J974" s="220"/>
      <c r="K974" s="220"/>
      <c r="L974" s="220"/>
      <c r="M974" s="220"/>
      <c r="N974" s="220"/>
      <c r="O974" s="220"/>
      <c r="P974" s="220"/>
      <c r="Q974" s="220"/>
      <c r="R974" s="220"/>
      <c r="S974" s="220"/>
      <c r="T974" s="220"/>
      <c r="U974" s="220"/>
      <c r="V974" s="220"/>
    </row>
    <row r="975" ht="15.75" customHeight="1">
      <c r="A975" s="220"/>
      <c r="B975" s="220"/>
      <c r="C975" s="220"/>
      <c r="D975" s="220"/>
      <c r="E975" s="220"/>
      <c r="F975" s="220"/>
      <c r="G975" s="220"/>
      <c r="H975" s="220"/>
      <c r="I975" s="220"/>
      <c r="J975" s="220"/>
      <c r="K975" s="220"/>
      <c r="L975" s="220"/>
      <c r="M975" s="220"/>
      <c r="N975" s="220"/>
      <c r="O975" s="220"/>
      <c r="P975" s="220"/>
      <c r="Q975" s="220"/>
      <c r="R975" s="220"/>
      <c r="S975" s="220"/>
      <c r="T975" s="220"/>
      <c r="U975" s="220"/>
      <c r="V975" s="220"/>
    </row>
    <row r="976" ht="15.75" customHeight="1">
      <c r="A976" s="220"/>
      <c r="B976" s="220"/>
      <c r="C976" s="220"/>
      <c r="D976" s="220"/>
      <c r="E976" s="220"/>
      <c r="F976" s="220"/>
      <c r="G976" s="220"/>
      <c r="H976" s="220"/>
      <c r="I976" s="220"/>
      <c r="J976" s="220"/>
      <c r="K976" s="220"/>
      <c r="L976" s="220"/>
      <c r="M976" s="220"/>
      <c r="N976" s="220"/>
      <c r="O976" s="220"/>
      <c r="P976" s="220"/>
      <c r="Q976" s="220"/>
      <c r="R976" s="220"/>
      <c r="S976" s="220"/>
      <c r="T976" s="220"/>
      <c r="U976" s="220"/>
      <c r="V976" s="220"/>
    </row>
    <row r="977" ht="15.75" customHeight="1">
      <c r="A977" s="220"/>
      <c r="B977" s="220"/>
      <c r="C977" s="220"/>
      <c r="D977" s="220"/>
      <c r="E977" s="220"/>
      <c r="F977" s="220"/>
      <c r="G977" s="220"/>
      <c r="H977" s="220"/>
      <c r="I977" s="220"/>
      <c r="J977" s="220"/>
      <c r="K977" s="220"/>
      <c r="L977" s="220"/>
      <c r="M977" s="220"/>
      <c r="N977" s="220"/>
      <c r="O977" s="220"/>
      <c r="P977" s="220"/>
      <c r="Q977" s="220"/>
      <c r="R977" s="220"/>
      <c r="S977" s="220"/>
      <c r="T977" s="220"/>
      <c r="U977" s="220"/>
      <c r="V977" s="220"/>
    </row>
    <row r="978" ht="15.75" customHeight="1">
      <c r="A978" s="220"/>
      <c r="B978" s="220"/>
      <c r="C978" s="220"/>
      <c r="D978" s="220"/>
      <c r="E978" s="220"/>
      <c r="F978" s="220"/>
      <c r="G978" s="220"/>
      <c r="H978" s="220"/>
      <c r="I978" s="220"/>
      <c r="J978" s="220"/>
      <c r="K978" s="220"/>
      <c r="L978" s="220"/>
      <c r="M978" s="220"/>
      <c r="N978" s="220"/>
      <c r="O978" s="220"/>
      <c r="P978" s="220"/>
      <c r="Q978" s="220"/>
      <c r="R978" s="220"/>
      <c r="S978" s="220"/>
      <c r="T978" s="220"/>
      <c r="U978" s="220"/>
      <c r="V978" s="220"/>
    </row>
    <row r="979" ht="15.75" customHeight="1">
      <c r="A979" s="220"/>
      <c r="B979" s="220"/>
      <c r="C979" s="220"/>
      <c r="D979" s="220"/>
      <c r="E979" s="220"/>
      <c r="F979" s="220"/>
      <c r="G979" s="220"/>
      <c r="H979" s="220"/>
      <c r="I979" s="220"/>
      <c r="J979" s="220"/>
      <c r="K979" s="220"/>
      <c r="L979" s="220"/>
      <c r="M979" s="220"/>
      <c r="N979" s="220"/>
      <c r="O979" s="220"/>
      <c r="P979" s="220"/>
      <c r="Q979" s="220"/>
      <c r="R979" s="220"/>
      <c r="S979" s="220"/>
      <c r="T979" s="220"/>
      <c r="U979" s="220"/>
      <c r="V979" s="220"/>
    </row>
    <row r="980" ht="15.75" customHeight="1">
      <c r="A980" s="220"/>
      <c r="B980" s="220"/>
      <c r="C980" s="220"/>
      <c r="D980" s="220"/>
      <c r="E980" s="220"/>
      <c r="F980" s="220"/>
      <c r="G980" s="220"/>
      <c r="H980" s="220"/>
      <c r="I980" s="220"/>
      <c r="J980" s="220"/>
      <c r="K980" s="220"/>
      <c r="L980" s="220"/>
      <c r="M980" s="220"/>
      <c r="N980" s="220"/>
      <c r="O980" s="220"/>
      <c r="P980" s="220"/>
      <c r="Q980" s="220"/>
      <c r="R980" s="220"/>
      <c r="S980" s="220"/>
      <c r="T980" s="220"/>
      <c r="U980" s="220"/>
      <c r="V980" s="220"/>
    </row>
    <row r="981" ht="15.75" customHeight="1">
      <c r="A981" s="220"/>
      <c r="B981" s="220"/>
      <c r="C981" s="220"/>
      <c r="D981" s="220"/>
      <c r="E981" s="220"/>
      <c r="F981" s="220"/>
      <c r="G981" s="220"/>
      <c r="H981" s="220"/>
      <c r="I981" s="220"/>
      <c r="J981" s="220"/>
      <c r="K981" s="220"/>
      <c r="L981" s="220"/>
      <c r="M981" s="220"/>
      <c r="N981" s="220"/>
      <c r="O981" s="220"/>
      <c r="P981" s="220"/>
      <c r="Q981" s="220"/>
      <c r="R981" s="220"/>
      <c r="S981" s="220"/>
      <c r="T981" s="220"/>
      <c r="U981" s="220"/>
      <c r="V981" s="220"/>
    </row>
    <row r="982" ht="15.75" customHeight="1">
      <c r="A982" s="220"/>
      <c r="B982" s="220"/>
      <c r="C982" s="220"/>
      <c r="D982" s="220"/>
      <c r="E982" s="220"/>
      <c r="F982" s="220"/>
      <c r="G982" s="220"/>
      <c r="H982" s="220"/>
      <c r="I982" s="220"/>
      <c r="J982" s="220"/>
      <c r="K982" s="220"/>
      <c r="L982" s="220"/>
      <c r="M982" s="220"/>
      <c r="N982" s="220"/>
      <c r="O982" s="220"/>
      <c r="P982" s="220"/>
      <c r="Q982" s="220"/>
      <c r="R982" s="220"/>
      <c r="S982" s="220"/>
      <c r="T982" s="220"/>
      <c r="U982" s="220"/>
      <c r="V982" s="220"/>
    </row>
    <row r="983" ht="15.75" customHeight="1">
      <c r="A983" s="220"/>
      <c r="B983" s="220"/>
      <c r="C983" s="220"/>
      <c r="D983" s="220"/>
      <c r="E983" s="220"/>
      <c r="F983" s="220"/>
      <c r="G983" s="220"/>
      <c r="H983" s="220"/>
      <c r="I983" s="220"/>
      <c r="J983" s="220"/>
      <c r="K983" s="220"/>
      <c r="L983" s="220"/>
      <c r="M983" s="220"/>
      <c r="N983" s="220"/>
      <c r="O983" s="220"/>
      <c r="P983" s="220"/>
      <c r="Q983" s="220"/>
      <c r="R983" s="220"/>
      <c r="S983" s="220"/>
      <c r="T983" s="220"/>
      <c r="U983" s="220"/>
      <c r="V983" s="220"/>
    </row>
    <row r="984" ht="15.75" customHeight="1">
      <c r="A984" s="220"/>
      <c r="B984" s="220"/>
      <c r="C984" s="220"/>
      <c r="D984" s="220"/>
      <c r="E984" s="220"/>
      <c r="F984" s="220"/>
      <c r="G984" s="220"/>
      <c r="H984" s="220"/>
      <c r="I984" s="220"/>
      <c r="J984" s="220"/>
      <c r="K984" s="220"/>
      <c r="L984" s="220"/>
      <c r="M984" s="220"/>
      <c r="N984" s="220"/>
      <c r="O984" s="220"/>
      <c r="P984" s="220"/>
      <c r="Q984" s="220"/>
      <c r="R984" s="220"/>
      <c r="S984" s="220"/>
      <c r="T984" s="220"/>
      <c r="U984" s="220"/>
      <c r="V984" s="220"/>
    </row>
    <row r="985" ht="15.75" customHeight="1">
      <c r="A985" s="220"/>
      <c r="B985" s="220"/>
      <c r="C985" s="220"/>
      <c r="D985" s="220"/>
      <c r="E985" s="220"/>
      <c r="F985" s="220"/>
      <c r="G985" s="220"/>
      <c r="H985" s="220"/>
      <c r="I985" s="220"/>
      <c r="J985" s="220"/>
      <c r="K985" s="220"/>
      <c r="L985" s="220"/>
      <c r="M985" s="220"/>
      <c r="N985" s="220"/>
      <c r="O985" s="220"/>
      <c r="P985" s="220"/>
      <c r="Q985" s="220"/>
      <c r="R985" s="220"/>
      <c r="S985" s="220"/>
      <c r="T985" s="220"/>
      <c r="U985" s="220"/>
      <c r="V985" s="220"/>
    </row>
    <row r="986" ht="15.75" customHeight="1">
      <c r="A986" s="220"/>
      <c r="B986" s="220"/>
      <c r="C986" s="220"/>
      <c r="D986" s="220"/>
      <c r="E986" s="220"/>
      <c r="F986" s="220"/>
      <c r="G986" s="220"/>
      <c r="H986" s="220"/>
      <c r="I986" s="220"/>
      <c r="J986" s="220"/>
      <c r="K986" s="220"/>
      <c r="L986" s="220"/>
      <c r="M986" s="220"/>
      <c r="N986" s="220"/>
      <c r="O986" s="220"/>
      <c r="P986" s="220"/>
      <c r="Q986" s="220"/>
      <c r="R986" s="220"/>
      <c r="S986" s="220"/>
      <c r="T986" s="220"/>
      <c r="U986" s="220"/>
      <c r="V986" s="220"/>
    </row>
    <row r="987" ht="15.75" customHeight="1">
      <c r="A987" s="220"/>
      <c r="B987" s="220"/>
      <c r="C987" s="220"/>
      <c r="D987" s="220"/>
      <c r="E987" s="220"/>
      <c r="F987" s="220"/>
      <c r="G987" s="220"/>
      <c r="H987" s="220"/>
      <c r="I987" s="220"/>
      <c r="J987" s="220"/>
      <c r="K987" s="220"/>
      <c r="L987" s="220"/>
      <c r="M987" s="220"/>
      <c r="N987" s="220"/>
      <c r="O987" s="220"/>
      <c r="P987" s="220"/>
      <c r="Q987" s="220"/>
      <c r="R987" s="220"/>
      <c r="S987" s="220"/>
      <c r="T987" s="220"/>
      <c r="U987" s="220"/>
      <c r="V987" s="220"/>
    </row>
    <row r="988" ht="15.75" customHeight="1">
      <c r="A988" s="220"/>
      <c r="B988" s="220"/>
      <c r="C988" s="220"/>
      <c r="D988" s="220"/>
      <c r="E988" s="220"/>
      <c r="F988" s="220"/>
      <c r="G988" s="220"/>
      <c r="H988" s="220"/>
      <c r="I988" s="220"/>
      <c r="J988" s="220"/>
      <c r="K988" s="220"/>
      <c r="L988" s="220"/>
      <c r="M988" s="220"/>
      <c r="N988" s="220"/>
      <c r="O988" s="220"/>
      <c r="P988" s="220"/>
      <c r="Q988" s="220"/>
      <c r="R988" s="220"/>
      <c r="S988" s="220"/>
      <c r="T988" s="220"/>
      <c r="U988" s="220"/>
      <c r="V988" s="220"/>
    </row>
    <row r="989" ht="15.75" customHeight="1">
      <c r="A989" s="220"/>
      <c r="B989" s="220"/>
      <c r="C989" s="220"/>
      <c r="D989" s="220"/>
      <c r="E989" s="220"/>
      <c r="F989" s="220"/>
      <c r="G989" s="220"/>
      <c r="H989" s="220"/>
      <c r="I989" s="220"/>
      <c r="J989" s="220"/>
      <c r="K989" s="220"/>
      <c r="L989" s="220"/>
      <c r="M989" s="220"/>
      <c r="N989" s="220"/>
      <c r="O989" s="220"/>
      <c r="P989" s="220"/>
      <c r="Q989" s="220"/>
      <c r="R989" s="220"/>
      <c r="S989" s="220"/>
      <c r="T989" s="220"/>
      <c r="U989" s="220"/>
      <c r="V989" s="220"/>
    </row>
    <row r="990" ht="15.75" customHeight="1">
      <c r="A990" s="220"/>
      <c r="B990" s="220"/>
      <c r="C990" s="220"/>
      <c r="D990" s="220"/>
      <c r="E990" s="220"/>
      <c r="F990" s="220"/>
      <c r="G990" s="220"/>
      <c r="H990" s="220"/>
      <c r="I990" s="220"/>
      <c r="J990" s="220"/>
      <c r="K990" s="220"/>
      <c r="L990" s="220"/>
      <c r="M990" s="220"/>
      <c r="N990" s="220"/>
      <c r="O990" s="220"/>
      <c r="P990" s="220"/>
      <c r="Q990" s="220"/>
      <c r="R990" s="220"/>
      <c r="S990" s="220"/>
      <c r="T990" s="220"/>
      <c r="U990" s="220"/>
      <c r="V990" s="220"/>
    </row>
    <row r="991" ht="15.75" customHeight="1">
      <c r="A991" s="220"/>
      <c r="B991" s="220"/>
      <c r="C991" s="220"/>
      <c r="D991" s="220"/>
      <c r="E991" s="220"/>
      <c r="F991" s="220"/>
      <c r="G991" s="220"/>
      <c r="H991" s="220"/>
      <c r="I991" s="220"/>
      <c r="J991" s="220"/>
      <c r="K991" s="220"/>
      <c r="L991" s="220"/>
      <c r="M991" s="220"/>
      <c r="N991" s="220"/>
      <c r="O991" s="220"/>
      <c r="P991" s="220"/>
      <c r="Q991" s="220"/>
      <c r="R991" s="220"/>
      <c r="S991" s="220"/>
      <c r="T991" s="220"/>
      <c r="U991" s="220"/>
      <c r="V991" s="220"/>
    </row>
    <row r="992" ht="15.75" customHeight="1">
      <c r="A992" s="220"/>
      <c r="B992" s="220"/>
      <c r="C992" s="220"/>
      <c r="D992" s="220"/>
      <c r="E992" s="220"/>
      <c r="F992" s="220"/>
      <c r="G992" s="220"/>
      <c r="H992" s="220"/>
      <c r="I992" s="220"/>
      <c r="J992" s="220"/>
      <c r="K992" s="220"/>
      <c r="L992" s="220"/>
      <c r="M992" s="220"/>
      <c r="N992" s="220"/>
      <c r="O992" s="220"/>
      <c r="P992" s="220"/>
      <c r="Q992" s="220"/>
      <c r="R992" s="220"/>
      <c r="S992" s="220"/>
      <c r="T992" s="220"/>
      <c r="U992" s="220"/>
      <c r="V992" s="220"/>
    </row>
    <row r="993" ht="15.75" customHeight="1">
      <c r="A993" s="220"/>
      <c r="B993" s="220"/>
      <c r="C993" s="220"/>
      <c r="D993" s="220"/>
      <c r="E993" s="220"/>
      <c r="F993" s="220"/>
      <c r="G993" s="220"/>
      <c r="H993" s="220"/>
      <c r="I993" s="220"/>
      <c r="J993" s="220"/>
      <c r="K993" s="220"/>
      <c r="L993" s="220"/>
      <c r="M993" s="220"/>
      <c r="N993" s="220"/>
      <c r="O993" s="220"/>
      <c r="P993" s="220"/>
      <c r="Q993" s="220"/>
      <c r="R993" s="220"/>
      <c r="S993" s="220"/>
      <c r="T993" s="220"/>
      <c r="U993" s="220"/>
      <c r="V993" s="220"/>
    </row>
    <row r="994" ht="15.75" customHeight="1">
      <c r="A994" s="220"/>
      <c r="B994" s="220"/>
      <c r="C994" s="220"/>
      <c r="D994" s="220"/>
      <c r="E994" s="220"/>
      <c r="F994" s="220"/>
      <c r="G994" s="220"/>
      <c r="H994" s="220"/>
      <c r="I994" s="220"/>
      <c r="J994" s="220"/>
      <c r="K994" s="220"/>
      <c r="L994" s="220"/>
      <c r="M994" s="220"/>
      <c r="N994" s="220"/>
      <c r="O994" s="220"/>
      <c r="P994" s="220"/>
      <c r="Q994" s="220"/>
      <c r="R994" s="220"/>
      <c r="S994" s="220"/>
      <c r="T994" s="220"/>
      <c r="U994" s="220"/>
      <c r="V994" s="220"/>
    </row>
    <row r="995" ht="15.75" customHeight="1">
      <c r="A995" s="220"/>
      <c r="B995" s="220"/>
      <c r="C995" s="220"/>
      <c r="D995" s="220"/>
      <c r="E995" s="220"/>
      <c r="F995" s="220"/>
      <c r="G995" s="220"/>
      <c r="H995" s="220"/>
      <c r="I995" s="220"/>
      <c r="J995" s="220"/>
      <c r="K995" s="220"/>
      <c r="L995" s="220"/>
      <c r="M995" s="220"/>
      <c r="N995" s="220"/>
      <c r="O995" s="220"/>
      <c r="P995" s="220"/>
      <c r="Q995" s="220"/>
      <c r="R995" s="220"/>
      <c r="S995" s="220"/>
      <c r="T995" s="220"/>
      <c r="U995" s="220"/>
      <c r="V995" s="220"/>
    </row>
    <row r="996" ht="15.75" customHeight="1">
      <c r="A996" s="220"/>
      <c r="B996" s="220"/>
      <c r="C996" s="220"/>
      <c r="D996" s="220"/>
      <c r="E996" s="220"/>
      <c r="F996" s="220"/>
      <c r="G996" s="220"/>
      <c r="H996" s="220"/>
      <c r="I996" s="220"/>
      <c r="J996" s="220"/>
      <c r="K996" s="220"/>
      <c r="L996" s="220"/>
      <c r="M996" s="220"/>
      <c r="N996" s="220"/>
      <c r="O996" s="220"/>
      <c r="P996" s="220"/>
      <c r="Q996" s="220"/>
      <c r="R996" s="220"/>
      <c r="S996" s="220"/>
      <c r="T996" s="220"/>
      <c r="U996" s="220"/>
      <c r="V996" s="220"/>
    </row>
    <row r="997" ht="15.75" customHeight="1">
      <c r="A997" s="220"/>
      <c r="B997" s="220"/>
      <c r="C997" s="220"/>
      <c r="D997" s="220"/>
      <c r="E997" s="220"/>
      <c r="F997" s="220"/>
      <c r="G997" s="220"/>
      <c r="H997" s="220"/>
      <c r="I997" s="220"/>
      <c r="J997" s="220"/>
      <c r="K997" s="220"/>
      <c r="L997" s="220"/>
      <c r="M997" s="220"/>
      <c r="N997" s="220"/>
      <c r="O997" s="220"/>
      <c r="P997" s="220"/>
      <c r="Q997" s="220"/>
      <c r="R997" s="220"/>
      <c r="S997" s="220"/>
      <c r="T997" s="220"/>
      <c r="U997" s="220"/>
      <c r="V997" s="220"/>
    </row>
    <row r="998" ht="15.75" customHeight="1">
      <c r="A998" s="220"/>
      <c r="B998" s="220"/>
      <c r="C998" s="220"/>
      <c r="D998" s="220"/>
      <c r="E998" s="220"/>
      <c r="F998" s="220"/>
      <c r="G998" s="220"/>
      <c r="H998" s="220"/>
      <c r="I998" s="220"/>
      <c r="J998" s="220"/>
      <c r="K998" s="220"/>
      <c r="L998" s="220"/>
      <c r="M998" s="220"/>
      <c r="N998" s="220"/>
      <c r="O998" s="220"/>
      <c r="P998" s="220"/>
      <c r="Q998" s="220"/>
      <c r="R998" s="220"/>
      <c r="S998" s="220"/>
      <c r="T998" s="220"/>
      <c r="U998" s="220"/>
      <c r="V998" s="220"/>
    </row>
    <row r="999" ht="15.75" customHeight="1">
      <c r="A999" s="220"/>
      <c r="B999" s="220"/>
      <c r="C999" s="220"/>
      <c r="D999" s="220"/>
      <c r="E999" s="220"/>
      <c r="F999" s="220"/>
      <c r="G999" s="220"/>
      <c r="H999" s="220"/>
      <c r="I999" s="220"/>
      <c r="J999" s="220"/>
      <c r="K999" s="220"/>
      <c r="L999" s="220"/>
      <c r="M999" s="220"/>
      <c r="N999" s="220"/>
      <c r="O999" s="220"/>
      <c r="P999" s="220"/>
      <c r="Q999" s="220"/>
      <c r="R999" s="220"/>
      <c r="S999" s="220"/>
      <c r="T999" s="220"/>
      <c r="U999" s="220"/>
      <c r="V999" s="220"/>
    </row>
    <row r="1000" ht="15.75" customHeight="1">
      <c r="A1000" s="220"/>
      <c r="B1000" s="220"/>
      <c r="C1000" s="220"/>
      <c r="D1000" s="220"/>
      <c r="E1000" s="220"/>
      <c r="F1000" s="220"/>
      <c r="G1000" s="220"/>
      <c r="H1000" s="220"/>
      <c r="I1000" s="220"/>
      <c r="J1000" s="220"/>
      <c r="K1000" s="220"/>
      <c r="L1000" s="220"/>
      <c r="M1000" s="220"/>
      <c r="N1000" s="220"/>
      <c r="O1000" s="220"/>
      <c r="P1000" s="220"/>
      <c r="Q1000" s="220"/>
      <c r="R1000" s="220"/>
      <c r="S1000" s="220"/>
      <c r="T1000" s="220"/>
      <c r="U1000" s="220"/>
      <c r="V1000" s="220"/>
    </row>
  </sheetData>
  <conditionalFormatting sqref="B16:V22">
    <cfRule type="cellIs" dxfId="5" priority="1" stopIfTrue="1" operator="greaterThan">
      <formula>0</formula>
    </cfRule>
  </conditionalFormatting>
  <conditionalFormatting sqref="B26:V28">
    <cfRule type="cellIs" dxfId="5" priority="2" stopIfTrue="1" operator="greaterThan">
      <formula>0</formula>
    </cfRule>
  </conditionalFormatting>
  <conditionalFormatting sqref="A16:V22">
    <cfRule type="expression" dxfId="6" priority="3">
      <formula>ISEVEN(ROW()-ROW($A$16)+1)</formula>
    </cfRule>
  </conditionalFormatting>
  <conditionalFormatting sqref="A26:V28">
    <cfRule type="expression" dxfId="6" priority="4">
      <formula>ISEVEN(ROW()-ROW($A$26)+1)</formula>
    </cfRule>
  </conditionalFormatting>
  <conditionalFormatting sqref="A1:D1000">
    <cfRule type="expression" dxfId="7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273" t="s">
        <v>54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AH1" s="151" t="s">
        <v>159</v>
      </c>
    </row>
    <row r="2" ht="19.5" customHeight="1">
      <c r="A2" s="265" t="s">
        <v>114</v>
      </c>
      <c r="B2" s="265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AH2" s="152" t="s">
        <v>160</v>
      </c>
      <c r="AI2" s="170" t="s">
        <v>184</v>
      </c>
    </row>
    <row r="3">
      <c r="A3" s="145" t="s">
        <v>152</v>
      </c>
      <c r="B3" s="180">
        <v>4.0</v>
      </c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AH3" s="152" t="s">
        <v>162</v>
      </c>
      <c r="AI3" s="153" t="s">
        <v>163</v>
      </c>
    </row>
    <row r="4">
      <c r="A4" s="266"/>
      <c r="B4" s="268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</row>
    <row r="5">
      <c r="A5" s="266"/>
      <c r="B5" s="268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AH5" s="157" t="s">
        <v>164</v>
      </c>
      <c r="AI5" s="157" t="s">
        <v>165</v>
      </c>
      <c r="AJ5" s="157" t="s">
        <v>166</v>
      </c>
      <c r="AK5" s="157" t="s">
        <v>167</v>
      </c>
      <c r="AL5" s="157" t="s">
        <v>168</v>
      </c>
      <c r="AM5" s="157" t="s">
        <v>169</v>
      </c>
      <c r="AN5" s="157" t="s">
        <v>170</v>
      </c>
      <c r="AO5" s="157" t="s">
        <v>171</v>
      </c>
      <c r="AP5" s="157" t="s">
        <v>172</v>
      </c>
      <c r="AQ5" s="157" t="s">
        <v>173</v>
      </c>
      <c r="AR5" s="157" t="s">
        <v>174</v>
      </c>
    </row>
    <row r="6">
      <c r="A6" s="266"/>
      <c r="B6" s="268"/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AH6" s="158">
        <f>IF(1&lt;=$B$3,1,"")</f>
        <v>1</v>
      </c>
      <c r="AI6" s="159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4</v>
      </c>
      <c r="AJ6" s="160" t="str">
        <f t="array" ref="AJ6">IF($AH6="","",IF(AI6=0,"{}",LET(m,AI6,s,MMULT(SEQUENCE(1,m,1,0),N($E$16:$Y$45)),"{"&amp;TEXTJOIN(", ",TRUE,IF(s&gt;0,$E$15:$Y$15&amp;": "&amp;ROUND(s,2),""))&amp;"}")))</f>
        <v>{Coins: 10, Red: 1, Chuck: 1, Unlimited Lives: 15}</v>
      </c>
      <c r="AK6" s="159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8</v>
      </c>
      <c r="AL6" s="160" t="str">
        <f t="array" ref="AL6">IF($AH6="","",IF(AK6=0,"{}",LET(m,AK6,s,MMULT(SEQUENCE(1,m,1,0),N($E$16:$Y$45)),"{"&amp;TEXTJOIN(", ",TRUE,IF(s&gt;0,$E$15:$Y$15&amp;": "&amp;ROUND(s,2),""))&amp;"}")))</f>
        <v>{Coins: 10, Red: 2, Chuck: 3, Bomb: 1, Slingshot: 1, Unlimited Lives: 15}</v>
      </c>
      <c r="AM6" s="159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10</v>
      </c>
      <c r="AN6" s="160" t="str">
        <f t="array" ref="AN6">IF($AH6="","",IF(AM6=0,"{}",LET(m,AM6,s,MMULT(SEQUENCE(1,m,1,0),N($E$16:$Y$45)),"{"&amp;TEXTJOIN(", ",TRUE,IF(s&gt;0,$E$15:$Y$15&amp;": "&amp;ROUND(s,2),""))&amp;"}")))</f>
        <v>{Coins: 30, Red: 2, Chuck: 3, Bomb: 1, Slingshot: 3, Unlimited Lives: 15}</v>
      </c>
      <c r="AO6" s="159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160" t="str">
        <f t="array" ref="AP6">IF($AH6="","",IF(AO6=0,"{}",LET(m,AO6,s,MMULT(SEQUENCE(1,m,1,0),N($E$16:$Y$45)),"{"&amp;TEXTJOIN(", ",TRUE,IF(s&gt;0,$E$15:$Y$15&amp;": "&amp;ROUND(s,2),""))&amp;"}")))</f>
        <v>{Coins: 30, Red: 2, Chuck: 3, Bomb: 1, Slingshot: 3, Shuffle: 1, Comet: 1, Unlimited Lives: 45, Unlimited Red: 10}</v>
      </c>
      <c r="AQ6" s="159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16</v>
      </c>
      <c r="AR6" s="160" t="str">
        <f t="array" ref="AR6">IF($AH6="","",IF(AQ6=0,"{}",LET(m,AQ6,s,MMULT(SEQUENCE(1,m,1,0),N($E$16:$Y$45)),"{"&amp;TEXTJOIN(", ",TRUE,IF(s&gt;0,$E$15:$Y$15&amp;": "&amp;ROUND(s,2),""))&amp;"}")))</f>
        <v>{Coins: 30, Red: 4, Chuck: 4, Bomb: 2, Slingshot: 3, Shuffle: 1, Comet: 2, Unlimited Lives: 45, Unlimited Red: 10}</v>
      </c>
    </row>
    <row r="7">
      <c r="A7" s="266"/>
      <c r="B7" s="268"/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AH7" s="158">
        <f>IF(2&lt;=$B$3,2,"")</f>
        <v>2</v>
      </c>
      <c r="AI7" s="159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6</v>
      </c>
      <c r="AJ7" s="160" t="str">
        <f t="array" ref="AJ7">IF($AH7="","",IF(AI7=0,"{}",LET(m,AI7,s,MMULT(SEQUENCE(1,m,1,0),N($E$16:$Y$45)),"{"&amp;TEXTJOIN(", ",TRUE,IF(s&gt;0,$E$15:$Y$15&amp;": "&amp;ROUND(s,2),""))&amp;"}")))</f>
        <v>{Coins: 10, Red: 1, Chuck: 2, Bomb: 1, Slingshot: 1, Unlimited Lives: 15}</v>
      </c>
      <c r="AK7" s="159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11</v>
      </c>
      <c r="AL7" s="160" t="str">
        <f t="array" ref="AL7">IF($AH7="","",IF(AK7=0,"{}",LET(m,AK7,s,MMULT(SEQUENCE(1,m,1,0),N($E$16:$Y$45)),"{"&amp;TEXTJOIN(", ",TRUE,IF(s&gt;0,$E$15:$Y$15&amp;": "&amp;ROUND(s,2),""))&amp;"}")))</f>
        <v>{Coins: 30, Red: 2, Chuck: 3, Bomb: 1, Slingshot: 3, Shuffle: 1, Unlimited Lives: 15}</v>
      </c>
      <c r="AM7" s="159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13</v>
      </c>
      <c r="AN7" s="160" t="str">
        <f t="array" ref="AN7">IF($AH7="","",IF(AM7=0,"{}",LET(m,AM7,s,MMULT(SEQUENCE(1,m,1,0),N($E$16:$Y$45)),"{"&amp;TEXTJOIN(", ",TRUE,IF(s&gt;0,$E$15:$Y$15&amp;": "&amp;ROUND(s,2),""))&amp;"}")))</f>
        <v>{Coins: 30, Red: 2, Chuck: 3, Bomb: 1, Slingshot: 3, Shuffle: 1, Comet: 1, Unlimited Lives: 45, Unlimited Red: 10}</v>
      </c>
      <c r="AO7" s="159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17</v>
      </c>
      <c r="AP7" s="160" t="str">
        <f t="array" ref="AP7">IF($AH7="","",IF(AO7=0,"{}",LET(m,AO7,s,MMULT(SEQUENCE(1,m,1,0),N($E$16:$Y$45)),"{"&amp;TEXTJOIN(", ",TRUE,IF(s&gt;0,$E$15:$Y$15&amp;": "&amp;ROUND(s,2),""))&amp;"}")))</f>
        <v>{Coins: 30, Red: 4, Chuck: 4, Bomb: 2, Slingshot: 5, Shuffle: 1, Comet: 2, Unlimited Lives: 45, Unlimited Red: 10}</v>
      </c>
      <c r="AQ7" s="159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20</v>
      </c>
      <c r="AR7" s="160" t="str">
        <f t="array" ref="AR7">IF($AH7="","",IF(AQ7=0,"{}",LET(m,AQ7,s,MMULT(SEQUENCE(1,m,1,0),N($E$16:$Y$45)),"{"&amp;TEXTJOIN(", ",TRUE,IF(s&gt;0,$E$15:$Y$15&amp;": "&amp;ROUND(s,2),""))&amp;"}")))</f>
        <v>{Coins: 70, Red: 6, Chuck: 4, Bomb: 2, Slingshot: 5, Shuffle: 3, Comet: 2, Unlimited Lives: 105, Unlimited Red: 10}</v>
      </c>
    </row>
    <row r="8">
      <c r="A8" s="266"/>
      <c r="B8" s="268"/>
      <c r="C8" s="220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AH8" s="158">
        <f>IF(3&lt;=$B$3,3,"")</f>
        <v>3</v>
      </c>
      <c r="AI8" s="159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8</v>
      </c>
      <c r="AJ8" s="160" t="str">
        <f t="array" ref="AJ8">IF($AH8="","",IF(AI8=0,"{}",LET(m,AI8,s,MMULT(SEQUENCE(1,m,1,0),N($E$16:$Y$45)),"{"&amp;TEXTJOIN(", ",TRUE,IF(s&gt;0,$E$15:$Y$15&amp;": "&amp;ROUND(s,2),""))&amp;"}")))</f>
        <v>{Coins: 10, Red: 2, Chuck: 3, Bomb: 1, Slingshot: 1, Unlimited Lives: 15}</v>
      </c>
      <c r="AK8" s="159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160" t="str">
        <f t="array" ref="AL8">IF($AH8="","",IF(AK8=0,"{}",LET(m,AK8,s,MMULT(SEQUENCE(1,m,1,0),N($E$16:$Y$45)),"{"&amp;TEXTJOIN(", ",TRUE,IF(s&gt;0,$E$15:$Y$15&amp;": "&amp;ROUND(s,2),""))&amp;"}")))</f>
        <v>{Coins: 30, Red: 2, Chuck: 3, Bomb: 1, Slingshot: 3, Shuffle: 1, Unlimited Lives: 15}</v>
      </c>
      <c r="AM8" s="159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160" t="str">
        <f t="array" ref="AN8">IF($AH8="","",IF(AM8=0,"{}",LET(m,AM8,s,MMULT(SEQUENCE(1,m,1,0),N($E$16:$Y$45)),"{"&amp;TEXTJOIN(", ",TRUE,IF(s&gt;0,$E$15:$Y$15&amp;": "&amp;ROUND(s,2),""))&amp;"}")))</f>
        <v>{Coins: 30, Red: 4, Chuck: 3, Bomb: 1, Slingshot: 3, Shuffle: 1, Comet: 1, Unlimited Lives: 45, Unlimited Red: 10}</v>
      </c>
      <c r="AO8" s="159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19</v>
      </c>
      <c r="AP8" s="160" t="str">
        <f t="array" ref="AP8">IF($AH8="","",IF(AO8=0,"{}",LET(m,AO8,s,MMULT(SEQUENCE(1,m,1,0),N($E$16:$Y$45)),"{"&amp;TEXTJOIN(", ",TRUE,IF(s&gt;0,$E$15:$Y$15&amp;": "&amp;ROUND(s,2),""))&amp;"}")))</f>
        <v>{Coins: 70, Red: 4, Chuck: 4, Bomb: 2, Slingshot: 5, Shuffle: 3, Comet: 2, Unlimited Lives: 105, Unlimited Red: 10}</v>
      </c>
      <c r="AQ8" s="159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23</v>
      </c>
      <c r="AR8" s="160" t="str">
        <f t="array" ref="AR8">IF($AH8="","",IF(AQ8=0,"{}",LET(m,AQ8,s,MMULT(SEQUENCE(1,m,1,0),N($E$16:$Y$45)),"{"&amp;TEXTJOIN(", ",TRUE,IF(s&gt;0,$E$15:$Y$15&amp;": "&amp;ROUND(s,2),""))&amp;"}")))</f>
        <v>{Coins: 70, Red: 6, Chuck: 6, Bomb: 2, Slingshot: 7, Shuffle: 3, Comet: 4, Unlimited Lives: 105, Unlimited Red: 10, Unlimited Chuck: 10}</v>
      </c>
    </row>
    <row r="9">
      <c r="A9" s="266"/>
      <c r="B9" s="268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AH9" s="158">
        <f>IF(4&lt;=$B$3,4,"")</f>
        <v>4</v>
      </c>
      <c r="AI9" s="159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8</v>
      </c>
      <c r="AJ9" s="160" t="str">
        <f t="array" ref="AJ9">IF($AH9="","",IF(AI9=0,"{}",LET(m,AI9,s,MMULT(SEQUENCE(1,m,1,0),N($E$16:$Y$45)),"{"&amp;TEXTJOIN(", ",TRUE,IF(s&gt;0,$E$15:$Y$15&amp;": "&amp;ROUND(s,2),""))&amp;"}")))</f>
        <v>{Coins: 10, Red: 2, Chuck: 3, Bomb: 1, Slingshot: 1, Unlimited Lives: 15}</v>
      </c>
      <c r="AK9" s="159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13</v>
      </c>
      <c r="AL9" s="160" t="str">
        <f t="array" ref="AL9">IF($AH9="","",IF(AK9=0,"{}",LET(m,AK9,s,MMULT(SEQUENCE(1,m,1,0),N($E$16:$Y$45)),"{"&amp;TEXTJOIN(", ",TRUE,IF(s&gt;0,$E$15:$Y$15&amp;": "&amp;ROUND(s,2),""))&amp;"}")))</f>
        <v>{Coins: 30, Red: 2, Chuck: 3, Bomb: 1, Slingshot: 3, Shuffle: 1, Comet: 1, Unlimited Lives: 45, Unlimited Red: 10}</v>
      </c>
      <c r="AM9" s="159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16</v>
      </c>
      <c r="AN9" s="160" t="str">
        <f t="array" ref="AN9">IF($AH9="","",IF(AM9=0,"{}",LET(m,AM9,s,MMULT(SEQUENCE(1,m,1,0),N($E$16:$Y$45)),"{"&amp;TEXTJOIN(", ",TRUE,IF(s&gt;0,$E$15:$Y$15&amp;": "&amp;ROUND(s,2),""))&amp;"}")))</f>
        <v>{Coins: 30, Red: 4, Chuck: 4, Bomb: 2, Slingshot: 3, Shuffle: 1, Comet: 2, Unlimited Lives: 45, Unlimited Red: 10}</v>
      </c>
      <c r="AO9" s="159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160" t="str">
        <f t="array" ref="AP9">IF($AH9="","",IF(AO9=0,"{}",LET(m,AO9,s,MMULT(SEQUENCE(1,m,1,0),N($E$16:$Y$45)),"{"&amp;TEXTJOIN(", ",TRUE,IF(s&gt;0,$E$15:$Y$15&amp;": "&amp;ROUND(s,2),""))&amp;"}")))</f>
        <v>{Coins: 70, Red: 6, Chuck: 4, Bomb: 2, Slingshot: 5, Shuffle: 3, Comet: 2, Unlimited Lives: 105, Unlimited Red: 10}</v>
      </c>
      <c r="AQ9" s="159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25</v>
      </c>
      <c r="AR9" s="160" t="str">
        <f t="array" ref="AR9">IF($AH9="","",IF(AQ9=0,"{}",LET(m,AQ9,s,MMULT(SEQUENCE(1,m,1,0),N($E$16:$Y$45)),"{"&amp;TEXTJOIN(", ",TRUE,IF(s&gt;0,$E$15:$Y$15&amp;": "&amp;ROUND(s,2),""))&amp;"}")))</f>
        <v>{Coins: 145, Red: 6, Chuck: 6, Bomb: 2, Slingshot: 9, Shuffle: 5, Comet: 6, Unlimited Lives: 165, Unlimited Red: 10, Unlimited Chuck: 10}</v>
      </c>
    </row>
    <row r="10">
      <c r="A10" s="266"/>
      <c r="B10" s="268"/>
      <c r="C10" s="220"/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AH10" s="158" t="str">
        <f>IF(5&lt;=$B$3,5,"")</f>
        <v/>
      </c>
      <c r="AI10" s="159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160" t="str">
        <f t="array" ref="AJ10">IF($AH10="","",IF(AI10=0,"{}",LET(m,AI10,s,MMULT(SEQUENCE(1,m,1,0),$E$16:$Y$45),"{"&amp;TEXTJOIN(", ",TRUE,IF(s&gt;0,$E$15:$Y$15&amp;": "&amp;ROUND(s,2),""))&amp;"}")))</f>
        <v/>
      </c>
      <c r="AK10" s="159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160" t="str">
        <f t="array" ref="AL10">IF($AH10="","",IF(AK10=0,"{}",LET(m,AK10,s,MMULT(SEQUENCE(1,m,1,0),$E$16:$Y$45),"{"&amp;TEXTJOIN(", ",TRUE,IF(s&gt;0,$E$15:$Y$15&amp;": "&amp;ROUND(s,2),""))&amp;"}")))</f>
        <v/>
      </c>
      <c r="AM10" s="159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160" t="str">
        <f t="array" ref="AN10">IF($AH10="","",IF(AM10=0,"{}",LET(m,AM10,s,MMULT(SEQUENCE(1,m,1,0),$E$16:$Y$45),"{"&amp;TEXTJOIN(", ",TRUE,IF(s&gt;0,$E$15:$Y$15&amp;": "&amp;ROUND(s,2),""))&amp;"}")))</f>
        <v/>
      </c>
      <c r="AO10" s="159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160" t="str">
        <f t="array" ref="AP10">IF($AH10="","",IF(AO10=0,"{}",LET(m,AO10,s,MMULT(SEQUENCE(1,m,1,0),$E$16:$Y$45),"{"&amp;TEXTJOIN(", ",TRUE,IF(s&gt;0,$E$15:$Y$15&amp;": "&amp;ROUND(s,2),""))&amp;"}")))</f>
        <v/>
      </c>
      <c r="AQ10" s="159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160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266"/>
      <c r="B11" s="268"/>
      <c r="C11" s="220"/>
      <c r="D11" s="220"/>
      <c r="E11" s="220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AH11" s="158" t="str">
        <f>IF(6&lt;=$B$3,6,"")</f>
        <v/>
      </c>
      <c r="AI11" s="159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160" t="str">
        <f t="array" ref="AJ11">IF($AH11="","",IF(AI11=0,"{}",LET(m,AI11,s,MMULT(SEQUENCE(1,m,1,0),$E$16:$Y$45),"{"&amp;TEXTJOIN(", ",TRUE,IF(s&gt;0,$E$15:$Y$15&amp;": "&amp;ROUND(s,2),""))&amp;"}")))</f>
        <v/>
      </c>
      <c r="AK11" s="159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160" t="str">
        <f t="array" ref="AL11">IF($AH11="","",IF(AK11=0,"{}",LET(m,AK11,s,MMULT(SEQUENCE(1,m,1,0),$E$16:$Y$45),"{"&amp;TEXTJOIN(", ",TRUE,IF(s&gt;0,$E$15:$Y$15&amp;": "&amp;ROUND(s,2),""))&amp;"}")))</f>
        <v/>
      </c>
      <c r="AM11" s="159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160" t="str">
        <f t="array" ref="AN11">IF($AH11="","",IF(AM11=0,"{}",LET(m,AM11,s,MMULT(SEQUENCE(1,m,1,0),$E$16:$Y$45),"{"&amp;TEXTJOIN(", ",TRUE,IF(s&gt;0,$E$15:$Y$15&amp;": "&amp;ROUND(s,2),""))&amp;"}")))</f>
        <v/>
      </c>
      <c r="AO11" s="159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160" t="str">
        <f t="array" ref="AP11">IF($AH11="","",IF(AO11=0,"{}",LET(m,AO11,s,MMULT(SEQUENCE(1,m,1,0),$E$16:$Y$45),"{"&amp;TEXTJOIN(", ",TRUE,IF(s&gt;0,$E$15:$Y$15&amp;": "&amp;ROUND(s,2),""))&amp;"}")))</f>
        <v/>
      </c>
      <c r="AQ11" s="159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160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266"/>
      <c r="B12" s="268"/>
      <c r="C12" s="220"/>
      <c r="D12" s="220"/>
      <c r="E12" s="220"/>
      <c r="F12" s="220"/>
      <c r="G12" s="220"/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AH12" s="158" t="str">
        <f>IF(7&lt;=$B$3,7,"")</f>
        <v/>
      </c>
      <c r="AI12" s="159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160" t="str">
        <f t="array" ref="AJ12">IF($AH12="","",IF(AI12=0,"{}",LET(m,AI12,s,MMULT(SEQUENCE(1,m,1,0),$E$16:$Y$45),"{"&amp;TEXTJOIN(", ",TRUE,IF(s&gt;0,$E$15:$Y$15&amp;": "&amp;ROUND(s,2),""))&amp;"}")))</f>
        <v/>
      </c>
      <c r="AK12" s="159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160" t="str">
        <f t="array" ref="AL12">IF($AH12="","",IF(AK12=0,"{}",LET(m,AK12,s,MMULT(SEQUENCE(1,m,1,0),$E$16:$Y$45),"{"&amp;TEXTJOIN(", ",TRUE,IF(s&gt;0,$E$15:$Y$15&amp;": "&amp;ROUND(s,2),""))&amp;"}")))</f>
        <v/>
      </c>
      <c r="AM12" s="159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160" t="str">
        <f t="array" ref="AN12">IF($AH12="","",IF(AM12=0,"{}",LET(m,AM12,s,MMULT(SEQUENCE(1,m,1,0),$E$16:$Y$45),"{"&amp;TEXTJOIN(", ",TRUE,IF(s&gt;0,$E$15:$Y$15&amp;": "&amp;ROUND(s,2),""))&amp;"}")))</f>
        <v/>
      </c>
      <c r="AO12" s="159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160" t="str">
        <f t="array" ref="AP12">IF($AH12="","",IF(AO12=0,"{}",LET(m,AO12,s,MMULT(SEQUENCE(1,m,1,0),$E$16:$Y$45),"{"&amp;TEXTJOIN(", ",TRUE,IF(s&gt;0,$E$15:$Y$15&amp;": "&amp;ROUND(s,2),""))&amp;"}")))</f>
        <v/>
      </c>
      <c r="AQ12" s="159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160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220"/>
      <c r="B13" s="220"/>
      <c r="C13" s="220"/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</row>
    <row r="14" ht="19.5" customHeight="1">
      <c r="A14" s="274" t="s">
        <v>341</v>
      </c>
      <c r="B14" s="265"/>
      <c r="C14" s="265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</row>
    <row r="15" ht="90.75" customHeight="1">
      <c r="A15" s="269" t="s">
        <v>157</v>
      </c>
      <c r="B15" s="117" t="s">
        <v>342</v>
      </c>
      <c r="C15" s="117" t="s">
        <v>343</v>
      </c>
      <c r="D15" s="117" t="s">
        <v>344</v>
      </c>
      <c r="E15" s="270" t="s">
        <v>82</v>
      </c>
      <c r="F15" s="189" t="s">
        <v>68</v>
      </c>
      <c r="G15" s="189" t="s">
        <v>103</v>
      </c>
      <c r="H15" s="189" t="s">
        <v>69</v>
      </c>
      <c r="I15" s="189" t="s">
        <v>70</v>
      </c>
      <c r="J15" s="189" t="s">
        <v>71</v>
      </c>
      <c r="K15" s="189" t="s">
        <v>72</v>
      </c>
      <c r="L15" s="189" t="s">
        <v>73</v>
      </c>
      <c r="M15" s="189" t="s">
        <v>74</v>
      </c>
      <c r="N15" s="189" t="s">
        <v>75</v>
      </c>
      <c r="O15" s="189" t="s">
        <v>76</v>
      </c>
      <c r="P15" s="189" t="s">
        <v>77</v>
      </c>
      <c r="Q15" s="189" t="s">
        <v>78</v>
      </c>
      <c r="R15" s="189" t="s">
        <v>118</v>
      </c>
      <c r="S15" s="189" t="s">
        <v>104</v>
      </c>
      <c r="T15" s="189" t="s">
        <v>105</v>
      </c>
      <c r="U15" s="189" t="s">
        <v>106</v>
      </c>
      <c r="V15" s="189" t="s">
        <v>107</v>
      </c>
      <c r="W15" s="189" t="s">
        <v>108</v>
      </c>
      <c r="X15" s="189" t="s">
        <v>109</v>
      </c>
      <c r="Y15" s="189" t="s">
        <v>110</v>
      </c>
      <c r="AJ15" s="275"/>
    </row>
    <row r="16" ht="15.75" customHeight="1">
      <c r="A16" s="242">
        <v>1.0</v>
      </c>
      <c r="B16" s="242">
        <v>160.0</v>
      </c>
      <c r="C16" s="242">
        <v>160.0</v>
      </c>
      <c r="D16" s="242" t="b">
        <v>0</v>
      </c>
      <c r="E16" s="272"/>
      <c r="F16" s="187"/>
      <c r="G16" s="187"/>
      <c r="H16" s="187">
        <v>1.0</v>
      </c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</row>
    <row r="17" ht="15.75" customHeight="1">
      <c r="A17" s="242">
        <v>2.0</v>
      </c>
      <c r="B17" s="242">
        <v>300.0</v>
      </c>
      <c r="C17" s="242">
        <v>460.0</v>
      </c>
      <c r="D17" s="242" t="b">
        <v>0</v>
      </c>
      <c r="E17" s="272">
        <v>10.0</v>
      </c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</row>
    <row r="18" ht="15.75" customHeight="1">
      <c r="A18" s="242">
        <v>3.0</v>
      </c>
      <c r="B18" s="242">
        <v>1000.0</v>
      </c>
      <c r="C18" s="242">
        <v>1460.0</v>
      </c>
      <c r="D18" s="242" t="b">
        <v>0</v>
      </c>
      <c r="E18" s="272"/>
      <c r="F18" s="187"/>
      <c r="G18" s="187"/>
      <c r="H18" s="187"/>
      <c r="I18" s="187">
        <v>1.0</v>
      </c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</row>
    <row r="19" ht="15.75" customHeight="1">
      <c r="A19" s="242">
        <v>4.0</v>
      </c>
      <c r="B19" s="242">
        <v>250.0</v>
      </c>
      <c r="C19" s="242">
        <v>1710.0</v>
      </c>
      <c r="D19" s="242" t="b">
        <v>0</v>
      </c>
      <c r="E19" s="272"/>
      <c r="F19" s="187"/>
      <c r="G19" s="187"/>
      <c r="H19" s="187"/>
      <c r="I19" s="187"/>
      <c r="J19" s="187"/>
      <c r="K19" s="187"/>
      <c r="L19" s="187"/>
      <c r="M19" s="187"/>
      <c r="N19" s="187">
        <v>15.0</v>
      </c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</row>
    <row r="20" ht="15.75" customHeight="1">
      <c r="A20" s="242">
        <v>5.0</v>
      </c>
      <c r="B20" s="242">
        <v>500.0</v>
      </c>
      <c r="C20" s="242">
        <v>2210.0</v>
      </c>
      <c r="D20" s="242" t="b">
        <v>0</v>
      </c>
      <c r="E20" s="272"/>
      <c r="F20" s="187"/>
      <c r="G20" s="187"/>
      <c r="H20" s="187"/>
      <c r="I20" s="187"/>
      <c r="J20" s="187">
        <v>1.0</v>
      </c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</row>
    <row r="21" ht="15.75" customHeight="1">
      <c r="A21" s="242">
        <v>6.0</v>
      </c>
      <c r="B21" s="242">
        <v>1600.0</v>
      </c>
      <c r="C21" s="242">
        <v>3810.0</v>
      </c>
      <c r="D21" s="242" t="b">
        <v>1</v>
      </c>
      <c r="E21" s="272"/>
      <c r="F21" s="187"/>
      <c r="G21" s="187"/>
      <c r="H21" s="187"/>
      <c r="I21" s="187">
        <v>1.0</v>
      </c>
      <c r="J21" s="187"/>
      <c r="K21" s="187">
        <v>1.0</v>
      </c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</row>
    <row r="22" ht="15.75" customHeight="1">
      <c r="A22" s="242">
        <v>7.0</v>
      </c>
      <c r="B22" s="242">
        <v>500.0</v>
      </c>
      <c r="C22" s="242">
        <v>4310.0</v>
      </c>
      <c r="D22" s="242" t="b">
        <v>0</v>
      </c>
      <c r="E22" s="272"/>
      <c r="F22" s="187"/>
      <c r="G22" s="187"/>
      <c r="H22" s="187">
        <v>1.0</v>
      </c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</row>
    <row r="23" ht="15.75" customHeight="1">
      <c r="A23" s="242">
        <v>8.0</v>
      </c>
      <c r="B23" s="242">
        <v>1000.0</v>
      </c>
      <c r="C23" s="242">
        <v>5310.0</v>
      </c>
      <c r="D23" s="242" t="b">
        <v>0</v>
      </c>
      <c r="E23" s="272"/>
      <c r="F23" s="187"/>
      <c r="G23" s="187"/>
      <c r="H23" s="187"/>
      <c r="I23" s="187">
        <v>1.0</v>
      </c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</row>
    <row r="24" ht="15.75" customHeight="1">
      <c r="A24" s="242">
        <v>9.0</v>
      </c>
      <c r="B24" s="242">
        <v>3300.0</v>
      </c>
      <c r="C24" s="242">
        <v>8610.0</v>
      </c>
      <c r="D24" s="242" t="b">
        <v>1</v>
      </c>
      <c r="E24" s="276">
        <v>20.0</v>
      </c>
      <c r="F24" s="187"/>
      <c r="G24" s="187"/>
      <c r="H24" s="187"/>
      <c r="I24" s="187"/>
      <c r="J24" s="187"/>
      <c r="K24" s="187">
        <v>1.0</v>
      </c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</row>
    <row r="25" ht="15.75" customHeight="1">
      <c r="A25" s="242">
        <v>10.0</v>
      </c>
      <c r="B25" s="242">
        <v>1100.0</v>
      </c>
      <c r="C25" s="242">
        <v>9710.0</v>
      </c>
      <c r="D25" s="242" t="b">
        <v>0</v>
      </c>
      <c r="E25" s="272"/>
      <c r="F25" s="187"/>
      <c r="G25" s="187"/>
      <c r="H25" s="187"/>
      <c r="I25" s="187"/>
      <c r="J25" s="187"/>
      <c r="K25" s="277">
        <v>1.0</v>
      </c>
      <c r="L25" s="277"/>
      <c r="M25" s="187"/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</row>
    <row r="26" ht="15.75" customHeight="1">
      <c r="A26" s="242">
        <v>11.0</v>
      </c>
      <c r="B26" s="242">
        <v>2200.0</v>
      </c>
      <c r="C26" s="242">
        <v>11910.0</v>
      </c>
      <c r="D26" s="242" t="b">
        <v>0</v>
      </c>
      <c r="E26" s="272"/>
      <c r="F26" s="187"/>
      <c r="G26" s="187"/>
      <c r="H26" s="187"/>
      <c r="I26" s="187"/>
      <c r="J26" s="187"/>
      <c r="K26" s="187"/>
      <c r="L26" s="277">
        <v>1.0</v>
      </c>
      <c r="M26" s="187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</row>
    <row r="27" ht="15.75" customHeight="1">
      <c r="A27" s="242">
        <v>12.0</v>
      </c>
      <c r="B27" s="242">
        <v>6500.0</v>
      </c>
      <c r="C27" s="242">
        <v>18410.0</v>
      </c>
      <c r="D27" s="242" t="b">
        <v>1</v>
      </c>
      <c r="E27" s="276"/>
      <c r="F27" s="187"/>
      <c r="G27" s="187"/>
      <c r="H27" s="187"/>
      <c r="I27" s="187"/>
      <c r="J27" s="187"/>
      <c r="K27" s="187"/>
      <c r="L27" s="187"/>
      <c r="M27" s="277">
        <v>1.0</v>
      </c>
      <c r="N27" s="187">
        <v>30.0</v>
      </c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</row>
    <row r="28" ht="15.75" customHeight="1">
      <c r="A28" s="242">
        <v>13.0</v>
      </c>
      <c r="B28" s="242">
        <v>2200.0</v>
      </c>
      <c r="C28" s="242">
        <v>20610.0</v>
      </c>
      <c r="D28" s="242" t="b">
        <v>0</v>
      </c>
      <c r="E28" s="272"/>
      <c r="F28" s="187"/>
      <c r="G28" s="187"/>
      <c r="H28" s="187"/>
      <c r="I28" s="187"/>
      <c r="J28" s="187"/>
      <c r="K28" s="187"/>
      <c r="L28" s="187"/>
      <c r="M28" s="187"/>
      <c r="N28" s="187"/>
      <c r="O28" s="187">
        <v>10.0</v>
      </c>
      <c r="P28" s="187"/>
      <c r="Q28" s="187"/>
      <c r="R28" s="187"/>
      <c r="S28" s="187"/>
      <c r="T28" s="187"/>
      <c r="U28" s="187"/>
      <c r="V28" s="187"/>
      <c r="W28" s="187"/>
      <c r="X28" s="187"/>
      <c r="Y28" s="187"/>
    </row>
    <row r="29" ht="15.75" customHeight="1">
      <c r="A29" s="242">
        <v>14.0</v>
      </c>
      <c r="B29" s="242">
        <v>4400.0</v>
      </c>
      <c r="C29" s="242">
        <v>25010.0</v>
      </c>
      <c r="D29" s="242" t="b">
        <v>0</v>
      </c>
      <c r="E29" s="272"/>
      <c r="F29" s="187"/>
      <c r="G29" s="187"/>
      <c r="H29" s="187">
        <v>2.0</v>
      </c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</row>
    <row r="30" ht="15.75" customHeight="1">
      <c r="A30" s="242">
        <v>15.0</v>
      </c>
      <c r="B30" s="242">
        <v>13250.0</v>
      </c>
      <c r="C30" s="242">
        <v>38260.0</v>
      </c>
      <c r="D30" s="242" t="b">
        <v>1</v>
      </c>
      <c r="E30" s="272"/>
      <c r="F30" s="187"/>
      <c r="G30" s="187"/>
      <c r="H30" s="187"/>
      <c r="I30" s="187">
        <v>1.0</v>
      </c>
      <c r="J30" s="187"/>
      <c r="K30" s="187"/>
      <c r="L30" s="187"/>
      <c r="M30" s="187">
        <v>1.0</v>
      </c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</row>
    <row r="31" ht="15.75" customHeight="1">
      <c r="A31" s="242">
        <v>16.0</v>
      </c>
      <c r="B31" s="242">
        <v>3300.0</v>
      </c>
      <c r="C31" s="242">
        <v>41560.0</v>
      </c>
      <c r="D31" s="242" t="b">
        <v>0</v>
      </c>
      <c r="E31" s="272"/>
      <c r="F31" s="187"/>
      <c r="G31" s="187"/>
      <c r="H31" s="187"/>
      <c r="I31" s="187"/>
      <c r="J31" s="187">
        <v>1.0</v>
      </c>
      <c r="K31" s="187"/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</row>
    <row r="32" ht="15.75" customHeight="1">
      <c r="A32" s="242">
        <v>17.0</v>
      </c>
      <c r="B32" s="242">
        <v>6500.0</v>
      </c>
      <c r="C32" s="242">
        <v>48060.0</v>
      </c>
      <c r="D32" s="242" t="b">
        <v>0</v>
      </c>
      <c r="E32" s="272"/>
      <c r="F32" s="187"/>
      <c r="G32" s="187"/>
      <c r="H32" s="187"/>
      <c r="I32" s="187"/>
      <c r="J32" s="187"/>
      <c r="K32" s="187">
        <v>2.0</v>
      </c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</row>
    <row r="33" ht="15.75" customHeight="1">
      <c r="A33" s="242">
        <v>18.0</v>
      </c>
      <c r="B33" s="242">
        <v>19750.0</v>
      </c>
      <c r="C33" s="242">
        <v>67810.0</v>
      </c>
      <c r="D33" s="242" t="b">
        <v>1</v>
      </c>
      <c r="E33" s="276">
        <v>40.0</v>
      </c>
      <c r="F33" s="187"/>
      <c r="G33" s="187"/>
      <c r="H33" s="187"/>
      <c r="I33" s="187"/>
      <c r="J33" s="187"/>
      <c r="K33" s="187"/>
      <c r="L33" s="187">
        <v>2.0</v>
      </c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</row>
    <row r="34" ht="15.75" customHeight="1">
      <c r="A34" s="242">
        <v>19.0</v>
      </c>
      <c r="B34" s="242">
        <v>4200.0</v>
      </c>
      <c r="C34" s="242">
        <v>72010.0</v>
      </c>
      <c r="D34" s="242" t="b">
        <v>0</v>
      </c>
      <c r="E34" s="272"/>
      <c r="F34" s="187"/>
      <c r="G34" s="187"/>
      <c r="H34" s="187"/>
      <c r="I34" s="187"/>
      <c r="J34" s="187"/>
      <c r="K34" s="187"/>
      <c r="L34" s="187"/>
      <c r="M34" s="187"/>
      <c r="N34" s="187">
        <v>60.0</v>
      </c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</row>
    <row r="35" ht="15.75" customHeight="1">
      <c r="A35" s="242">
        <v>20.0</v>
      </c>
      <c r="B35" s="242">
        <v>8250.0</v>
      </c>
      <c r="C35" s="242">
        <v>80260.0</v>
      </c>
      <c r="D35" s="242" t="b">
        <v>0</v>
      </c>
      <c r="E35" s="272"/>
      <c r="F35" s="187"/>
      <c r="G35" s="187"/>
      <c r="H35" s="187">
        <v>2.0</v>
      </c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</row>
    <row r="36" ht="15.75" customHeight="1">
      <c r="A36" s="242">
        <v>21.0</v>
      </c>
      <c r="B36" s="242">
        <v>22000.0</v>
      </c>
      <c r="C36" s="242">
        <v>102260.0</v>
      </c>
      <c r="D36" s="242" t="b">
        <v>1</v>
      </c>
      <c r="E36" s="272"/>
      <c r="F36" s="187"/>
      <c r="G36" s="187"/>
      <c r="H36" s="187"/>
      <c r="I36" s="187"/>
      <c r="J36" s="187"/>
      <c r="K36" s="187">
        <v>2.0</v>
      </c>
      <c r="L36" s="187"/>
      <c r="M36" s="187">
        <v>2.0</v>
      </c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</row>
    <row r="37" ht="15.75" customHeight="1">
      <c r="A37" s="242">
        <v>22.0</v>
      </c>
      <c r="B37" s="242">
        <v>6000.0</v>
      </c>
      <c r="C37" s="242">
        <v>108260.0</v>
      </c>
      <c r="D37" s="242" t="b">
        <v>0</v>
      </c>
      <c r="E37" s="272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277">
        <v>10.0</v>
      </c>
      <c r="Q37" s="187"/>
      <c r="R37" s="187"/>
      <c r="S37" s="187"/>
      <c r="T37" s="187"/>
      <c r="U37" s="187"/>
      <c r="V37" s="187"/>
      <c r="W37" s="187"/>
      <c r="X37" s="187"/>
      <c r="Y37" s="187"/>
    </row>
    <row r="38" ht="15.75" customHeight="1">
      <c r="A38" s="242">
        <v>23.0</v>
      </c>
      <c r="B38" s="242">
        <v>10500.0</v>
      </c>
      <c r="C38" s="242">
        <v>118760.0</v>
      </c>
      <c r="D38" s="242" t="b">
        <v>0</v>
      </c>
      <c r="E38" s="272"/>
      <c r="F38" s="187"/>
      <c r="G38" s="187"/>
      <c r="H38" s="187"/>
      <c r="I38" s="187">
        <v>2.0</v>
      </c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</row>
    <row r="39" ht="15.75" customHeight="1">
      <c r="A39" s="242">
        <v>24.0</v>
      </c>
      <c r="B39" s="242">
        <v>33000.0</v>
      </c>
      <c r="C39" s="242">
        <v>151760.0</v>
      </c>
      <c r="D39" s="242" t="b">
        <v>1</v>
      </c>
      <c r="E39" s="276">
        <v>75.0</v>
      </c>
      <c r="F39" s="187"/>
      <c r="G39" s="187"/>
      <c r="H39" s="187"/>
      <c r="I39" s="187"/>
      <c r="J39" s="187"/>
      <c r="K39" s="187">
        <v>2.0</v>
      </c>
      <c r="L39" s="187">
        <v>2.0</v>
      </c>
      <c r="M39" s="187">
        <v>2.0</v>
      </c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</row>
    <row r="40" ht="15.75" customHeight="1">
      <c r="A40" s="242">
        <v>25.0</v>
      </c>
      <c r="B40" s="242">
        <v>8750.0</v>
      </c>
      <c r="C40" s="242">
        <v>160510.0</v>
      </c>
      <c r="D40" s="242" t="b">
        <v>0</v>
      </c>
      <c r="E40" s="272"/>
      <c r="F40" s="187"/>
      <c r="G40" s="187"/>
      <c r="H40" s="187"/>
      <c r="I40" s="187"/>
      <c r="J40" s="187"/>
      <c r="K40" s="187"/>
      <c r="L40" s="187"/>
      <c r="M40" s="187"/>
      <c r="N40" s="187">
        <v>60.0</v>
      </c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</row>
    <row r="41" ht="15.75" customHeight="1">
      <c r="A41" s="242">
        <v>26.0</v>
      </c>
      <c r="B41" s="242">
        <v>14250.0</v>
      </c>
      <c r="C41" s="242">
        <v>174760.0</v>
      </c>
      <c r="D41" s="242" t="b">
        <v>0</v>
      </c>
      <c r="E41" s="272"/>
      <c r="F41" s="187"/>
      <c r="G41" s="187"/>
      <c r="H41" s="187"/>
      <c r="I41" s="187"/>
      <c r="J41" s="187">
        <v>2.0</v>
      </c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</row>
    <row r="42" ht="15.75" customHeight="1">
      <c r="A42" s="242">
        <v>27.0</v>
      </c>
      <c r="B42" s="242">
        <v>44000.0</v>
      </c>
      <c r="C42" s="242">
        <v>218760.0</v>
      </c>
      <c r="D42" s="242" t="b">
        <v>1</v>
      </c>
      <c r="E42" s="276">
        <v>150.0</v>
      </c>
      <c r="F42" s="187"/>
      <c r="G42" s="187"/>
      <c r="H42" s="187"/>
      <c r="I42" s="187"/>
      <c r="J42" s="187"/>
      <c r="K42" s="187">
        <v>3.0</v>
      </c>
      <c r="L42" s="187">
        <v>3.0</v>
      </c>
      <c r="M42" s="187">
        <v>3.0</v>
      </c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</row>
    <row r="43" ht="15.75" customHeight="1">
      <c r="A43" s="242">
        <v>28.0</v>
      </c>
      <c r="B43" s="242">
        <v>16500.0</v>
      </c>
      <c r="C43" s="242">
        <v>235260.0</v>
      </c>
      <c r="D43" s="242" t="b">
        <v>0</v>
      </c>
      <c r="E43" s="272"/>
      <c r="F43" s="187"/>
      <c r="G43" s="187"/>
      <c r="H43" s="187"/>
      <c r="I43" s="187"/>
      <c r="J43" s="187"/>
      <c r="K43" s="187"/>
      <c r="L43" s="187"/>
      <c r="M43" s="187"/>
      <c r="N43" s="187">
        <v>60.0</v>
      </c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</row>
    <row r="44" ht="15.75" customHeight="1">
      <c r="A44" s="242">
        <v>29.0</v>
      </c>
      <c r="B44" s="242">
        <v>34000.0</v>
      </c>
      <c r="C44" s="242">
        <v>269260.0</v>
      </c>
      <c r="D44" s="242" t="b">
        <v>0</v>
      </c>
      <c r="E44" s="272"/>
      <c r="F44" s="187"/>
      <c r="G44" s="187"/>
      <c r="H44" s="187"/>
      <c r="I44" s="187"/>
      <c r="J44" s="187">
        <v>3.0</v>
      </c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</row>
    <row r="45" ht="15.75" customHeight="1">
      <c r="A45" s="242">
        <v>30.0</v>
      </c>
      <c r="B45" s="242">
        <v>83000.0</v>
      </c>
      <c r="C45" s="242">
        <v>352260.0</v>
      </c>
      <c r="D45" s="242" t="b">
        <v>1</v>
      </c>
      <c r="E45" s="276">
        <v>250.0</v>
      </c>
      <c r="F45" s="187"/>
      <c r="G45" s="187"/>
      <c r="H45" s="187"/>
      <c r="I45" s="187"/>
      <c r="J45" s="187"/>
      <c r="K45" s="187">
        <v>4.0</v>
      </c>
      <c r="L45" s="187">
        <v>4.0</v>
      </c>
      <c r="M45" s="187">
        <v>4.0</v>
      </c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</row>
    <row r="46" ht="15.75" customHeight="1">
      <c r="A46" s="22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</row>
    <row r="47" ht="15.75" customHeight="1">
      <c r="A47" s="22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</row>
    <row r="48" ht="15.75" customHeight="1">
      <c r="A48" s="220"/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</row>
    <row r="49" ht="15.75" customHeight="1">
      <c r="A49" s="220"/>
      <c r="B49" s="220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</row>
    <row r="50" ht="15.75" customHeight="1">
      <c r="A50" s="220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</row>
  </sheetData>
  <conditionalFormatting sqref="E16:Y16">
    <cfRule type="expression" dxfId="6" priority="1">
      <formula>ISEVEN(ROW()-ROW($A$16)+1)</formula>
    </cfRule>
  </conditionalFormatting>
  <conditionalFormatting sqref="A16:D45">
    <cfRule type="expression" dxfId="6" priority="2">
      <formula>ISEVEN(ROW()-10+1)</formula>
    </cfRule>
  </conditionalFormatting>
  <conditionalFormatting sqref="E16:Y45">
    <cfRule type="cellIs" dxfId="5" priority="3" stopIfTrue="1" operator="greaterThan">
      <formula>0</formula>
    </cfRule>
  </conditionalFormatting>
  <conditionalFormatting sqref="E16:Y45">
    <cfRule type="expression" dxfId="6" priority="4">
      <formula>ISEVEN(ROW()-ROW(#REF!)+1)</formula>
    </cfRule>
  </conditionalFormatting>
  <conditionalFormatting sqref="A1:B2 C1:D15 A4:B15 E14:G45 H14:Y14 A22:D50">
    <cfRule type="expression" dxfId="7" priority="5">
      <formula>ISFORMULA(A1)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2">
      <c r="B2" s="278"/>
      <c r="C2" s="278"/>
      <c r="D2" s="279" t="s">
        <v>345</v>
      </c>
      <c r="E2" s="280"/>
      <c r="F2" s="281"/>
      <c r="G2" s="278"/>
      <c r="H2" s="278"/>
      <c r="I2" s="278"/>
      <c r="J2" s="278"/>
      <c r="K2" s="279" t="s">
        <v>345</v>
      </c>
      <c r="L2" s="280"/>
      <c r="M2" s="281"/>
      <c r="N2" s="278"/>
      <c r="O2" s="278"/>
      <c r="P2" s="278"/>
      <c r="Q2" s="278"/>
      <c r="R2" s="279" t="s">
        <v>345</v>
      </c>
      <c r="S2" s="280"/>
      <c r="T2" s="281"/>
      <c r="U2" s="278"/>
      <c r="V2" s="278"/>
      <c r="W2" s="278"/>
      <c r="X2" s="278"/>
      <c r="Y2" s="279" t="s">
        <v>345</v>
      </c>
      <c r="Z2" s="280"/>
      <c r="AA2" s="281"/>
      <c r="AB2" s="278"/>
      <c r="AC2" s="278"/>
      <c r="AD2" s="278"/>
      <c r="AE2" s="278"/>
      <c r="AF2" s="279" t="s">
        <v>345</v>
      </c>
      <c r="AG2" s="280"/>
      <c r="AH2" s="281"/>
    </row>
    <row r="3">
      <c r="B3" s="282" t="s">
        <v>346</v>
      </c>
      <c r="C3" s="282" t="s">
        <v>347</v>
      </c>
      <c r="D3" s="282" t="s">
        <v>348</v>
      </c>
      <c r="E3" s="282" t="s">
        <v>349</v>
      </c>
      <c r="F3" s="282" t="s">
        <v>350</v>
      </c>
      <c r="G3" s="282" t="s">
        <v>351</v>
      </c>
      <c r="H3" s="282" t="s">
        <v>352</v>
      </c>
      <c r="I3" s="282" t="s">
        <v>346</v>
      </c>
      <c r="J3" s="282" t="s">
        <v>347</v>
      </c>
      <c r="K3" s="282" t="s">
        <v>348</v>
      </c>
      <c r="L3" s="282" t="s">
        <v>349</v>
      </c>
      <c r="M3" s="282" t="s">
        <v>350</v>
      </c>
      <c r="N3" s="282" t="s">
        <v>351</v>
      </c>
      <c r="O3" s="282" t="s">
        <v>352</v>
      </c>
      <c r="P3" s="282" t="s">
        <v>346</v>
      </c>
      <c r="Q3" s="282" t="s">
        <v>347</v>
      </c>
      <c r="R3" s="282" t="s">
        <v>348</v>
      </c>
      <c r="S3" s="282" t="s">
        <v>349</v>
      </c>
      <c r="T3" s="282" t="s">
        <v>350</v>
      </c>
      <c r="U3" s="282" t="s">
        <v>351</v>
      </c>
      <c r="V3" s="282" t="s">
        <v>352</v>
      </c>
      <c r="W3" s="282" t="s">
        <v>346</v>
      </c>
      <c r="X3" s="282" t="s">
        <v>347</v>
      </c>
      <c r="Y3" s="282" t="s">
        <v>348</v>
      </c>
      <c r="Z3" s="282" t="s">
        <v>349</v>
      </c>
      <c r="AA3" s="282" t="s">
        <v>350</v>
      </c>
      <c r="AB3" s="282" t="s">
        <v>351</v>
      </c>
      <c r="AC3" s="282" t="s">
        <v>352</v>
      </c>
      <c r="AD3" s="282" t="s">
        <v>346</v>
      </c>
      <c r="AE3" s="282" t="s">
        <v>353</v>
      </c>
      <c r="AF3" s="282" t="s">
        <v>348</v>
      </c>
      <c r="AG3" s="282" t="s">
        <v>349</v>
      </c>
      <c r="AH3" s="282" t="s">
        <v>350</v>
      </c>
    </row>
    <row r="4">
      <c r="B4" s="283">
        <v>1.0</v>
      </c>
      <c r="C4" s="283">
        <v>2.0</v>
      </c>
      <c r="D4" s="283">
        <v>3.0</v>
      </c>
      <c r="E4" s="283">
        <v>4.0</v>
      </c>
      <c r="F4" s="283">
        <v>5.0</v>
      </c>
      <c r="G4" s="283">
        <v>6.0</v>
      </c>
      <c r="H4" s="283">
        <v>7.0</v>
      </c>
      <c r="I4" s="283">
        <v>8.0</v>
      </c>
      <c r="J4" s="283">
        <v>9.0</v>
      </c>
      <c r="K4" s="283">
        <v>10.0</v>
      </c>
      <c r="L4" s="283">
        <v>11.0</v>
      </c>
      <c r="M4" s="283">
        <v>12.0</v>
      </c>
      <c r="N4" s="283">
        <v>13.0</v>
      </c>
      <c r="O4" s="283">
        <v>14.0</v>
      </c>
      <c r="P4" s="283">
        <v>15.0</v>
      </c>
      <c r="Q4" s="283">
        <v>16.0</v>
      </c>
      <c r="R4" s="283">
        <v>17.0</v>
      </c>
      <c r="S4" s="283">
        <v>18.0</v>
      </c>
      <c r="T4" s="283">
        <v>19.0</v>
      </c>
      <c r="U4" s="283">
        <v>20.0</v>
      </c>
      <c r="V4" s="283">
        <v>21.0</v>
      </c>
      <c r="W4" s="283">
        <v>22.0</v>
      </c>
      <c r="X4" s="283">
        <v>23.0</v>
      </c>
      <c r="Y4" s="283">
        <v>24.0</v>
      </c>
      <c r="Z4" s="283">
        <v>25.0</v>
      </c>
      <c r="AA4" s="283">
        <v>26.0</v>
      </c>
      <c r="AB4" s="283">
        <v>27.0</v>
      </c>
      <c r="AC4" s="283">
        <v>28.0</v>
      </c>
      <c r="AD4" s="283">
        <v>29.0</v>
      </c>
      <c r="AE4" s="283">
        <v>30.0</v>
      </c>
      <c r="AF4" s="283">
        <v>1.0</v>
      </c>
      <c r="AG4" s="283">
        <v>2.0</v>
      </c>
      <c r="AH4" s="283">
        <v>3.0</v>
      </c>
    </row>
    <row r="5">
      <c r="B5" s="284" t="s">
        <v>39</v>
      </c>
      <c r="C5" s="280"/>
      <c r="D5" s="280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0"/>
      <c r="R5" s="280"/>
      <c r="S5" s="280"/>
      <c r="T5" s="280"/>
      <c r="U5" s="280"/>
      <c r="V5" s="280"/>
      <c r="W5" s="280"/>
      <c r="X5" s="280"/>
      <c r="Y5" s="280"/>
      <c r="Z5" s="280"/>
      <c r="AA5" s="280"/>
      <c r="AB5" s="280"/>
      <c r="AC5" s="280"/>
      <c r="AD5" s="280"/>
      <c r="AE5" s="281"/>
      <c r="AF5" s="284" t="s">
        <v>39</v>
      </c>
      <c r="AG5" s="280"/>
      <c r="AH5" s="281"/>
    </row>
    <row r="6">
      <c r="B6" s="278"/>
      <c r="C6" s="278"/>
      <c r="D6" s="284" t="s">
        <v>42</v>
      </c>
      <c r="E6" s="280"/>
      <c r="F6" s="281"/>
      <c r="G6" s="278"/>
      <c r="H6" s="278"/>
      <c r="I6" s="278"/>
      <c r="J6" s="278"/>
      <c r="K6" s="284" t="s">
        <v>42</v>
      </c>
      <c r="L6" s="280"/>
      <c r="M6" s="281"/>
      <c r="N6" s="278"/>
      <c r="O6" s="278"/>
      <c r="P6" s="278"/>
      <c r="Q6" s="278"/>
      <c r="R6" s="284" t="s">
        <v>42</v>
      </c>
      <c r="S6" s="280"/>
      <c r="T6" s="281"/>
      <c r="U6" s="278"/>
      <c r="V6" s="278"/>
      <c r="W6" s="278"/>
      <c r="X6" s="278"/>
      <c r="Y6" s="284" t="s">
        <v>42</v>
      </c>
      <c r="Z6" s="280"/>
      <c r="AA6" s="281"/>
      <c r="AB6" s="278"/>
      <c r="AC6" s="278"/>
      <c r="AD6" s="278"/>
      <c r="AE6" s="278"/>
      <c r="AF6" s="284" t="s">
        <v>42</v>
      </c>
      <c r="AG6" s="280"/>
      <c r="AH6" s="281"/>
    </row>
    <row r="7">
      <c r="B7" s="284" t="s">
        <v>40</v>
      </c>
      <c r="C7" s="281"/>
      <c r="D7" s="278"/>
      <c r="E7" s="278"/>
      <c r="F7" s="278"/>
      <c r="G7" s="284" t="s">
        <v>40</v>
      </c>
      <c r="H7" s="280"/>
      <c r="I7" s="280"/>
      <c r="J7" s="281"/>
      <c r="K7" s="278"/>
      <c r="L7" s="278"/>
      <c r="M7" s="278"/>
      <c r="N7" s="284" t="s">
        <v>40</v>
      </c>
      <c r="O7" s="280"/>
      <c r="P7" s="280"/>
      <c r="Q7" s="281"/>
      <c r="R7" s="278"/>
      <c r="S7" s="278"/>
      <c r="T7" s="278"/>
      <c r="U7" s="284" t="s">
        <v>40</v>
      </c>
      <c r="V7" s="280"/>
      <c r="W7" s="280"/>
      <c r="X7" s="281"/>
      <c r="Y7" s="278"/>
      <c r="Z7" s="278"/>
      <c r="AA7" s="278"/>
      <c r="AB7" s="284" t="s">
        <v>40</v>
      </c>
      <c r="AC7" s="280"/>
      <c r="AD7" s="280"/>
      <c r="AE7" s="281"/>
      <c r="AF7" s="278"/>
      <c r="AG7" s="278"/>
      <c r="AH7" s="278"/>
    </row>
    <row r="8">
      <c r="B8" s="284" t="s">
        <v>41</v>
      </c>
      <c r="C8" s="280"/>
      <c r="D8" s="280"/>
      <c r="E8" s="280"/>
      <c r="F8" s="281"/>
      <c r="G8" s="284" t="s">
        <v>41</v>
      </c>
      <c r="H8" s="280"/>
      <c r="I8" s="280"/>
      <c r="J8" s="280"/>
      <c r="K8" s="280"/>
      <c r="L8" s="280"/>
      <c r="M8" s="281"/>
      <c r="N8" s="284" t="s">
        <v>41</v>
      </c>
      <c r="O8" s="280"/>
      <c r="P8" s="280"/>
      <c r="Q8" s="280"/>
      <c r="R8" s="280"/>
      <c r="S8" s="280"/>
      <c r="T8" s="281"/>
      <c r="U8" s="284" t="s">
        <v>41</v>
      </c>
      <c r="V8" s="280"/>
      <c r="W8" s="280"/>
      <c r="X8" s="280"/>
      <c r="Y8" s="280"/>
      <c r="Z8" s="280"/>
      <c r="AA8" s="281"/>
      <c r="AB8" s="284" t="s">
        <v>41</v>
      </c>
      <c r="AC8" s="280"/>
      <c r="AD8" s="280"/>
      <c r="AE8" s="280"/>
      <c r="AF8" s="280"/>
      <c r="AG8" s="280"/>
      <c r="AH8" s="281"/>
    </row>
    <row r="9" ht="33.75" customHeight="1">
      <c r="B9" s="285" t="s">
        <v>354</v>
      </c>
      <c r="C9" s="278"/>
      <c r="D9" s="285" t="s">
        <v>354</v>
      </c>
      <c r="E9" s="278"/>
      <c r="F9" s="285" t="s">
        <v>354</v>
      </c>
      <c r="G9" s="278"/>
      <c r="H9" s="278"/>
      <c r="I9" s="285" t="s">
        <v>354</v>
      </c>
      <c r="J9" s="278"/>
      <c r="K9" s="285" t="s">
        <v>354</v>
      </c>
      <c r="L9" s="278"/>
      <c r="M9" s="285" t="s">
        <v>354</v>
      </c>
      <c r="N9" s="278"/>
      <c r="O9" s="278"/>
      <c r="P9" s="285" t="s">
        <v>354</v>
      </c>
      <c r="Q9" s="278"/>
      <c r="R9" s="286" t="s">
        <v>354</v>
      </c>
      <c r="S9" s="287"/>
      <c r="T9" s="286" t="s">
        <v>354</v>
      </c>
      <c r="U9" s="287"/>
      <c r="V9" s="287"/>
      <c r="W9" s="286" t="s">
        <v>354</v>
      </c>
      <c r="X9" s="287"/>
      <c r="Y9" s="286" t="s">
        <v>354</v>
      </c>
      <c r="Z9" s="287"/>
      <c r="AA9" s="286" t="s">
        <v>354</v>
      </c>
      <c r="AB9" s="287"/>
      <c r="AC9" s="287"/>
      <c r="AD9" s="286" t="s">
        <v>354</v>
      </c>
      <c r="AE9" s="287"/>
      <c r="AF9" s="286" t="s">
        <v>354</v>
      </c>
      <c r="AG9" s="287"/>
      <c r="AH9" s="286" t="s">
        <v>354</v>
      </c>
    </row>
    <row r="10" ht="33.75" customHeight="1">
      <c r="B10" s="278"/>
      <c r="C10" s="285" t="s">
        <v>47</v>
      </c>
      <c r="D10" s="278"/>
      <c r="E10" s="278"/>
      <c r="F10" s="278"/>
      <c r="G10" s="278"/>
      <c r="H10" s="278"/>
      <c r="I10" s="278"/>
      <c r="J10" s="285" t="s">
        <v>47</v>
      </c>
      <c r="K10" s="278"/>
      <c r="L10" s="278"/>
      <c r="M10" s="278"/>
      <c r="N10" s="278"/>
      <c r="O10" s="278"/>
      <c r="P10" s="278"/>
      <c r="Q10" s="285" t="s">
        <v>47</v>
      </c>
      <c r="R10" s="278"/>
      <c r="S10" s="278"/>
      <c r="T10" s="278"/>
      <c r="U10" s="278"/>
      <c r="V10" s="278"/>
      <c r="W10" s="278"/>
      <c r="X10" s="285" t="s">
        <v>47</v>
      </c>
      <c r="Y10" s="278"/>
      <c r="Z10" s="278"/>
      <c r="AA10" s="278"/>
      <c r="AB10" s="278"/>
      <c r="AC10" s="278"/>
      <c r="AD10" s="278"/>
      <c r="AE10" s="285" t="s">
        <v>47</v>
      </c>
      <c r="AF10" s="278"/>
      <c r="AG10" s="278"/>
      <c r="AH10" s="278"/>
    </row>
    <row r="11" ht="33.75" customHeight="1">
      <c r="B11" s="278"/>
      <c r="C11" s="278"/>
      <c r="E11" s="288" t="s">
        <v>48</v>
      </c>
      <c r="F11" s="278"/>
      <c r="G11" s="278"/>
      <c r="H11" s="278"/>
      <c r="I11" s="278"/>
      <c r="J11" s="278"/>
      <c r="K11" s="278"/>
      <c r="L11" s="278"/>
      <c r="M11" s="278"/>
      <c r="N11" s="288" t="s">
        <v>48</v>
      </c>
      <c r="O11" s="278"/>
      <c r="P11" s="278"/>
      <c r="Q11" s="278"/>
      <c r="R11" s="278"/>
      <c r="S11" s="278"/>
      <c r="T11" s="278"/>
      <c r="U11" s="288" t="s">
        <v>48</v>
      </c>
      <c r="V11" s="278"/>
      <c r="W11" s="278"/>
      <c r="X11" s="278"/>
      <c r="Y11" s="278"/>
      <c r="Z11" s="278"/>
      <c r="AA11" s="278"/>
      <c r="AB11" s="288" t="s">
        <v>48</v>
      </c>
      <c r="AC11" s="278"/>
      <c r="AD11" s="278"/>
      <c r="AE11" s="278"/>
      <c r="AF11" s="278"/>
      <c r="AG11" s="278"/>
      <c r="AH11" s="278"/>
    </row>
    <row r="12" ht="33.75" customHeight="1">
      <c r="B12" s="278"/>
      <c r="C12" s="289" t="s">
        <v>49</v>
      </c>
      <c r="D12" s="278"/>
      <c r="E12" s="289" t="s">
        <v>49</v>
      </c>
      <c r="F12" s="278"/>
      <c r="G12" s="289" t="s">
        <v>49</v>
      </c>
      <c r="H12" s="289" t="s">
        <v>49</v>
      </c>
      <c r="I12" s="278"/>
      <c r="J12" s="289" t="s">
        <v>49</v>
      </c>
      <c r="K12" s="278"/>
      <c r="L12" s="289" t="s">
        <v>49</v>
      </c>
      <c r="M12" s="278"/>
      <c r="N12" s="289" t="s">
        <v>49</v>
      </c>
      <c r="O12" s="289" t="s">
        <v>49</v>
      </c>
      <c r="P12" s="278"/>
      <c r="Q12" s="289" t="s">
        <v>49</v>
      </c>
      <c r="R12" s="278"/>
      <c r="S12" s="289" t="s">
        <v>49</v>
      </c>
      <c r="T12" s="278"/>
      <c r="U12" s="289" t="s">
        <v>49</v>
      </c>
      <c r="V12" s="289" t="s">
        <v>49</v>
      </c>
      <c r="W12" s="278"/>
      <c r="X12" s="289" t="s">
        <v>49</v>
      </c>
      <c r="Y12" s="278"/>
      <c r="Z12" s="289" t="s">
        <v>49</v>
      </c>
      <c r="AA12" s="278"/>
      <c r="AB12" s="289" t="s">
        <v>49</v>
      </c>
      <c r="AC12" s="289" t="s">
        <v>49</v>
      </c>
      <c r="AD12" s="278"/>
      <c r="AE12" s="289" t="s">
        <v>49</v>
      </c>
      <c r="AF12" s="278"/>
      <c r="AG12" s="289" t="s">
        <v>49</v>
      </c>
      <c r="AH12" s="278"/>
    </row>
    <row r="13" ht="33.75" customHeight="1">
      <c r="B13" s="278"/>
      <c r="C13" s="278"/>
      <c r="D13" s="278"/>
      <c r="E13" s="288" t="s">
        <v>50</v>
      </c>
      <c r="F13" s="278"/>
      <c r="G13" s="278"/>
      <c r="H13" s="278"/>
      <c r="I13" s="278"/>
      <c r="J13" s="278"/>
      <c r="K13" s="278"/>
      <c r="L13" s="278"/>
      <c r="M13" s="278"/>
      <c r="N13" s="288" t="s">
        <v>50</v>
      </c>
      <c r="O13" s="278"/>
      <c r="P13" s="278"/>
      <c r="Q13" s="278"/>
      <c r="R13" s="278"/>
      <c r="S13" s="278"/>
      <c r="T13" s="278"/>
      <c r="U13" s="288" t="s">
        <v>50</v>
      </c>
      <c r="V13" s="278"/>
      <c r="W13" s="278"/>
      <c r="X13" s="278"/>
      <c r="Y13" s="278"/>
      <c r="Z13" s="278"/>
      <c r="AA13" s="278"/>
      <c r="AB13" s="288" t="s">
        <v>50</v>
      </c>
      <c r="AC13" s="278"/>
      <c r="AD13" s="278"/>
      <c r="AE13" s="278"/>
      <c r="AF13" s="278"/>
      <c r="AG13" s="278"/>
      <c r="AH13" s="278"/>
    </row>
    <row r="14" ht="33.75" customHeight="1">
      <c r="B14" s="278"/>
      <c r="C14" s="278"/>
      <c r="D14" s="278"/>
      <c r="E14" s="278"/>
      <c r="F14" s="288" t="s">
        <v>51</v>
      </c>
      <c r="G14" s="278"/>
      <c r="H14" s="278"/>
      <c r="I14" s="278"/>
      <c r="J14" s="278"/>
      <c r="K14" s="278"/>
      <c r="L14" s="278"/>
      <c r="M14" s="278"/>
      <c r="N14" s="278"/>
      <c r="O14" s="288" t="s">
        <v>51</v>
      </c>
      <c r="P14" s="278"/>
      <c r="Q14" s="278"/>
      <c r="R14" s="278"/>
      <c r="S14" s="278"/>
      <c r="T14" s="278"/>
      <c r="U14" s="278"/>
      <c r="V14" s="288" t="s">
        <v>51</v>
      </c>
      <c r="W14" s="278"/>
      <c r="X14" s="278"/>
      <c r="Y14" s="278"/>
      <c r="Z14" s="278"/>
      <c r="AA14" s="278"/>
      <c r="AB14" s="278"/>
      <c r="AC14" s="288" t="s">
        <v>51</v>
      </c>
      <c r="AD14" s="278"/>
      <c r="AE14" s="278"/>
      <c r="AF14" s="278"/>
      <c r="AG14" s="278"/>
      <c r="AH14" s="278"/>
    </row>
    <row r="15" ht="33.75" customHeight="1">
      <c r="B15" s="278"/>
      <c r="C15" s="278"/>
      <c r="D15" s="288" t="s">
        <v>43</v>
      </c>
      <c r="E15" s="280"/>
      <c r="F15" s="280"/>
      <c r="G15" s="280"/>
      <c r="H15" s="280"/>
      <c r="I15" s="280"/>
      <c r="J15" s="281"/>
      <c r="K15" s="278"/>
      <c r="L15" s="278"/>
      <c r="M15" s="278"/>
      <c r="N15" s="278"/>
      <c r="O15" s="278"/>
      <c r="P15" s="278"/>
      <c r="Q15" s="278"/>
      <c r="R15" s="288" t="s">
        <v>43</v>
      </c>
      <c r="S15" s="280"/>
      <c r="T15" s="280"/>
      <c r="U15" s="280"/>
      <c r="V15" s="280"/>
      <c r="W15" s="280"/>
      <c r="X15" s="281"/>
      <c r="Y15" s="278"/>
      <c r="Z15" s="278"/>
      <c r="AA15" s="278"/>
      <c r="AB15" s="278"/>
      <c r="AC15" s="278"/>
      <c r="AD15" s="278"/>
      <c r="AE15" s="278"/>
      <c r="AF15" s="288" t="s">
        <v>43</v>
      </c>
      <c r="AG15" s="280"/>
      <c r="AH15" s="280"/>
    </row>
    <row r="16" ht="33.75" customHeight="1">
      <c r="B16" s="284" t="s">
        <v>33</v>
      </c>
      <c r="C16" s="280"/>
      <c r="D16" s="280"/>
      <c r="E16" s="280"/>
      <c r="F16" s="281"/>
      <c r="G16" s="284" t="s">
        <v>33</v>
      </c>
      <c r="H16" s="280"/>
      <c r="I16" s="280"/>
      <c r="J16" s="280"/>
      <c r="K16" s="280"/>
      <c r="L16" s="280"/>
      <c r="M16" s="281"/>
      <c r="N16" s="284" t="s">
        <v>33</v>
      </c>
      <c r="O16" s="280"/>
      <c r="P16" s="280"/>
      <c r="Q16" s="280"/>
      <c r="R16" s="280"/>
      <c r="S16" s="280"/>
      <c r="T16" s="281"/>
      <c r="U16" s="284" t="s">
        <v>33</v>
      </c>
      <c r="V16" s="280"/>
      <c r="W16" s="280"/>
      <c r="X16" s="280"/>
      <c r="Y16" s="280"/>
      <c r="Z16" s="280"/>
      <c r="AA16" s="281"/>
      <c r="AB16" s="284" t="s">
        <v>33</v>
      </c>
      <c r="AC16" s="280"/>
      <c r="AD16" s="280"/>
      <c r="AE16" s="280"/>
      <c r="AF16" s="280"/>
      <c r="AG16" s="280"/>
      <c r="AH16" s="281"/>
    </row>
    <row r="17" ht="33.75" customHeight="1">
      <c r="B17" s="288" t="s">
        <v>34</v>
      </c>
      <c r="C17" s="280"/>
      <c r="D17" s="281"/>
      <c r="E17" s="278"/>
      <c r="F17" s="278"/>
      <c r="G17" s="278"/>
      <c r="H17" s="288" t="s">
        <v>35</v>
      </c>
      <c r="I17" s="280"/>
      <c r="J17" s="280"/>
      <c r="K17" s="281"/>
      <c r="L17" s="278"/>
      <c r="M17" s="278"/>
      <c r="N17" s="278"/>
      <c r="O17" s="288" t="s">
        <v>34</v>
      </c>
      <c r="P17" s="280"/>
      <c r="Q17" s="280"/>
      <c r="R17" s="281"/>
      <c r="S17" s="278"/>
      <c r="T17" s="278"/>
      <c r="U17" s="278"/>
      <c r="V17" s="288" t="s">
        <v>36</v>
      </c>
      <c r="W17" s="280"/>
      <c r="X17" s="280"/>
      <c r="Y17" s="281"/>
      <c r="Z17" s="278"/>
      <c r="AA17" s="278"/>
      <c r="AB17" s="278"/>
      <c r="AC17" s="288" t="s">
        <v>34</v>
      </c>
      <c r="AD17" s="280"/>
      <c r="AE17" s="280"/>
      <c r="AF17" s="281"/>
      <c r="AG17" s="278"/>
      <c r="AH17" s="278"/>
    </row>
    <row r="18" ht="33.75" customHeight="1">
      <c r="B18" s="278"/>
      <c r="C18" s="278"/>
      <c r="D18" s="278"/>
      <c r="E18" s="278"/>
      <c r="F18" s="278"/>
      <c r="G18" s="278"/>
      <c r="H18" s="278"/>
      <c r="I18" s="278"/>
      <c r="J18" s="278"/>
      <c r="K18" s="278"/>
      <c r="L18" s="278"/>
      <c r="M18" s="278"/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  <c r="Y18" s="278"/>
      <c r="Z18" s="278"/>
      <c r="AA18" s="278"/>
      <c r="AB18" s="278"/>
      <c r="AC18" s="278"/>
      <c r="AD18" s="278"/>
      <c r="AE18" s="278"/>
      <c r="AF18" s="278"/>
      <c r="AG18" s="278"/>
      <c r="AH18" s="278"/>
    </row>
    <row r="19" ht="33.75" customHeight="1">
      <c r="B19" s="290" t="s">
        <v>32</v>
      </c>
      <c r="C19" s="281"/>
      <c r="D19" s="278"/>
      <c r="E19" s="278"/>
      <c r="F19" s="278"/>
      <c r="G19" s="278"/>
      <c r="H19" s="278"/>
      <c r="I19" s="278"/>
      <c r="J19" s="278"/>
      <c r="K19" s="290" t="s">
        <v>32</v>
      </c>
      <c r="L19" s="280"/>
      <c r="M19" s="280"/>
      <c r="N19" s="280"/>
      <c r="O19" s="280"/>
      <c r="P19" s="280"/>
      <c r="Q19" s="281"/>
      <c r="R19" s="278"/>
      <c r="S19" s="278"/>
      <c r="T19" s="278"/>
      <c r="U19" s="278"/>
      <c r="V19" s="278"/>
      <c r="W19" s="278"/>
      <c r="X19" s="278"/>
      <c r="Y19" s="290" t="s">
        <v>32</v>
      </c>
      <c r="Z19" s="280"/>
      <c r="AA19" s="280"/>
      <c r="AB19" s="280"/>
      <c r="AC19" s="280"/>
      <c r="AD19" s="280"/>
      <c r="AE19" s="281"/>
      <c r="AF19" s="278"/>
      <c r="AG19" s="278"/>
      <c r="AH19" s="278"/>
    </row>
    <row r="20" ht="33.75" customHeight="1">
      <c r="B20" s="278"/>
      <c r="C20" s="278"/>
      <c r="D20" s="278"/>
      <c r="E20" s="288" t="s">
        <v>44</v>
      </c>
      <c r="F20" s="280"/>
      <c r="G20" s="280"/>
      <c r="H20" s="278"/>
      <c r="I20" s="278"/>
      <c r="J20" s="278"/>
      <c r="K20" s="278"/>
      <c r="L20" s="288" t="s">
        <v>44</v>
      </c>
      <c r="M20" s="280"/>
      <c r="N20" s="280"/>
      <c r="O20" s="278"/>
      <c r="P20" s="278"/>
      <c r="Q20" s="278"/>
      <c r="R20" s="278"/>
      <c r="S20" s="288" t="s">
        <v>44</v>
      </c>
      <c r="T20" s="280"/>
      <c r="U20" s="280"/>
      <c r="V20" s="278"/>
      <c r="W20" s="278"/>
      <c r="X20" s="278"/>
      <c r="Y20" s="278"/>
      <c r="Z20" s="288" t="s">
        <v>44</v>
      </c>
      <c r="AA20" s="280"/>
      <c r="AB20" s="280"/>
      <c r="AC20" s="278"/>
      <c r="AD20" s="278"/>
      <c r="AE20" s="278"/>
      <c r="AF20" s="278"/>
      <c r="AG20" s="288" t="s">
        <v>44</v>
      </c>
      <c r="AH20" s="280"/>
    </row>
    <row r="21" ht="33.75" customHeight="1">
      <c r="B21" s="289" t="s">
        <v>52</v>
      </c>
      <c r="C21" s="289" t="s">
        <v>52</v>
      </c>
      <c r="D21" s="289" t="s">
        <v>52</v>
      </c>
      <c r="E21" s="289" t="s">
        <v>52</v>
      </c>
      <c r="F21" s="289" t="s">
        <v>52</v>
      </c>
      <c r="G21" s="289" t="s">
        <v>52</v>
      </c>
      <c r="H21" s="289" t="s">
        <v>52</v>
      </c>
      <c r="I21" s="289" t="s">
        <v>52</v>
      </c>
      <c r="J21" s="289" t="s">
        <v>52</v>
      </c>
      <c r="K21" s="289" t="s">
        <v>52</v>
      </c>
      <c r="L21" s="289" t="s">
        <v>52</v>
      </c>
      <c r="M21" s="289" t="s">
        <v>52</v>
      </c>
      <c r="N21" s="289" t="s">
        <v>52</v>
      </c>
      <c r="O21" s="289" t="s">
        <v>52</v>
      </c>
      <c r="P21" s="289" t="s">
        <v>52</v>
      </c>
      <c r="Q21" s="289" t="s">
        <v>52</v>
      </c>
      <c r="R21" s="289" t="s">
        <v>52</v>
      </c>
      <c r="S21" s="289" t="s">
        <v>52</v>
      </c>
      <c r="T21" s="289" t="s">
        <v>52</v>
      </c>
      <c r="U21" s="289" t="s">
        <v>52</v>
      </c>
      <c r="V21" s="289" t="s">
        <v>52</v>
      </c>
      <c r="W21" s="289" t="s">
        <v>52</v>
      </c>
      <c r="X21" s="289" t="s">
        <v>52</v>
      </c>
      <c r="Y21" s="289" t="s">
        <v>52</v>
      </c>
      <c r="Z21" s="289" t="s">
        <v>52</v>
      </c>
      <c r="AA21" s="289" t="s">
        <v>52</v>
      </c>
      <c r="AB21" s="289" t="s">
        <v>52</v>
      </c>
      <c r="AC21" s="289" t="s">
        <v>52</v>
      </c>
      <c r="AD21" s="289" t="s">
        <v>52</v>
      </c>
      <c r="AE21" s="289" t="s">
        <v>52</v>
      </c>
      <c r="AF21" s="289" t="s">
        <v>52</v>
      </c>
      <c r="AG21" s="289" t="s">
        <v>52</v>
      </c>
      <c r="AH21" s="289" t="s">
        <v>52</v>
      </c>
    </row>
    <row r="22">
      <c r="B22" s="278"/>
      <c r="C22" s="278"/>
      <c r="D22" s="278"/>
      <c r="E22" s="278"/>
      <c r="F22" s="278"/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8"/>
      <c r="AA22" s="278"/>
      <c r="AB22" s="278"/>
      <c r="AC22" s="278"/>
      <c r="AD22" s="278"/>
      <c r="AE22" s="278"/>
      <c r="AF22" s="278"/>
      <c r="AG22" s="278"/>
      <c r="AH22" s="278"/>
    </row>
    <row r="23">
      <c r="B23" s="291" t="s">
        <v>38</v>
      </c>
      <c r="C23" s="280"/>
      <c r="D23" s="280"/>
      <c r="E23" s="280"/>
      <c r="F23" s="281"/>
      <c r="G23" s="291" t="s">
        <v>38</v>
      </c>
      <c r="H23" s="280"/>
      <c r="I23" s="280"/>
      <c r="J23" s="280"/>
      <c r="K23" s="280"/>
      <c r="L23" s="280"/>
      <c r="M23" s="281"/>
      <c r="N23" s="291" t="s">
        <v>38</v>
      </c>
      <c r="O23" s="280"/>
      <c r="P23" s="280"/>
      <c r="Q23" s="280"/>
      <c r="R23" s="280"/>
      <c r="S23" s="280"/>
      <c r="T23" s="281"/>
      <c r="U23" s="291" t="s">
        <v>38</v>
      </c>
      <c r="V23" s="280"/>
      <c r="W23" s="280"/>
      <c r="X23" s="280"/>
      <c r="Y23" s="280"/>
      <c r="Z23" s="280"/>
      <c r="AA23" s="281"/>
      <c r="AB23" s="291" t="s">
        <v>38</v>
      </c>
      <c r="AC23" s="280"/>
      <c r="AD23" s="280"/>
      <c r="AE23" s="280"/>
      <c r="AF23" s="280"/>
      <c r="AG23" s="280"/>
      <c r="AH23" s="281"/>
    </row>
    <row r="24">
      <c r="B24" s="278"/>
      <c r="C24" s="278"/>
      <c r="D24" s="291" t="s">
        <v>37</v>
      </c>
      <c r="E24" s="280"/>
      <c r="F24" s="281"/>
      <c r="G24" s="278"/>
      <c r="H24" s="278"/>
      <c r="I24" s="278"/>
      <c r="J24" s="278"/>
      <c r="K24" s="291" t="s">
        <v>37</v>
      </c>
      <c r="L24" s="280"/>
      <c r="M24" s="281"/>
      <c r="N24" s="278"/>
      <c r="O24" s="278"/>
      <c r="P24" s="278"/>
      <c r="Q24" s="278"/>
      <c r="R24" s="291" t="s">
        <v>37</v>
      </c>
      <c r="S24" s="280"/>
      <c r="T24" s="281"/>
      <c r="U24" s="278"/>
      <c r="V24" s="278"/>
      <c r="W24" s="278"/>
      <c r="X24" s="278"/>
      <c r="Y24" s="291" t="s">
        <v>37</v>
      </c>
      <c r="Z24" s="280"/>
      <c r="AA24" s="281"/>
      <c r="AB24" s="278"/>
      <c r="AC24" s="278"/>
      <c r="AD24" s="278"/>
      <c r="AE24" s="278"/>
      <c r="AF24" s="291" t="s">
        <v>37</v>
      </c>
      <c r="AG24" s="280"/>
      <c r="AH24" s="281"/>
    </row>
    <row r="25">
      <c r="B25" s="278"/>
      <c r="C25" s="278"/>
      <c r="D25" s="278"/>
      <c r="E25" s="291" t="s">
        <v>45</v>
      </c>
      <c r="F25" s="281"/>
      <c r="G25" s="278"/>
      <c r="H25" s="278"/>
      <c r="I25" s="278"/>
      <c r="J25" s="278"/>
      <c r="K25" s="278"/>
      <c r="L25" s="291" t="s">
        <v>45</v>
      </c>
      <c r="M25" s="281"/>
      <c r="N25" s="278"/>
      <c r="O25" s="278"/>
      <c r="P25" s="278"/>
      <c r="Q25" s="278"/>
      <c r="R25" s="278"/>
      <c r="S25" s="291" t="s">
        <v>45</v>
      </c>
      <c r="T25" s="281"/>
      <c r="U25" s="278"/>
      <c r="V25" s="278"/>
      <c r="W25" s="278"/>
      <c r="X25" s="278"/>
      <c r="Y25" s="278"/>
      <c r="Z25" s="291" t="s">
        <v>45</v>
      </c>
      <c r="AA25" s="281"/>
      <c r="AB25" s="278"/>
      <c r="AC25" s="278"/>
      <c r="AD25" s="278"/>
      <c r="AE25" s="278"/>
      <c r="AF25" s="278"/>
      <c r="AG25" s="291" t="s">
        <v>45</v>
      </c>
      <c r="AH25" s="281"/>
    </row>
    <row r="29"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</row>
  </sheetData>
  <mergeCells count="58">
    <mergeCell ref="K19:Q19"/>
    <mergeCell ref="Y19:AE19"/>
    <mergeCell ref="G16:M16"/>
    <mergeCell ref="N16:T16"/>
    <mergeCell ref="B17:D17"/>
    <mergeCell ref="H17:K17"/>
    <mergeCell ref="O17:R17"/>
    <mergeCell ref="V17:Y17"/>
    <mergeCell ref="B19:C19"/>
    <mergeCell ref="R24:T24"/>
    <mergeCell ref="Y24:AA24"/>
    <mergeCell ref="B23:F23"/>
    <mergeCell ref="G23:M23"/>
    <mergeCell ref="N23:T23"/>
    <mergeCell ref="U23:AA23"/>
    <mergeCell ref="AB23:AH23"/>
    <mergeCell ref="K24:M24"/>
    <mergeCell ref="AF24:AH24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U16:AA16"/>
    <mergeCell ref="AB16:AH16"/>
    <mergeCell ref="AC17:AF17"/>
    <mergeCell ref="B7:C7"/>
    <mergeCell ref="B8:F8"/>
    <mergeCell ref="G8:M8"/>
    <mergeCell ref="D15:J15"/>
    <mergeCell ref="R15:X15"/>
    <mergeCell ref="AF15:AH15"/>
    <mergeCell ref="B16:F16"/>
    <mergeCell ref="E20:G20"/>
    <mergeCell ref="L20:N20"/>
    <mergeCell ref="S20:U20"/>
    <mergeCell ref="Z20:AB20"/>
    <mergeCell ref="AG20:AH20"/>
    <mergeCell ref="D24:F24"/>
    <mergeCell ref="E25:F25"/>
    <mergeCell ref="L25:M25"/>
    <mergeCell ref="S25:T25"/>
    <mergeCell ref="Z25:AA25"/>
    <mergeCell ref="AG25:AH25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34" width="7.0"/>
    <col customWidth="1" min="35" max="35" width="8.0"/>
  </cols>
  <sheetData>
    <row r="2">
      <c r="B2" s="278"/>
      <c r="C2" s="278"/>
      <c r="D2" s="279" t="s">
        <v>345</v>
      </c>
      <c r="E2" s="280"/>
      <c r="F2" s="281"/>
      <c r="G2" s="278"/>
      <c r="H2" s="278"/>
      <c r="I2" s="278"/>
      <c r="J2" s="278"/>
      <c r="K2" s="279" t="s">
        <v>345</v>
      </c>
      <c r="L2" s="280"/>
      <c r="M2" s="281"/>
      <c r="N2" s="278"/>
      <c r="O2" s="278"/>
      <c r="P2" s="278"/>
      <c r="Q2" s="278"/>
      <c r="R2" s="279" t="s">
        <v>345</v>
      </c>
      <c r="S2" s="280"/>
      <c r="T2" s="281"/>
      <c r="U2" s="278"/>
      <c r="V2" s="278"/>
      <c r="W2" s="278"/>
      <c r="X2" s="278"/>
      <c r="Y2" s="279" t="s">
        <v>345</v>
      </c>
      <c r="Z2" s="280"/>
      <c r="AA2" s="281"/>
      <c r="AB2" s="278"/>
      <c r="AC2" s="278"/>
      <c r="AD2" s="278"/>
      <c r="AE2" s="278"/>
      <c r="AF2" s="279" t="s">
        <v>345</v>
      </c>
      <c r="AG2" s="280"/>
      <c r="AH2" s="281"/>
    </row>
    <row r="3">
      <c r="B3" s="282" t="s">
        <v>346</v>
      </c>
      <c r="C3" s="282" t="s">
        <v>347</v>
      </c>
      <c r="D3" s="282" t="s">
        <v>348</v>
      </c>
      <c r="E3" s="282" t="s">
        <v>349</v>
      </c>
      <c r="F3" s="282" t="s">
        <v>350</v>
      </c>
      <c r="G3" s="282" t="s">
        <v>351</v>
      </c>
      <c r="H3" s="282" t="s">
        <v>352</v>
      </c>
      <c r="I3" s="282" t="s">
        <v>346</v>
      </c>
      <c r="J3" s="282" t="s">
        <v>347</v>
      </c>
      <c r="K3" s="282" t="s">
        <v>348</v>
      </c>
      <c r="L3" s="282" t="s">
        <v>349</v>
      </c>
      <c r="M3" s="282" t="s">
        <v>350</v>
      </c>
      <c r="N3" s="282" t="s">
        <v>351</v>
      </c>
      <c r="O3" s="282" t="s">
        <v>352</v>
      </c>
      <c r="P3" s="282" t="s">
        <v>346</v>
      </c>
      <c r="Q3" s="282" t="s">
        <v>347</v>
      </c>
      <c r="R3" s="282" t="s">
        <v>348</v>
      </c>
      <c r="S3" s="282" t="s">
        <v>349</v>
      </c>
      <c r="T3" s="282" t="s">
        <v>350</v>
      </c>
      <c r="U3" s="282" t="s">
        <v>351</v>
      </c>
      <c r="V3" s="282" t="s">
        <v>352</v>
      </c>
      <c r="W3" s="282" t="s">
        <v>346</v>
      </c>
      <c r="X3" s="282" t="s">
        <v>347</v>
      </c>
      <c r="Y3" s="282" t="s">
        <v>348</v>
      </c>
      <c r="Z3" s="282" t="s">
        <v>349</v>
      </c>
      <c r="AA3" s="282" t="s">
        <v>350</v>
      </c>
      <c r="AB3" s="282" t="s">
        <v>351</v>
      </c>
      <c r="AC3" s="282" t="s">
        <v>352</v>
      </c>
      <c r="AD3" s="282" t="s">
        <v>346</v>
      </c>
      <c r="AE3" s="282" t="s">
        <v>353</v>
      </c>
      <c r="AF3" s="282" t="s">
        <v>348</v>
      </c>
      <c r="AG3" s="282" t="s">
        <v>349</v>
      </c>
      <c r="AH3" s="282" t="s">
        <v>350</v>
      </c>
    </row>
    <row r="4">
      <c r="B4" s="283">
        <v>1.0</v>
      </c>
      <c r="C4" s="283">
        <v>2.0</v>
      </c>
      <c r="D4" s="283">
        <v>3.0</v>
      </c>
      <c r="E4" s="283">
        <v>4.0</v>
      </c>
      <c r="F4" s="283">
        <v>5.0</v>
      </c>
      <c r="G4" s="283">
        <v>6.0</v>
      </c>
      <c r="H4" s="283">
        <v>7.0</v>
      </c>
      <c r="I4" s="283">
        <v>8.0</v>
      </c>
      <c r="J4" s="283">
        <v>9.0</v>
      </c>
      <c r="K4" s="283">
        <v>10.0</v>
      </c>
      <c r="L4" s="283">
        <v>11.0</v>
      </c>
      <c r="M4" s="283">
        <v>12.0</v>
      </c>
      <c r="N4" s="283">
        <v>13.0</v>
      </c>
      <c r="O4" s="283">
        <v>14.0</v>
      </c>
      <c r="P4" s="283">
        <v>15.0</v>
      </c>
      <c r="Q4" s="283">
        <v>16.0</v>
      </c>
      <c r="R4" s="283">
        <v>17.0</v>
      </c>
      <c r="S4" s="283">
        <v>18.0</v>
      </c>
      <c r="T4" s="283">
        <v>19.0</v>
      </c>
      <c r="U4" s="283">
        <v>20.0</v>
      </c>
      <c r="V4" s="283">
        <v>21.0</v>
      </c>
      <c r="W4" s="283">
        <v>22.0</v>
      </c>
      <c r="X4" s="283">
        <v>23.0</v>
      </c>
      <c r="Y4" s="283">
        <v>24.0</v>
      </c>
      <c r="Z4" s="283">
        <v>25.0</v>
      </c>
      <c r="AA4" s="283">
        <v>26.0</v>
      </c>
      <c r="AB4" s="283">
        <v>27.0</v>
      </c>
      <c r="AC4" s="283">
        <v>28.0</v>
      </c>
      <c r="AD4" s="283">
        <v>29.0</v>
      </c>
      <c r="AE4" s="283">
        <v>30.0</v>
      </c>
      <c r="AF4" s="283">
        <v>1.0</v>
      </c>
      <c r="AG4" s="283">
        <v>2.0</v>
      </c>
      <c r="AH4" s="283">
        <v>3.0</v>
      </c>
    </row>
    <row r="5">
      <c r="B5" s="284" t="s">
        <v>39</v>
      </c>
      <c r="C5" s="280"/>
      <c r="D5" s="280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0"/>
      <c r="R5" s="280"/>
      <c r="S5" s="280"/>
      <c r="T5" s="280"/>
      <c r="U5" s="280"/>
      <c r="V5" s="280"/>
      <c r="W5" s="280"/>
      <c r="X5" s="280"/>
      <c r="Y5" s="280"/>
      <c r="Z5" s="280"/>
      <c r="AA5" s="280"/>
      <c r="AB5" s="280"/>
      <c r="AC5" s="280"/>
      <c r="AD5" s="280"/>
      <c r="AE5" s="281"/>
      <c r="AF5" s="284" t="s">
        <v>39</v>
      </c>
      <c r="AG5" s="280"/>
      <c r="AH5" s="281"/>
    </row>
    <row r="6">
      <c r="B6" s="278"/>
      <c r="C6" s="278"/>
      <c r="D6" s="284" t="s">
        <v>42</v>
      </c>
      <c r="E6" s="280"/>
      <c r="F6" s="281"/>
      <c r="G6" s="278"/>
      <c r="H6" s="278"/>
      <c r="I6" s="278"/>
      <c r="J6" s="278"/>
      <c r="K6" s="284" t="s">
        <v>42</v>
      </c>
      <c r="L6" s="280"/>
      <c r="M6" s="281"/>
      <c r="N6" s="278"/>
      <c r="O6" s="278"/>
      <c r="P6" s="278"/>
      <c r="Q6" s="278"/>
      <c r="R6" s="284" t="s">
        <v>42</v>
      </c>
      <c r="S6" s="280"/>
      <c r="T6" s="281"/>
      <c r="U6" s="278"/>
      <c r="V6" s="278"/>
      <c r="W6" s="278"/>
      <c r="X6" s="278"/>
      <c r="Y6" s="284" t="s">
        <v>42</v>
      </c>
      <c r="Z6" s="280"/>
      <c r="AA6" s="281"/>
      <c r="AB6" s="278"/>
      <c r="AC6" s="278"/>
      <c r="AD6" s="278"/>
      <c r="AE6" s="278"/>
      <c r="AF6" s="284" t="s">
        <v>42</v>
      </c>
      <c r="AG6" s="280"/>
      <c r="AH6" s="281"/>
    </row>
    <row r="7">
      <c r="B7" s="284" t="s">
        <v>40</v>
      </c>
      <c r="C7" s="281"/>
      <c r="D7" s="278"/>
      <c r="E7" s="278"/>
      <c r="F7" s="278"/>
      <c r="G7" s="284" t="s">
        <v>40</v>
      </c>
      <c r="H7" s="280"/>
      <c r="I7" s="280"/>
      <c r="J7" s="281"/>
      <c r="K7" s="278"/>
      <c r="L7" s="278"/>
      <c r="M7" s="278"/>
      <c r="N7" s="284" t="s">
        <v>40</v>
      </c>
      <c r="O7" s="280"/>
      <c r="P7" s="280"/>
      <c r="Q7" s="281"/>
      <c r="R7" s="278"/>
      <c r="S7" s="278"/>
      <c r="T7" s="278"/>
      <c r="U7" s="284" t="s">
        <v>40</v>
      </c>
      <c r="V7" s="280"/>
      <c r="W7" s="280"/>
      <c r="X7" s="281"/>
      <c r="Y7" s="278"/>
      <c r="Z7" s="278"/>
      <c r="AA7" s="278"/>
      <c r="AB7" s="284" t="s">
        <v>40</v>
      </c>
      <c r="AC7" s="280"/>
      <c r="AD7" s="280"/>
      <c r="AE7" s="281"/>
      <c r="AF7" s="278"/>
      <c r="AG7" s="278"/>
      <c r="AH7" s="278"/>
    </row>
    <row r="8">
      <c r="B8" s="284" t="s">
        <v>41</v>
      </c>
      <c r="C8" s="280"/>
      <c r="D8" s="280"/>
      <c r="E8" s="280"/>
      <c r="F8" s="281"/>
      <c r="G8" s="284" t="s">
        <v>41</v>
      </c>
      <c r="H8" s="280"/>
      <c r="I8" s="280"/>
      <c r="J8" s="280"/>
      <c r="K8" s="280"/>
      <c r="L8" s="280"/>
      <c r="M8" s="281"/>
      <c r="N8" s="284" t="s">
        <v>41</v>
      </c>
      <c r="O8" s="280"/>
      <c r="P8" s="280"/>
      <c r="Q8" s="280"/>
      <c r="R8" s="280"/>
      <c r="S8" s="280"/>
      <c r="T8" s="281"/>
      <c r="U8" s="284" t="s">
        <v>41</v>
      </c>
      <c r="V8" s="280"/>
      <c r="W8" s="280"/>
      <c r="X8" s="280"/>
      <c r="Y8" s="280"/>
      <c r="Z8" s="280"/>
      <c r="AA8" s="281"/>
      <c r="AB8" s="284" t="s">
        <v>41</v>
      </c>
      <c r="AC8" s="280"/>
      <c r="AD8" s="280"/>
      <c r="AE8" s="280"/>
      <c r="AF8" s="280"/>
      <c r="AG8" s="280"/>
      <c r="AH8" s="281"/>
    </row>
    <row r="9" ht="36.0" customHeight="1">
      <c r="B9" s="278"/>
      <c r="C9" s="278"/>
      <c r="D9" s="285" t="s">
        <v>354</v>
      </c>
      <c r="E9" s="285" t="s">
        <v>354</v>
      </c>
      <c r="F9" s="285" t="s">
        <v>354</v>
      </c>
      <c r="G9" s="278"/>
      <c r="H9" s="278"/>
      <c r="I9" s="278"/>
      <c r="J9" s="278"/>
      <c r="K9" s="285" t="s">
        <v>354</v>
      </c>
      <c r="L9" s="285" t="s">
        <v>354</v>
      </c>
      <c r="M9" s="285" t="s">
        <v>354</v>
      </c>
      <c r="N9" s="278"/>
      <c r="O9" s="278"/>
      <c r="P9" s="278"/>
      <c r="Q9" s="278"/>
      <c r="R9" s="285" t="s">
        <v>354</v>
      </c>
      <c r="S9" s="285" t="s">
        <v>354</v>
      </c>
      <c r="T9" s="285" t="s">
        <v>354</v>
      </c>
      <c r="U9" s="278"/>
      <c r="V9" s="278"/>
      <c r="W9" s="278"/>
      <c r="X9" s="278"/>
      <c r="Y9" s="285" t="s">
        <v>354</v>
      </c>
      <c r="Z9" s="285" t="s">
        <v>354</v>
      </c>
      <c r="AA9" s="285" t="s">
        <v>354</v>
      </c>
      <c r="AB9" s="278"/>
      <c r="AC9" s="278"/>
      <c r="AD9" s="278"/>
      <c r="AE9" s="278"/>
      <c r="AF9" s="285" t="s">
        <v>354</v>
      </c>
      <c r="AG9" s="285" t="s">
        <v>354</v>
      </c>
      <c r="AH9" s="285" t="s">
        <v>354</v>
      </c>
    </row>
    <row r="10" ht="36.0" customHeight="1">
      <c r="B10" s="278"/>
      <c r="C10" s="278"/>
      <c r="D10" s="278"/>
      <c r="E10" s="278"/>
      <c r="F10" s="278"/>
      <c r="G10" s="288" t="s">
        <v>47</v>
      </c>
      <c r="H10" s="281"/>
      <c r="I10" s="288" t="s">
        <v>47</v>
      </c>
      <c r="J10" s="281"/>
      <c r="K10" s="278"/>
      <c r="L10" s="278"/>
      <c r="M10" s="278"/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  <c r="AA10" s="278"/>
      <c r="AB10" s="278"/>
      <c r="AC10" s="278"/>
      <c r="AD10" s="278"/>
      <c r="AE10" s="278"/>
      <c r="AF10" s="278"/>
      <c r="AG10" s="278"/>
      <c r="AH10" s="278"/>
    </row>
    <row r="11" ht="36.0" customHeight="1">
      <c r="B11" s="278"/>
      <c r="C11" s="278"/>
      <c r="D11" s="278"/>
      <c r="E11" s="278"/>
      <c r="F11" s="278"/>
      <c r="G11" s="278"/>
      <c r="H11" s="278"/>
      <c r="I11" s="278"/>
      <c r="J11" s="278"/>
      <c r="K11" s="278"/>
      <c r="L11" s="278"/>
      <c r="M11" s="278"/>
      <c r="N11" s="288" t="s">
        <v>48</v>
      </c>
      <c r="O11" s="281"/>
      <c r="P11" s="288" t="s">
        <v>48</v>
      </c>
      <c r="Q11" s="281"/>
      <c r="R11" s="278"/>
      <c r="S11" s="278"/>
      <c r="T11" s="278"/>
      <c r="U11" s="278"/>
      <c r="V11" s="278"/>
      <c r="W11" s="278"/>
      <c r="X11" s="278"/>
      <c r="Y11" s="278"/>
      <c r="Z11" s="278"/>
      <c r="AA11" s="278"/>
      <c r="AB11" s="278"/>
      <c r="AC11" s="278"/>
      <c r="AD11" s="278"/>
      <c r="AE11" s="278"/>
      <c r="AF11" s="278"/>
      <c r="AG11" s="278"/>
      <c r="AH11" s="278"/>
    </row>
    <row r="12" ht="36.0" customHeight="1">
      <c r="B12" s="289" t="s">
        <v>49</v>
      </c>
      <c r="C12" s="289" t="s">
        <v>49</v>
      </c>
      <c r="D12" s="278"/>
      <c r="E12" s="278"/>
      <c r="F12" s="278"/>
      <c r="G12" s="289" t="s">
        <v>49</v>
      </c>
      <c r="H12" s="289" t="s">
        <v>49</v>
      </c>
      <c r="I12" s="289" t="s">
        <v>49</v>
      </c>
      <c r="J12" s="289" t="s">
        <v>49</v>
      </c>
      <c r="K12" s="278"/>
      <c r="L12" s="278"/>
      <c r="M12" s="278"/>
      <c r="N12" s="289" t="s">
        <v>49</v>
      </c>
      <c r="O12" s="289" t="s">
        <v>49</v>
      </c>
      <c r="P12" s="289" t="s">
        <v>49</v>
      </c>
      <c r="Q12" s="289" t="s">
        <v>49</v>
      </c>
      <c r="R12" s="278"/>
      <c r="S12" s="278"/>
      <c r="T12" s="278"/>
      <c r="U12" s="289" t="s">
        <v>49</v>
      </c>
      <c r="V12" s="289" t="s">
        <v>49</v>
      </c>
      <c r="W12" s="289" t="s">
        <v>49</v>
      </c>
      <c r="X12" s="289" t="s">
        <v>49</v>
      </c>
      <c r="Y12" s="278"/>
      <c r="Z12" s="278"/>
      <c r="AA12" s="278"/>
      <c r="AB12" s="289" t="s">
        <v>49</v>
      </c>
      <c r="AC12" s="289" t="s">
        <v>49</v>
      </c>
      <c r="AD12" s="289" t="s">
        <v>49</v>
      </c>
      <c r="AE12" s="289" t="s">
        <v>49</v>
      </c>
      <c r="AF12" s="278"/>
      <c r="AG12" s="278"/>
      <c r="AH12" s="278"/>
    </row>
    <row r="13" ht="36.0" customHeight="1"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8"/>
      <c r="N13" s="278"/>
      <c r="O13" s="278"/>
      <c r="P13" s="278"/>
      <c r="Q13" s="278"/>
      <c r="R13" s="278"/>
      <c r="S13" s="278"/>
      <c r="T13" s="278"/>
      <c r="U13" s="288" t="s">
        <v>50</v>
      </c>
      <c r="V13" s="281"/>
      <c r="W13" s="288" t="s">
        <v>50</v>
      </c>
      <c r="X13" s="281"/>
      <c r="Y13" s="278"/>
      <c r="Z13" s="278"/>
      <c r="AA13" s="278"/>
      <c r="AB13" s="278"/>
      <c r="AC13" s="278"/>
      <c r="AD13" s="278"/>
      <c r="AE13" s="278"/>
      <c r="AF13" s="278"/>
      <c r="AG13" s="278"/>
      <c r="AH13" s="278"/>
    </row>
    <row r="14" ht="36.0" customHeight="1">
      <c r="B14" s="288" t="s">
        <v>51</v>
      </c>
      <c r="C14" s="281"/>
      <c r="D14" s="278"/>
      <c r="E14" s="278"/>
      <c r="F14" s="278"/>
      <c r="G14" s="278"/>
      <c r="H14" s="278"/>
      <c r="I14" s="278"/>
      <c r="J14" s="278"/>
      <c r="K14" s="278"/>
      <c r="L14" s="278"/>
      <c r="M14" s="278"/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  <c r="Y14" s="278"/>
      <c r="Z14" s="278"/>
      <c r="AA14" s="278"/>
      <c r="AB14" s="288" t="s">
        <v>51</v>
      </c>
      <c r="AC14" s="281"/>
      <c r="AD14" s="288" t="s">
        <v>51</v>
      </c>
      <c r="AE14" s="281"/>
      <c r="AF14" s="278"/>
      <c r="AG14" s="278"/>
      <c r="AH14" s="278"/>
    </row>
    <row r="15" ht="36.0" customHeight="1">
      <c r="B15" s="278"/>
      <c r="C15" s="278"/>
      <c r="D15" s="288" t="s">
        <v>43</v>
      </c>
      <c r="E15" s="280"/>
      <c r="F15" s="281"/>
      <c r="G15" s="278"/>
      <c r="H15" s="278"/>
      <c r="I15" s="278"/>
      <c r="J15" s="278"/>
      <c r="K15" s="288" t="s">
        <v>43</v>
      </c>
      <c r="L15" s="280"/>
      <c r="M15" s="281"/>
      <c r="N15" s="278"/>
      <c r="O15" s="278"/>
      <c r="P15" s="278"/>
      <c r="Q15" s="278"/>
      <c r="R15" s="288" t="s">
        <v>43</v>
      </c>
      <c r="S15" s="280"/>
      <c r="T15" s="281"/>
      <c r="U15" s="278"/>
      <c r="V15" s="278"/>
      <c r="W15" s="278"/>
      <c r="X15" s="278"/>
      <c r="Y15" s="288" t="s">
        <v>43</v>
      </c>
      <c r="Z15" s="280"/>
      <c r="AA15" s="281"/>
      <c r="AB15" s="278"/>
      <c r="AC15" s="278"/>
      <c r="AD15" s="278"/>
      <c r="AE15" s="278"/>
      <c r="AF15" s="288" t="s">
        <v>43</v>
      </c>
      <c r="AG15" s="280"/>
      <c r="AH15" s="281"/>
    </row>
    <row r="16" ht="36.0" customHeight="1">
      <c r="B16" s="284" t="s">
        <v>33</v>
      </c>
      <c r="C16" s="280"/>
      <c r="D16" s="280"/>
      <c r="E16" s="280"/>
      <c r="F16" s="281"/>
      <c r="G16" s="284" t="s">
        <v>33</v>
      </c>
      <c r="H16" s="280"/>
      <c r="I16" s="280"/>
      <c r="J16" s="280"/>
      <c r="K16" s="280"/>
      <c r="L16" s="280"/>
      <c r="M16" s="281"/>
      <c r="N16" s="284" t="s">
        <v>33</v>
      </c>
      <c r="O16" s="280"/>
      <c r="P16" s="280"/>
      <c r="Q16" s="280"/>
      <c r="R16" s="280"/>
      <c r="S16" s="280"/>
      <c r="T16" s="281"/>
      <c r="U16" s="284" t="s">
        <v>33</v>
      </c>
      <c r="V16" s="280"/>
      <c r="W16" s="280"/>
      <c r="X16" s="280"/>
      <c r="Y16" s="280"/>
      <c r="Z16" s="280"/>
      <c r="AA16" s="281"/>
      <c r="AB16" s="284" t="s">
        <v>33</v>
      </c>
      <c r="AC16" s="280"/>
      <c r="AD16" s="280"/>
      <c r="AE16" s="280"/>
      <c r="AF16" s="280"/>
      <c r="AG16" s="280"/>
      <c r="AH16" s="281"/>
    </row>
    <row r="17" ht="36.0" customHeight="1">
      <c r="B17" s="278"/>
      <c r="C17" s="278"/>
      <c r="D17" s="288" t="s">
        <v>355</v>
      </c>
      <c r="E17" s="280"/>
      <c r="F17" s="281"/>
      <c r="G17" s="278"/>
      <c r="H17" s="278"/>
      <c r="I17" s="278"/>
      <c r="J17" s="278"/>
      <c r="K17" s="288" t="s">
        <v>36</v>
      </c>
      <c r="L17" s="280"/>
      <c r="M17" s="281"/>
      <c r="N17" s="278"/>
      <c r="O17" s="278"/>
      <c r="P17" s="278"/>
      <c r="Q17" s="278"/>
      <c r="R17" s="288" t="s">
        <v>34</v>
      </c>
      <c r="S17" s="280"/>
      <c r="T17" s="281"/>
      <c r="U17" s="278"/>
      <c r="V17" s="278"/>
      <c r="W17" s="278"/>
      <c r="X17" s="278"/>
      <c r="Y17" s="288" t="s">
        <v>35</v>
      </c>
      <c r="Z17" s="280"/>
      <c r="AA17" s="281"/>
      <c r="AB17" s="278"/>
      <c r="AC17" s="278"/>
      <c r="AD17" s="278"/>
      <c r="AE17" s="278"/>
      <c r="AF17" s="288" t="s">
        <v>355</v>
      </c>
      <c r="AG17" s="280"/>
      <c r="AH17" s="281"/>
    </row>
    <row r="18" ht="36.0" customHeight="1">
      <c r="B18" s="290" t="s">
        <v>54</v>
      </c>
      <c r="C18" s="281"/>
      <c r="D18" s="278"/>
      <c r="E18" s="278"/>
      <c r="F18" s="278"/>
      <c r="G18" s="290" t="s">
        <v>54</v>
      </c>
      <c r="H18" s="280"/>
      <c r="I18" s="280"/>
      <c r="J18" s="281"/>
      <c r="K18" s="278"/>
      <c r="L18" s="278"/>
      <c r="M18" s="278"/>
      <c r="N18" s="290" t="s">
        <v>54</v>
      </c>
      <c r="O18" s="280"/>
      <c r="P18" s="280"/>
      <c r="Q18" s="281"/>
      <c r="R18" s="278"/>
      <c r="S18" s="278"/>
      <c r="T18" s="278"/>
      <c r="U18" s="290" t="s">
        <v>54</v>
      </c>
      <c r="V18" s="280"/>
      <c r="W18" s="280"/>
      <c r="X18" s="281"/>
      <c r="Y18" s="278"/>
      <c r="Z18" s="278"/>
      <c r="AA18" s="278"/>
      <c r="AB18" s="290" t="s">
        <v>54</v>
      </c>
      <c r="AC18" s="280"/>
      <c r="AD18" s="280"/>
      <c r="AE18" s="281"/>
      <c r="AF18" s="278"/>
      <c r="AG18" s="278"/>
      <c r="AH18" s="278"/>
    </row>
    <row r="19" ht="36.0" customHeight="1">
      <c r="B19" s="278"/>
      <c r="C19" s="278"/>
      <c r="D19" s="292" t="s">
        <v>32</v>
      </c>
      <c r="E19" s="292" t="s">
        <v>32</v>
      </c>
      <c r="F19" s="292" t="s">
        <v>32</v>
      </c>
      <c r="G19" s="278"/>
      <c r="H19" s="278"/>
      <c r="I19" s="278"/>
      <c r="J19" s="278"/>
      <c r="K19" s="292" t="s">
        <v>32</v>
      </c>
      <c r="L19" s="292" t="s">
        <v>32</v>
      </c>
      <c r="M19" s="292" t="s">
        <v>32</v>
      </c>
      <c r="N19" s="278"/>
      <c r="O19" s="278"/>
      <c r="P19" s="278"/>
      <c r="Q19" s="278"/>
      <c r="R19" s="292" t="s">
        <v>32</v>
      </c>
      <c r="S19" s="292" t="s">
        <v>32</v>
      </c>
      <c r="T19" s="292" t="s">
        <v>32</v>
      </c>
      <c r="U19" s="278"/>
      <c r="V19" s="278"/>
      <c r="W19" s="278"/>
      <c r="X19" s="278"/>
      <c r="Y19" s="292" t="s">
        <v>32</v>
      </c>
      <c r="Z19" s="292" t="s">
        <v>32</v>
      </c>
      <c r="AA19" s="292" t="s">
        <v>32</v>
      </c>
      <c r="AB19" s="278"/>
      <c r="AC19" s="278"/>
      <c r="AD19" s="278"/>
      <c r="AE19" s="278"/>
      <c r="AF19" s="292" t="s">
        <v>32</v>
      </c>
      <c r="AG19" s="292" t="s">
        <v>32</v>
      </c>
      <c r="AH19" s="292" t="s">
        <v>32</v>
      </c>
    </row>
    <row r="20" ht="36.0" customHeight="1">
      <c r="B20" s="288" t="s">
        <v>44</v>
      </c>
      <c r="C20" s="281"/>
      <c r="D20" s="293"/>
      <c r="E20" s="280"/>
      <c r="F20" s="281"/>
      <c r="G20" s="288" t="s">
        <v>44</v>
      </c>
      <c r="H20" s="280"/>
      <c r="I20" s="280"/>
      <c r="J20" s="281"/>
      <c r="K20" s="293"/>
      <c r="L20" s="280"/>
      <c r="M20" s="281"/>
      <c r="N20" s="288" t="s">
        <v>44</v>
      </c>
      <c r="O20" s="280"/>
      <c r="P20" s="280"/>
      <c r="Q20" s="281"/>
      <c r="R20" s="293"/>
      <c r="S20" s="280"/>
      <c r="T20" s="281"/>
      <c r="U20" s="288" t="s">
        <v>44</v>
      </c>
      <c r="V20" s="280"/>
      <c r="W20" s="280"/>
      <c r="X20" s="281"/>
      <c r="Y20" s="293"/>
      <c r="Z20" s="280"/>
      <c r="AA20" s="281"/>
      <c r="AB20" s="288" t="s">
        <v>44</v>
      </c>
      <c r="AC20" s="280"/>
      <c r="AD20" s="280"/>
      <c r="AE20" s="281"/>
      <c r="AF20" s="293"/>
      <c r="AG20" s="280"/>
      <c r="AH20" s="281"/>
    </row>
    <row r="21" ht="36.0" customHeight="1">
      <c r="B21" s="289" t="s">
        <v>52</v>
      </c>
      <c r="C21" s="289" t="s">
        <v>52</v>
      </c>
      <c r="D21" s="294" t="s">
        <v>52</v>
      </c>
      <c r="E21" s="294" t="s">
        <v>52</v>
      </c>
      <c r="F21" s="294" t="s">
        <v>52</v>
      </c>
      <c r="G21" s="289" t="s">
        <v>52</v>
      </c>
      <c r="H21" s="289" t="s">
        <v>52</v>
      </c>
      <c r="I21" s="289" t="s">
        <v>52</v>
      </c>
      <c r="J21" s="289" t="s">
        <v>52</v>
      </c>
      <c r="K21" s="294" t="s">
        <v>52</v>
      </c>
      <c r="L21" s="294" t="s">
        <v>52</v>
      </c>
      <c r="M21" s="294" t="s">
        <v>52</v>
      </c>
      <c r="N21" s="289" t="s">
        <v>52</v>
      </c>
      <c r="O21" s="289" t="s">
        <v>52</v>
      </c>
      <c r="P21" s="289" t="s">
        <v>52</v>
      </c>
      <c r="Q21" s="289" t="s">
        <v>52</v>
      </c>
      <c r="R21" s="294" t="s">
        <v>52</v>
      </c>
      <c r="S21" s="294" t="s">
        <v>52</v>
      </c>
      <c r="T21" s="294" t="s">
        <v>52</v>
      </c>
      <c r="U21" s="289" t="s">
        <v>52</v>
      </c>
      <c r="V21" s="289" t="s">
        <v>52</v>
      </c>
      <c r="W21" s="289" t="s">
        <v>52</v>
      </c>
      <c r="X21" s="289" t="s">
        <v>52</v>
      </c>
      <c r="Y21" s="294" t="s">
        <v>52</v>
      </c>
      <c r="Z21" s="294" t="s">
        <v>52</v>
      </c>
      <c r="AA21" s="294" t="s">
        <v>52</v>
      </c>
      <c r="AB21" s="289" t="s">
        <v>52</v>
      </c>
      <c r="AC21" s="289" t="s">
        <v>52</v>
      </c>
      <c r="AD21" s="289" t="s">
        <v>52</v>
      </c>
      <c r="AE21" s="289" t="s">
        <v>52</v>
      </c>
      <c r="AF21" s="294" t="s">
        <v>52</v>
      </c>
      <c r="AG21" s="294" t="s">
        <v>52</v>
      </c>
      <c r="AH21" s="294" t="s">
        <v>52</v>
      </c>
    </row>
    <row r="22">
      <c r="B22" s="278"/>
      <c r="C22" s="278"/>
      <c r="D22" s="278"/>
      <c r="E22" s="278"/>
      <c r="F22" s="278"/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8"/>
      <c r="AA22" s="278"/>
      <c r="AB22" s="278"/>
      <c r="AC22" s="278"/>
      <c r="AD22" s="278"/>
      <c r="AE22" s="278"/>
      <c r="AF22" s="278"/>
      <c r="AG22" s="278"/>
      <c r="AH22" s="278"/>
    </row>
    <row r="23">
      <c r="B23" s="291" t="s">
        <v>38</v>
      </c>
      <c r="C23" s="280"/>
      <c r="D23" s="280"/>
      <c r="E23" s="280"/>
      <c r="F23" s="281"/>
      <c r="G23" s="291" t="s">
        <v>38</v>
      </c>
      <c r="H23" s="280"/>
      <c r="I23" s="280"/>
      <c r="J23" s="280"/>
      <c r="K23" s="280"/>
      <c r="L23" s="280"/>
      <c r="M23" s="281"/>
      <c r="N23" s="291" t="s">
        <v>38</v>
      </c>
      <c r="O23" s="280"/>
      <c r="P23" s="280"/>
      <c r="Q23" s="280"/>
      <c r="R23" s="280"/>
      <c r="S23" s="280"/>
      <c r="T23" s="281"/>
      <c r="U23" s="291" t="s">
        <v>38</v>
      </c>
      <c r="V23" s="280"/>
      <c r="W23" s="280"/>
      <c r="X23" s="280"/>
      <c r="Y23" s="280"/>
      <c r="Z23" s="280"/>
      <c r="AA23" s="281"/>
      <c r="AB23" s="291" t="s">
        <v>38</v>
      </c>
      <c r="AC23" s="280"/>
      <c r="AD23" s="280"/>
      <c r="AE23" s="280"/>
      <c r="AF23" s="280"/>
      <c r="AG23" s="280"/>
      <c r="AH23" s="281"/>
    </row>
    <row r="24">
      <c r="B24" s="278"/>
      <c r="C24" s="278"/>
      <c r="D24" s="291" t="s">
        <v>37</v>
      </c>
      <c r="E24" s="280"/>
      <c r="F24" s="281"/>
      <c r="G24" s="278"/>
      <c r="H24" s="278"/>
      <c r="I24" s="278"/>
      <c r="J24" s="278"/>
      <c r="K24" s="291" t="s">
        <v>37</v>
      </c>
      <c r="L24" s="280"/>
      <c r="M24" s="281"/>
      <c r="N24" s="278"/>
      <c r="O24" s="278"/>
      <c r="P24" s="278"/>
      <c r="Q24" s="278"/>
      <c r="R24" s="291" t="s">
        <v>37</v>
      </c>
      <c r="S24" s="280"/>
      <c r="T24" s="281"/>
      <c r="U24" s="278"/>
      <c r="V24" s="278"/>
      <c r="W24" s="278"/>
      <c r="X24" s="278"/>
      <c r="Y24" s="291" t="s">
        <v>37</v>
      </c>
      <c r="Z24" s="280"/>
      <c r="AA24" s="281"/>
      <c r="AB24" s="278"/>
      <c r="AC24" s="278"/>
      <c r="AD24" s="278"/>
      <c r="AE24" s="278"/>
      <c r="AF24" s="291" t="s">
        <v>37</v>
      </c>
      <c r="AG24" s="280"/>
      <c r="AH24" s="281"/>
    </row>
    <row r="25">
      <c r="B25" s="278"/>
      <c r="C25" s="278"/>
      <c r="D25" s="278"/>
      <c r="E25" s="291" t="s">
        <v>45</v>
      </c>
      <c r="F25" s="281"/>
      <c r="G25" s="278"/>
      <c r="H25" s="278"/>
      <c r="I25" s="278"/>
      <c r="J25" s="278"/>
      <c r="K25" s="278"/>
      <c r="L25" s="291" t="s">
        <v>45</v>
      </c>
      <c r="M25" s="281"/>
      <c r="N25" s="278"/>
      <c r="O25" s="278"/>
      <c r="P25" s="278"/>
      <c r="Q25" s="278"/>
      <c r="R25" s="278"/>
      <c r="S25" s="291" t="s">
        <v>45</v>
      </c>
      <c r="T25" s="281"/>
      <c r="U25" s="278"/>
      <c r="V25" s="278"/>
      <c r="W25" s="278"/>
      <c r="X25" s="278"/>
      <c r="Y25" s="278"/>
      <c r="Z25" s="291" t="s">
        <v>45</v>
      </c>
      <c r="AA25" s="281"/>
      <c r="AB25" s="278"/>
      <c r="AC25" s="278"/>
      <c r="AD25" s="278"/>
      <c r="AE25" s="278"/>
      <c r="AF25" s="278"/>
      <c r="AG25" s="291" t="s">
        <v>45</v>
      </c>
      <c r="AH25" s="281"/>
    </row>
    <row r="28">
      <c r="B28" s="237" t="s">
        <v>356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  <c r="AA28" s="237"/>
      <c r="AB28" s="237"/>
      <c r="AC28" s="237"/>
      <c r="AD28" s="237"/>
      <c r="AE28" s="237"/>
      <c r="AF28" s="237"/>
      <c r="AG28" s="237"/>
      <c r="AH28" s="237"/>
    </row>
    <row r="30">
      <c r="B30" s="237" t="s">
        <v>357</v>
      </c>
      <c r="C30" s="237"/>
      <c r="D30" s="237"/>
      <c r="E30" s="237"/>
      <c r="F30" s="237"/>
      <c r="G30" s="237"/>
      <c r="H30" s="237"/>
      <c r="I30" s="237"/>
      <c r="J30" s="237"/>
      <c r="K30" s="237"/>
      <c r="L30" s="237"/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  <c r="AA30" s="237"/>
      <c r="AB30" s="237"/>
      <c r="AC30" s="237"/>
      <c r="AD30" s="237"/>
      <c r="AE30" s="237"/>
      <c r="AF30" s="237"/>
      <c r="AG30" s="237"/>
      <c r="AH30" s="237"/>
    </row>
    <row r="31">
      <c r="A31" s="295" t="s">
        <v>358</v>
      </c>
      <c r="B31" s="296">
        <f>COUNT_COLORED_MERGED(cal_curr!B5:B25)</f>
        <v>9</v>
      </c>
      <c r="C31" s="296">
        <f>COUNT_COLORED_MERGED(cal_curr!C5:C25)</f>
        <v>10</v>
      </c>
      <c r="D31" s="296">
        <f>COUNT_COLORED_MERGED(cal_curr!D5:D25)</f>
        <v>10</v>
      </c>
      <c r="E31" s="296">
        <f>COUNT_COLORED_MERGED(cal_curr!E5:E25)</f>
        <v>13</v>
      </c>
      <c r="F31" s="296">
        <f>COUNT_COLORED_MERGED(cal_curr!F5:F25)</f>
        <v>12</v>
      </c>
      <c r="G31" s="296">
        <f>COUNT_COLORED_MERGED(cal_curr!G5:G25)</f>
        <v>9</v>
      </c>
      <c r="H31" s="296">
        <f>COUNT_COLORED_MERGED(cal_curr!H5:H25)</f>
        <v>9</v>
      </c>
      <c r="I31" s="296">
        <f>COUNT_COLORED_MERGED(cal_curr!I5:I25)</f>
        <v>9</v>
      </c>
      <c r="J31" s="296">
        <f>COUNT_COLORED_MERGED(cal_curr!J5:J25)</f>
        <v>10</v>
      </c>
      <c r="K31" s="296">
        <f>COUNT_COLORED_MERGED(cal_curr!K5:K25)</f>
        <v>10</v>
      </c>
      <c r="L31" s="296">
        <f>COUNT_COLORED_MERGED(cal_curr!L5:L25)</f>
        <v>11</v>
      </c>
      <c r="M31" s="296">
        <f>COUNT_COLORED_MERGED(cal_curr!M5:M25)</f>
        <v>11</v>
      </c>
      <c r="N31" s="296">
        <f>COUNT_COLORED_MERGED(cal_curr!N5:N25)</f>
        <v>11</v>
      </c>
      <c r="O31" s="296">
        <f>COUNT_COLORED_MERGED(cal_curr!O5:O25)</f>
        <v>10</v>
      </c>
      <c r="P31" s="296">
        <f>COUNT_COLORED_MERGED(cal_curr!P5:P25)</f>
        <v>9</v>
      </c>
      <c r="Q31" s="296">
        <f>COUNT_COLORED_MERGED(cal_curr!Q5:Q25)</f>
        <v>10</v>
      </c>
      <c r="R31" s="296">
        <f>COUNT_COLORED_MERGED(cal_curr!R5:R25)</f>
        <v>10</v>
      </c>
      <c r="S31" s="296">
        <f>COUNT_COLORED_MERGED(cal_curr!S5:S25)</f>
        <v>11</v>
      </c>
      <c r="T31" s="296">
        <f>COUNT_COLORED_MERGED(cal_curr!T5:T25)</f>
        <v>11</v>
      </c>
      <c r="U31" s="296">
        <f>COUNT_COLORED_MERGED(cal_curr!U5:U25)</f>
        <v>11</v>
      </c>
      <c r="V31" s="296">
        <f>COUNT_COLORED_MERGED(cal_curr!V5:V25)</f>
        <v>10</v>
      </c>
      <c r="W31" s="296">
        <f>COUNT_COLORED_MERGED(cal_curr!W5:W25)</f>
        <v>9</v>
      </c>
      <c r="X31" s="296">
        <f>COUNT_COLORED_MERGED(cal_curr!X5:X25)</f>
        <v>10</v>
      </c>
      <c r="Y31" s="296">
        <f>COUNT_COLORED_MERGED(cal_curr!Y5:Y25)</f>
        <v>10</v>
      </c>
      <c r="Z31" s="296">
        <f>COUNT_COLORED_MERGED(cal_curr!Z5:Z25)</f>
        <v>11</v>
      </c>
      <c r="AA31" s="296">
        <f>COUNT_COLORED_MERGED(cal_curr!AA5:AA25)</f>
        <v>11</v>
      </c>
      <c r="AB31" s="296">
        <f>COUNT_COLORED_MERGED(cal_curr!AB5:AB25)</f>
        <v>11</v>
      </c>
      <c r="AC31" s="296">
        <f>COUNT_COLORED_MERGED(cal_curr!AC5:AC25)</f>
        <v>10</v>
      </c>
      <c r="AD31" s="296">
        <f>COUNT_COLORED_MERGED(cal_curr!AD5:AD25)</f>
        <v>9</v>
      </c>
      <c r="AE31" s="296">
        <f>COUNT_COLORED_MERGED(cal_curr!AE5:AE25)</f>
        <v>10</v>
      </c>
      <c r="AF31" s="296">
        <f>COUNT_COLORED_MERGED(cal_curr!AF5:AF25)</f>
        <v>10</v>
      </c>
      <c r="AG31" s="296">
        <f>COUNT_COLORED_MERGED(cal_curr!AG5:AG25)</f>
        <v>11</v>
      </c>
      <c r="AH31" s="296">
        <f>COUNT_COLORED_MERGED(cal_curr!AH5:AH25)</f>
        <v>11</v>
      </c>
    </row>
    <row r="32">
      <c r="A32" s="295" t="s">
        <v>359</v>
      </c>
      <c r="B32" s="297">
        <f t="shared" ref="B32:AH32" si="1">COUNT_COLORED_MERGED(B5:B25)</f>
        <v>10</v>
      </c>
      <c r="C32" s="297">
        <f t="shared" si="1"/>
        <v>10</v>
      </c>
      <c r="D32" s="297">
        <f t="shared" si="1"/>
        <v>10</v>
      </c>
      <c r="E32" s="297">
        <f t="shared" si="1"/>
        <v>11</v>
      </c>
      <c r="F32" s="297">
        <f t="shared" si="1"/>
        <v>11</v>
      </c>
      <c r="G32" s="297">
        <f t="shared" si="1"/>
        <v>10</v>
      </c>
      <c r="H32" s="297">
        <f t="shared" si="1"/>
        <v>10</v>
      </c>
      <c r="I32" s="297">
        <f t="shared" si="1"/>
        <v>10</v>
      </c>
      <c r="J32" s="297">
        <f t="shared" si="1"/>
        <v>10</v>
      </c>
      <c r="K32" s="297">
        <f t="shared" si="1"/>
        <v>10</v>
      </c>
      <c r="L32" s="297">
        <f t="shared" si="1"/>
        <v>11</v>
      </c>
      <c r="M32" s="297">
        <f t="shared" si="1"/>
        <v>11</v>
      </c>
      <c r="N32" s="297">
        <f t="shared" si="1"/>
        <v>10</v>
      </c>
      <c r="O32" s="297">
        <f t="shared" si="1"/>
        <v>10</v>
      </c>
      <c r="P32" s="297">
        <f t="shared" si="1"/>
        <v>10</v>
      </c>
      <c r="Q32" s="297">
        <f t="shared" si="1"/>
        <v>10</v>
      </c>
      <c r="R32" s="297">
        <f t="shared" si="1"/>
        <v>10</v>
      </c>
      <c r="S32" s="297">
        <f t="shared" si="1"/>
        <v>11</v>
      </c>
      <c r="T32" s="297">
        <f t="shared" si="1"/>
        <v>11</v>
      </c>
      <c r="U32" s="297">
        <f t="shared" si="1"/>
        <v>10</v>
      </c>
      <c r="V32" s="297">
        <f t="shared" si="1"/>
        <v>10</v>
      </c>
      <c r="W32" s="297">
        <f t="shared" si="1"/>
        <v>10</v>
      </c>
      <c r="X32" s="297">
        <f t="shared" si="1"/>
        <v>10</v>
      </c>
      <c r="Y32" s="297">
        <f t="shared" si="1"/>
        <v>10</v>
      </c>
      <c r="Z32" s="297">
        <f t="shared" si="1"/>
        <v>11</v>
      </c>
      <c r="AA32" s="297">
        <f t="shared" si="1"/>
        <v>11</v>
      </c>
      <c r="AB32" s="297">
        <f t="shared" si="1"/>
        <v>10</v>
      </c>
      <c r="AC32" s="297">
        <f t="shared" si="1"/>
        <v>10</v>
      </c>
      <c r="AD32" s="297">
        <f t="shared" si="1"/>
        <v>10</v>
      </c>
      <c r="AE32" s="297">
        <f t="shared" si="1"/>
        <v>10</v>
      </c>
      <c r="AF32" s="297">
        <f t="shared" si="1"/>
        <v>10</v>
      </c>
      <c r="AG32" s="297">
        <f t="shared" si="1"/>
        <v>11</v>
      </c>
      <c r="AH32" s="297">
        <f t="shared" si="1"/>
        <v>11</v>
      </c>
    </row>
    <row r="33">
      <c r="A33" s="295" t="s">
        <v>360</v>
      </c>
      <c r="B33" s="298">
        <f t="shared" ref="B33:AH33" si="2">(B32-B31)/B31</f>
        <v>0.1111111111</v>
      </c>
      <c r="C33" s="298">
        <f t="shared" si="2"/>
        <v>0</v>
      </c>
      <c r="D33" s="298">
        <f t="shared" si="2"/>
        <v>0</v>
      </c>
      <c r="E33" s="298">
        <f t="shared" si="2"/>
        <v>-0.1538461538</v>
      </c>
      <c r="F33" s="298">
        <f t="shared" si="2"/>
        <v>-0.08333333333</v>
      </c>
      <c r="G33" s="298">
        <f t="shared" si="2"/>
        <v>0.1111111111</v>
      </c>
      <c r="H33" s="298">
        <f t="shared" si="2"/>
        <v>0.1111111111</v>
      </c>
      <c r="I33" s="298">
        <f t="shared" si="2"/>
        <v>0.1111111111</v>
      </c>
      <c r="J33" s="298">
        <f t="shared" si="2"/>
        <v>0</v>
      </c>
      <c r="K33" s="298">
        <f t="shared" si="2"/>
        <v>0</v>
      </c>
      <c r="L33" s="298">
        <f t="shared" si="2"/>
        <v>0</v>
      </c>
      <c r="M33" s="298">
        <f t="shared" si="2"/>
        <v>0</v>
      </c>
      <c r="N33" s="298">
        <f t="shared" si="2"/>
        <v>-0.09090909091</v>
      </c>
      <c r="O33" s="298">
        <f t="shared" si="2"/>
        <v>0</v>
      </c>
      <c r="P33" s="298">
        <f t="shared" si="2"/>
        <v>0.1111111111</v>
      </c>
      <c r="Q33" s="298">
        <f t="shared" si="2"/>
        <v>0</v>
      </c>
      <c r="R33" s="298">
        <f t="shared" si="2"/>
        <v>0</v>
      </c>
      <c r="S33" s="298">
        <f t="shared" si="2"/>
        <v>0</v>
      </c>
      <c r="T33" s="298">
        <f t="shared" si="2"/>
        <v>0</v>
      </c>
      <c r="U33" s="298">
        <f t="shared" si="2"/>
        <v>-0.09090909091</v>
      </c>
      <c r="V33" s="298">
        <f t="shared" si="2"/>
        <v>0</v>
      </c>
      <c r="W33" s="298">
        <f t="shared" si="2"/>
        <v>0.1111111111</v>
      </c>
      <c r="X33" s="298">
        <f t="shared" si="2"/>
        <v>0</v>
      </c>
      <c r="Y33" s="298">
        <f t="shared" si="2"/>
        <v>0</v>
      </c>
      <c r="Z33" s="298">
        <f t="shared" si="2"/>
        <v>0</v>
      </c>
      <c r="AA33" s="298">
        <f t="shared" si="2"/>
        <v>0</v>
      </c>
      <c r="AB33" s="298">
        <f t="shared" si="2"/>
        <v>-0.09090909091</v>
      </c>
      <c r="AC33" s="298">
        <f t="shared" si="2"/>
        <v>0</v>
      </c>
      <c r="AD33" s="298">
        <f t="shared" si="2"/>
        <v>0.1111111111</v>
      </c>
      <c r="AE33" s="298">
        <f t="shared" si="2"/>
        <v>0</v>
      </c>
      <c r="AF33" s="298">
        <f t="shared" si="2"/>
        <v>0</v>
      </c>
      <c r="AG33" s="298">
        <f t="shared" si="2"/>
        <v>0</v>
      </c>
      <c r="AH33" s="298">
        <f t="shared" si="2"/>
        <v>0</v>
      </c>
    </row>
    <row r="34">
      <c r="B34" s="299"/>
    </row>
    <row r="35">
      <c r="B35" s="237" t="s">
        <v>361</v>
      </c>
      <c r="C35" s="237"/>
      <c r="D35" s="237"/>
      <c r="E35" s="237"/>
      <c r="F35" s="237"/>
      <c r="G35" s="237"/>
      <c r="H35" s="237"/>
      <c r="I35" s="237"/>
      <c r="J35" s="237"/>
      <c r="K35" s="237"/>
      <c r="L35" s="237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</row>
    <row r="36">
      <c r="E36" s="300" t="s">
        <v>358</v>
      </c>
      <c r="H36" s="300" t="s">
        <v>359</v>
      </c>
      <c r="K36" s="300" t="s">
        <v>360</v>
      </c>
    </row>
    <row r="37">
      <c r="A37" s="301"/>
      <c r="B37" s="301"/>
      <c r="C37" s="302" t="s">
        <v>362</v>
      </c>
      <c r="E37" s="302" t="s">
        <v>363</v>
      </c>
      <c r="F37" s="302" t="s">
        <v>364</v>
      </c>
      <c r="H37" s="302" t="s">
        <v>363</v>
      </c>
      <c r="I37" s="302" t="s">
        <v>364</v>
      </c>
      <c r="K37" s="302" t="s">
        <v>363</v>
      </c>
      <c r="L37" s="302" t="s">
        <v>364</v>
      </c>
      <c r="M37" s="301"/>
      <c r="N37" s="301"/>
      <c r="AH37" s="301"/>
      <c r="AI37" s="301"/>
    </row>
    <row r="38">
      <c r="C38" s="303" t="s">
        <v>365</v>
      </c>
      <c r="D38" s="296"/>
      <c r="E38" s="242"/>
      <c r="F38" s="242"/>
      <c r="G38" s="296"/>
      <c r="H38" s="242"/>
      <c r="I38" s="242"/>
      <c r="J38" s="296"/>
      <c r="K38" s="242"/>
      <c r="L38" s="304" t="str">
        <f t="shared" ref="L38:L60" si="3">iferror((F38-I38)/F38, "")</f>
        <v/>
      </c>
      <c r="M38" s="296"/>
    </row>
    <row r="39">
      <c r="C39" s="303" t="s">
        <v>312</v>
      </c>
      <c r="D39" s="296"/>
      <c r="E39" s="242"/>
      <c r="F39" s="242"/>
      <c r="G39" s="296"/>
      <c r="H39" s="242"/>
      <c r="I39" s="242"/>
      <c r="J39" s="296"/>
      <c r="K39" s="242"/>
      <c r="L39" s="304" t="str">
        <f t="shared" si="3"/>
        <v/>
      </c>
      <c r="M39" s="296"/>
    </row>
    <row r="40">
      <c r="C40" s="303" t="s">
        <v>189</v>
      </c>
      <c r="D40" s="296"/>
      <c r="E40" s="242"/>
      <c r="F40" s="242"/>
      <c r="G40" s="296"/>
      <c r="H40" s="242"/>
      <c r="I40" s="242"/>
      <c r="J40" s="296"/>
      <c r="K40" s="242"/>
      <c r="L40" s="304" t="str">
        <f t="shared" si="3"/>
        <v/>
      </c>
      <c r="M40" s="296"/>
    </row>
    <row r="41">
      <c r="C41" s="303" t="s">
        <v>311</v>
      </c>
      <c r="D41" s="296"/>
      <c r="E41" s="242"/>
      <c r="F41" s="242"/>
      <c r="G41" s="296"/>
      <c r="H41" s="242"/>
      <c r="I41" s="242"/>
      <c r="J41" s="296"/>
      <c r="K41" s="242"/>
      <c r="L41" s="304" t="str">
        <f t="shared" si="3"/>
        <v/>
      </c>
      <c r="M41" s="296"/>
    </row>
    <row r="42">
      <c r="C42" s="303" t="s">
        <v>366</v>
      </c>
      <c r="D42" s="296"/>
      <c r="E42" s="242"/>
      <c r="F42" s="242"/>
      <c r="G42" s="296"/>
      <c r="H42" s="242"/>
      <c r="I42" s="242"/>
      <c r="J42" s="296"/>
      <c r="K42" s="242"/>
      <c r="L42" s="304" t="str">
        <f t="shared" si="3"/>
        <v/>
      </c>
      <c r="M42" s="296"/>
    </row>
    <row r="43">
      <c r="C43" s="303" t="s">
        <v>367</v>
      </c>
      <c r="D43" s="296"/>
      <c r="E43" s="242"/>
      <c r="F43" s="242"/>
      <c r="G43" s="296"/>
      <c r="H43" s="242"/>
      <c r="I43" s="242"/>
      <c r="J43" s="296"/>
      <c r="K43" s="242"/>
      <c r="L43" s="304" t="str">
        <f t="shared" si="3"/>
        <v/>
      </c>
      <c r="M43" s="296"/>
    </row>
    <row r="44">
      <c r="C44" s="303" t="s">
        <v>368</v>
      </c>
      <c r="D44" s="296"/>
      <c r="E44" s="242"/>
      <c r="F44" s="242"/>
      <c r="G44" s="296"/>
      <c r="H44" s="242"/>
      <c r="I44" s="242"/>
      <c r="J44" s="296"/>
      <c r="K44" s="242"/>
      <c r="L44" s="304" t="str">
        <f t="shared" si="3"/>
        <v/>
      </c>
      <c r="M44" s="296"/>
    </row>
    <row r="45">
      <c r="C45" s="303" t="s">
        <v>49</v>
      </c>
      <c r="D45" s="296"/>
      <c r="E45" s="242"/>
      <c r="F45" s="242"/>
      <c r="G45" s="296"/>
      <c r="H45" s="242"/>
      <c r="I45" s="242"/>
      <c r="J45" s="296"/>
      <c r="K45" s="242"/>
      <c r="L45" s="304" t="str">
        <f t="shared" si="3"/>
        <v/>
      </c>
      <c r="M45" s="296"/>
    </row>
    <row r="46">
      <c r="C46" s="303" t="s">
        <v>44</v>
      </c>
      <c r="D46" s="296"/>
      <c r="E46" s="242"/>
      <c r="F46" s="242"/>
      <c r="G46" s="296"/>
      <c r="H46" s="242"/>
      <c r="I46" s="242"/>
      <c r="J46" s="296"/>
      <c r="K46" s="242"/>
      <c r="L46" s="304" t="str">
        <f t="shared" si="3"/>
        <v/>
      </c>
      <c r="M46" s="296"/>
    </row>
    <row r="47">
      <c r="C47" s="303" t="s">
        <v>369</v>
      </c>
      <c r="D47" s="296"/>
      <c r="E47" s="242"/>
      <c r="F47" s="242"/>
      <c r="G47" s="296"/>
      <c r="H47" s="242"/>
      <c r="I47" s="242"/>
      <c r="J47" s="296"/>
      <c r="K47" s="242"/>
      <c r="L47" s="304" t="str">
        <f t="shared" si="3"/>
        <v/>
      </c>
      <c r="M47" s="296"/>
    </row>
    <row r="48">
      <c r="C48" s="303" t="s">
        <v>43</v>
      </c>
      <c r="D48" s="296"/>
      <c r="E48" s="242"/>
      <c r="F48" s="242"/>
      <c r="G48" s="296"/>
      <c r="H48" s="242"/>
      <c r="I48" s="242"/>
      <c r="J48" s="296"/>
      <c r="K48" s="242"/>
      <c r="L48" s="304" t="str">
        <f t="shared" si="3"/>
        <v/>
      </c>
      <c r="M48" s="296"/>
    </row>
    <row r="49">
      <c r="C49" s="303" t="s">
        <v>50</v>
      </c>
      <c r="D49" s="296"/>
      <c r="E49" s="242"/>
      <c r="F49" s="242"/>
      <c r="G49" s="296"/>
      <c r="H49" s="242"/>
      <c r="I49" s="242"/>
      <c r="J49" s="296"/>
      <c r="K49" s="242"/>
      <c r="L49" s="304" t="str">
        <f t="shared" si="3"/>
        <v/>
      </c>
      <c r="M49" s="296"/>
    </row>
    <row r="50">
      <c r="C50" s="303" t="s">
        <v>370</v>
      </c>
      <c r="D50" s="296"/>
      <c r="E50" s="242"/>
      <c r="F50" s="242"/>
      <c r="G50" s="296"/>
      <c r="H50" s="242"/>
      <c r="I50" s="242"/>
      <c r="J50" s="296"/>
      <c r="K50" s="242"/>
      <c r="L50" s="304" t="str">
        <f t="shared" si="3"/>
        <v/>
      </c>
      <c r="M50" s="296"/>
    </row>
    <row r="51">
      <c r="C51" s="303" t="s">
        <v>35</v>
      </c>
      <c r="D51" s="296"/>
      <c r="E51" s="242"/>
      <c r="F51" s="242"/>
      <c r="G51" s="296"/>
      <c r="H51" s="242"/>
      <c r="I51" s="242"/>
      <c r="J51" s="296"/>
      <c r="K51" s="242"/>
      <c r="L51" s="304" t="str">
        <f t="shared" si="3"/>
        <v/>
      </c>
      <c r="M51" s="296"/>
    </row>
    <row r="52">
      <c r="C52" s="303" t="s">
        <v>310</v>
      </c>
      <c r="D52" s="296"/>
      <c r="E52" s="242"/>
      <c r="F52" s="242"/>
      <c r="G52" s="296"/>
      <c r="H52" s="242"/>
      <c r="I52" s="242"/>
      <c r="J52" s="296"/>
      <c r="K52" s="242"/>
      <c r="L52" s="304" t="str">
        <f t="shared" si="3"/>
        <v/>
      </c>
      <c r="M52" s="296"/>
    </row>
    <row r="53">
      <c r="C53" s="303" t="s">
        <v>134</v>
      </c>
      <c r="D53" s="296"/>
      <c r="E53" s="242"/>
      <c r="F53" s="242"/>
      <c r="G53" s="296"/>
      <c r="H53" s="242"/>
      <c r="I53" s="242"/>
      <c r="J53" s="296"/>
      <c r="K53" s="242"/>
      <c r="L53" s="304" t="str">
        <f t="shared" si="3"/>
        <v/>
      </c>
      <c r="M53" s="296"/>
    </row>
    <row r="54">
      <c r="C54" s="303" t="s">
        <v>371</v>
      </c>
      <c r="D54" s="296"/>
      <c r="E54" s="242"/>
      <c r="F54" s="242"/>
      <c r="G54" s="296"/>
      <c r="H54" s="242"/>
      <c r="I54" s="242"/>
      <c r="J54" s="296"/>
      <c r="K54" s="242"/>
      <c r="L54" s="304" t="str">
        <f t="shared" si="3"/>
        <v/>
      </c>
      <c r="M54" s="296"/>
    </row>
    <row r="55">
      <c r="C55" s="303" t="s">
        <v>372</v>
      </c>
      <c r="D55" s="296"/>
      <c r="E55" s="242"/>
      <c r="F55" s="242"/>
      <c r="G55" s="296"/>
      <c r="H55" s="242"/>
      <c r="I55" s="242"/>
      <c r="J55" s="296"/>
      <c r="K55" s="242"/>
      <c r="L55" s="304" t="str">
        <f t="shared" si="3"/>
        <v/>
      </c>
      <c r="M55" s="296"/>
    </row>
    <row r="56">
      <c r="C56" s="303" t="s">
        <v>32</v>
      </c>
      <c r="D56" s="296"/>
      <c r="E56" s="242"/>
      <c r="F56" s="242"/>
      <c r="G56" s="296"/>
      <c r="H56" s="242"/>
      <c r="I56" s="242"/>
      <c r="J56" s="296"/>
      <c r="K56" s="242"/>
      <c r="L56" s="304" t="str">
        <f t="shared" si="3"/>
        <v/>
      </c>
      <c r="M56" s="296"/>
    </row>
    <row r="57">
      <c r="C57" s="303" t="s">
        <v>40</v>
      </c>
      <c r="D57" s="296"/>
      <c r="E57" s="242"/>
      <c r="F57" s="242"/>
      <c r="G57" s="296"/>
      <c r="H57" s="242"/>
      <c r="I57" s="242"/>
      <c r="J57" s="296"/>
      <c r="K57" s="242"/>
      <c r="L57" s="304" t="str">
        <f t="shared" si="3"/>
        <v/>
      </c>
      <c r="M57" s="296"/>
    </row>
    <row r="58">
      <c r="C58" s="303" t="s">
        <v>42</v>
      </c>
      <c r="D58" s="296"/>
      <c r="E58" s="242"/>
      <c r="F58" s="242"/>
      <c r="G58" s="296"/>
      <c r="H58" s="242"/>
      <c r="I58" s="242"/>
      <c r="J58" s="296"/>
      <c r="K58" s="242"/>
      <c r="L58" s="304" t="str">
        <f t="shared" si="3"/>
        <v/>
      </c>
      <c r="M58" s="296"/>
    </row>
    <row r="59">
      <c r="C59" s="303" t="s">
        <v>46</v>
      </c>
      <c r="D59" s="296"/>
      <c r="E59" s="242"/>
      <c r="F59" s="242"/>
      <c r="G59" s="296"/>
      <c r="H59" s="242"/>
      <c r="I59" s="242"/>
      <c r="J59" s="296"/>
      <c r="K59" s="242"/>
      <c r="L59" s="304" t="str">
        <f t="shared" si="3"/>
        <v/>
      </c>
      <c r="M59" s="296"/>
    </row>
    <row r="60">
      <c r="C60" s="303" t="s">
        <v>373</v>
      </c>
      <c r="D60" s="296"/>
      <c r="E60" s="242"/>
      <c r="F60" s="242"/>
      <c r="G60" s="296"/>
      <c r="H60" s="242"/>
      <c r="I60" s="242"/>
      <c r="J60" s="296"/>
      <c r="K60" s="242"/>
      <c r="L60" s="304" t="str">
        <f t="shared" si="3"/>
        <v/>
      </c>
      <c r="M60" s="296"/>
    </row>
    <row r="61">
      <c r="C61" s="303" t="s">
        <v>54</v>
      </c>
      <c r="D61" s="296"/>
      <c r="E61" s="242"/>
      <c r="F61" s="242"/>
      <c r="G61" s="296"/>
      <c r="H61" s="242"/>
      <c r="I61" s="242"/>
      <c r="J61" s="296"/>
      <c r="K61" s="242"/>
      <c r="L61" s="242" t="s">
        <v>359</v>
      </c>
      <c r="M61" s="296"/>
    </row>
    <row r="62">
      <c r="C62" s="303" t="s">
        <v>374</v>
      </c>
      <c r="D62" s="296"/>
      <c r="E62" s="242"/>
      <c r="F62" s="242"/>
      <c r="G62" s="296"/>
      <c r="H62" s="242"/>
      <c r="I62" s="242"/>
      <c r="J62" s="296"/>
      <c r="K62" s="242"/>
      <c r="L62" s="242"/>
      <c r="M62" s="296"/>
    </row>
    <row r="63">
      <c r="D63" s="296"/>
      <c r="E63" s="296"/>
      <c r="F63" s="296"/>
      <c r="G63" s="296"/>
      <c r="H63" s="296"/>
      <c r="I63" s="296"/>
      <c r="J63" s="296"/>
      <c r="K63" s="296"/>
      <c r="L63" s="296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conditionalFormatting sqref="C38:C62 E38:F62 H38:I62 K38:L62">
    <cfRule type="expression" dxfId="6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5"/>
    <col customWidth="1" min="3" max="3" width="9.13"/>
    <col customWidth="1" min="7" max="19" width="3.75"/>
    <col customWidth="1" min="20" max="20" width="3.63"/>
    <col customWidth="1" min="21" max="21" width="10.5"/>
    <col customWidth="1" min="22" max="22" width="3.63"/>
    <col customWidth="1" min="23" max="45" width="3.88"/>
    <col customWidth="1" min="46" max="46" width="4.5"/>
  </cols>
  <sheetData>
    <row r="2">
      <c r="B2" s="265" t="s">
        <v>114</v>
      </c>
      <c r="C2" s="265"/>
      <c r="E2" s="5" t="s">
        <v>375</v>
      </c>
    </row>
    <row r="3">
      <c r="B3" s="305" t="s">
        <v>376</v>
      </c>
      <c r="C3" s="267"/>
    </row>
    <row r="4">
      <c r="B4" s="305" t="s">
        <v>377</v>
      </c>
      <c r="C4" s="268"/>
    </row>
    <row r="5">
      <c r="B5" s="305" t="s">
        <v>378</v>
      </c>
      <c r="C5" s="306"/>
    </row>
    <row r="7">
      <c r="G7" s="299" t="s">
        <v>379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V7" s="5"/>
      <c r="W7" s="299" t="s">
        <v>380</v>
      </c>
    </row>
    <row r="8" ht="120.75" customHeight="1">
      <c r="C8" s="245" t="s">
        <v>381</v>
      </c>
      <c r="D8" s="117" t="s">
        <v>382</v>
      </c>
      <c r="E8" s="117" t="s">
        <v>383</v>
      </c>
      <c r="F8" s="245" t="s">
        <v>384</v>
      </c>
      <c r="G8" s="307" t="s">
        <v>82</v>
      </c>
      <c r="H8" s="307" t="s">
        <v>68</v>
      </c>
      <c r="I8" s="307" t="s">
        <v>103</v>
      </c>
      <c r="J8" s="307" t="s">
        <v>69</v>
      </c>
      <c r="K8" s="307" t="s">
        <v>70</v>
      </c>
      <c r="L8" s="307" t="s">
        <v>71</v>
      </c>
      <c r="M8" s="307" t="s">
        <v>72</v>
      </c>
      <c r="N8" s="307" t="s">
        <v>73</v>
      </c>
      <c r="O8" s="307" t="s">
        <v>74</v>
      </c>
      <c r="P8" s="307" t="s">
        <v>75</v>
      </c>
      <c r="Q8" s="307" t="s">
        <v>76</v>
      </c>
      <c r="R8" s="307" t="s">
        <v>77</v>
      </c>
      <c r="S8" s="307" t="s">
        <v>78</v>
      </c>
      <c r="U8" s="117" t="s">
        <v>385</v>
      </c>
      <c r="W8" s="189" t="s">
        <v>365</v>
      </c>
      <c r="X8" s="189" t="s">
        <v>312</v>
      </c>
      <c r="Y8" s="189" t="s">
        <v>189</v>
      </c>
      <c r="Z8" s="189" t="s">
        <v>311</v>
      </c>
      <c r="AA8" s="189" t="s">
        <v>366</v>
      </c>
      <c r="AB8" s="189" t="s">
        <v>367</v>
      </c>
      <c r="AC8" s="189" t="s">
        <v>368</v>
      </c>
      <c r="AD8" s="189" t="s">
        <v>49</v>
      </c>
      <c r="AE8" s="189" t="s">
        <v>44</v>
      </c>
      <c r="AF8" s="189" t="s">
        <v>369</v>
      </c>
      <c r="AG8" s="189" t="s">
        <v>43</v>
      </c>
      <c r="AH8" s="189" t="s">
        <v>370</v>
      </c>
      <c r="AI8" s="189" t="s">
        <v>35</v>
      </c>
      <c r="AJ8" s="189" t="s">
        <v>310</v>
      </c>
      <c r="AK8" s="189" t="s">
        <v>134</v>
      </c>
      <c r="AL8" s="189" t="s">
        <v>372</v>
      </c>
      <c r="AM8" s="189" t="s">
        <v>32</v>
      </c>
      <c r="AN8" s="189" t="s">
        <v>40</v>
      </c>
      <c r="AO8" s="189" t="s">
        <v>42</v>
      </c>
      <c r="AP8" s="189" t="s">
        <v>46</v>
      </c>
      <c r="AQ8" s="189" t="s">
        <v>373</v>
      </c>
      <c r="AR8" s="189" t="s">
        <v>54</v>
      </c>
      <c r="AS8" s="189" t="s">
        <v>374</v>
      </c>
    </row>
    <row r="9">
      <c r="C9" s="5">
        <v>1.0</v>
      </c>
      <c r="D9" s="5">
        <v>100.0</v>
      </c>
      <c r="E9" s="297" t="s">
        <v>386</v>
      </c>
      <c r="F9" s="297">
        <v>12.0</v>
      </c>
      <c r="G9" s="297">
        <v>100.0</v>
      </c>
      <c r="H9" s="297">
        <v>50.0</v>
      </c>
      <c r="I9" s="297">
        <v>0.0</v>
      </c>
      <c r="J9" s="297">
        <v>12.0</v>
      </c>
      <c r="K9" s="297">
        <v>5.0</v>
      </c>
      <c r="L9" s="297">
        <v>2.0</v>
      </c>
      <c r="M9" s="297">
        <v>5.0</v>
      </c>
      <c r="N9" s="297">
        <v>4.0</v>
      </c>
      <c r="O9" s="297">
        <v>3.0</v>
      </c>
      <c r="P9" s="297">
        <v>0.0</v>
      </c>
      <c r="Q9" s="297">
        <v>0.0</v>
      </c>
      <c r="R9" s="297">
        <v>0.0</v>
      </c>
      <c r="S9" s="297">
        <v>0.0</v>
      </c>
      <c r="T9" s="296"/>
      <c r="U9" s="297" t="s">
        <v>387</v>
      </c>
      <c r="V9" s="296"/>
      <c r="W9" s="297">
        <v>0.0</v>
      </c>
      <c r="X9" s="297">
        <v>0.0</v>
      </c>
      <c r="Y9" s="297">
        <v>0.0</v>
      </c>
      <c r="Z9" s="297">
        <v>0.0</v>
      </c>
      <c r="AA9" s="297">
        <v>0.0</v>
      </c>
      <c r="AB9" s="297">
        <v>0.0</v>
      </c>
      <c r="AC9" s="297">
        <v>0.0</v>
      </c>
      <c r="AD9" s="297">
        <v>0.0</v>
      </c>
      <c r="AE9" s="297">
        <v>0.0</v>
      </c>
      <c r="AF9" s="297">
        <v>0.0</v>
      </c>
      <c r="AG9" s="297">
        <v>0.0</v>
      </c>
      <c r="AH9" s="297">
        <v>0.0</v>
      </c>
      <c r="AI9" s="297">
        <v>0.0</v>
      </c>
      <c r="AJ9" s="297">
        <v>0.0</v>
      </c>
      <c r="AK9" s="297">
        <v>0.0</v>
      </c>
      <c r="AL9" s="297">
        <v>0.0</v>
      </c>
      <c r="AM9" s="297">
        <v>0.0</v>
      </c>
      <c r="AN9" s="297">
        <v>0.0</v>
      </c>
      <c r="AO9" s="297">
        <v>0.0</v>
      </c>
      <c r="AP9" s="297">
        <v>0.0</v>
      </c>
      <c r="AQ9" s="297">
        <v>0.0</v>
      </c>
      <c r="AR9" s="297">
        <v>0.0</v>
      </c>
      <c r="AS9" s="297">
        <v>0.0</v>
      </c>
    </row>
    <row r="10">
      <c r="C10" s="5">
        <v>2.0</v>
      </c>
      <c r="D10" s="5">
        <v>101.0</v>
      </c>
      <c r="E10" s="297" t="s">
        <v>386</v>
      </c>
      <c r="F10" s="297">
        <v>13.0</v>
      </c>
      <c r="G10" s="297">
        <v>0.0</v>
      </c>
      <c r="H10" s="297">
        <v>50.0</v>
      </c>
      <c r="I10" s="297">
        <v>0.0</v>
      </c>
      <c r="J10" s="297">
        <v>13.0</v>
      </c>
      <c r="K10" s="297">
        <v>4.0</v>
      </c>
      <c r="L10" s="297">
        <v>2.0</v>
      </c>
      <c r="M10" s="297">
        <v>5.0</v>
      </c>
      <c r="N10" s="297">
        <v>4.0</v>
      </c>
      <c r="O10" s="297">
        <v>3.0</v>
      </c>
      <c r="P10" s="297">
        <v>0.0</v>
      </c>
      <c r="Q10" s="297">
        <v>0.0</v>
      </c>
      <c r="R10" s="297">
        <v>0.0</v>
      </c>
      <c r="S10" s="297">
        <v>0.0</v>
      </c>
      <c r="T10" s="296"/>
      <c r="U10" s="297" t="s">
        <v>388</v>
      </c>
      <c r="V10" s="296"/>
      <c r="W10" s="297">
        <v>0.0</v>
      </c>
      <c r="X10" s="297">
        <v>0.0</v>
      </c>
      <c r="Y10" s="297">
        <v>0.0</v>
      </c>
      <c r="Z10" s="297">
        <v>0.0</v>
      </c>
      <c r="AA10" s="297">
        <v>0.0</v>
      </c>
      <c r="AB10" s="297">
        <v>0.0</v>
      </c>
      <c r="AC10" s="308" t="s">
        <v>389</v>
      </c>
      <c r="AD10" s="297">
        <v>0.0</v>
      </c>
      <c r="AE10" s="297">
        <v>0.0</v>
      </c>
      <c r="AF10" s="297">
        <v>0.0</v>
      </c>
      <c r="AG10" s="297">
        <v>0.0</v>
      </c>
      <c r="AH10" s="297">
        <v>0.0</v>
      </c>
      <c r="AI10" s="297">
        <v>0.0</v>
      </c>
      <c r="AJ10" s="297">
        <v>0.0</v>
      </c>
      <c r="AK10" s="297">
        <v>0.0</v>
      </c>
      <c r="AL10" s="297">
        <v>0.0</v>
      </c>
      <c r="AM10" s="297">
        <v>0.0</v>
      </c>
      <c r="AN10" s="297">
        <v>0.0</v>
      </c>
      <c r="AO10" s="297">
        <v>0.0</v>
      </c>
      <c r="AP10" s="297">
        <v>0.0</v>
      </c>
      <c r="AQ10" s="297">
        <v>0.0</v>
      </c>
      <c r="AR10" s="297">
        <v>0.0</v>
      </c>
      <c r="AS10" s="297">
        <v>0.0</v>
      </c>
    </row>
  </sheetData>
  <conditionalFormatting sqref="B2:B5 C2:C4">
    <cfRule type="expression" dxfId="7" priority="1">
      <formula>ISFORMULA(B2)</formula>
    </cfRule>
  </conditionalFormatting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7" width="12.25"/>
    <col customWidth="1" min="8" max="13" width="13.0"/>
    <col customWidth="1" min="14" max="14" width="15.25"/>
    <col customWidth="1" min="15" max="16" width="8.63"/>
    <col customWidth="1" min="17" max="22" width="5.5"/>
    <col customWidth="1" min="23" max="46" width="8.63"/>
  </cols>
  <sheetData>
    <row r="1" ht="12.75" customHeight="1">
      <c r="A1" s="309" t="s">
        <v>390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1"/>
    </row>
    <row r="2" ht="12.75" customHeight="1">
      <c r="A2" s="312" t="s">
        <v>391</v>
      </c>
      <c r="B2" s="313" t="s">
        <v>392</v>
      </c>
      <c r="C2" s="312" t="s">
        <v>393</v>
      </c>
      <c r="D2" s="312"/>
      <c r="E2" s="314" t="s">
        <v>394</v>
      </c>
      <c r="F2" s="312"/>
      <c r="G2" s="312"/>
      <c r="H2" s="312"/>
      <c r="I2" s="312"/>
      <c r="J2" s="312"/>
      <c r="K2" s="312"/>
      <c r="L2" s="312"/>
      <c r="M2" s="312"/>
      <c r="N2" s="312"/>
    </row>
    <row r="3" ht="12.75" customHeight="1">
      <c r="A3" s="315" t="s">
        <v>310</v>
      </c>
      <c r="B3" s="316">
        <v>13.0</v>
      </c>
      <c r="C3" s="317" t="s">
        <v>395</v>
      </c>
      <c r="D3" s="317"/>
      <c r="E3" s="318" t="s">
        <v>396</v>
      </c>
      <c r="F3" s="317"/>
      <c r="G3" s="317"/>
      <c r="H3" s="317"/>
      <c r="I3" s="317"/>
      <c r="J3" s="319"/>
      <c r="K3" s="317"/>
      <c r="L3" s="317"/>
      <c r="M3" s="317"/>
      <c r="N3" s="317"/>
    </row>
    <row r="4" ht="12.75" customHeight="1">
      <c r="A4" s="315" t="s">
        <v>311</v>
      </c>
      <c r="B4" s="316">
        <v>12.0</v>
      </c>
      <c r="C4" s="317" t="s">
        <v>395</v>
      </c>
      <c r="D4" s="317"/>
      <c r="E4" s="318" t="s">
        <v>397</v>
      </c>
      <c r="F4" s="317"/>
      <c r="G4" s="317"/>
      <c r="H4" s="317"/>
      <c r="I4" s="317"/>
      <c r="J4" s="319"/>
      <c r="K4" s="317"/>
      <c r="L4" s="317"/>
      <c r="M4" s="317"/>
      <c r="N4" s="317"/>
    </row>
    <row r="5" ht="12.75" customHeight="1">
      <c r="A5" s="315" t="s">
        <v>312</v>
      </c>
      <c r="B5" s="316">
        <v>12.0</v>
      </c>
      <c r="C5" s="317" t="s">
        <v>395</v>
      </c>
      <c r="D5" s="317"/>
      <c r="E5" s="318" t="s">
        <v>398</v>
      </c>
      <c r="F5" s="317"/>
      <c r="G5" s="317"/>
      <c r="H5" s="317"/>
      <c r="I5" s="317"/>
      <c r="J5" s="319"/>
      <c r="K5" s="317"/>
      <c r="L5" s="317"/>
      <c r="M5" s="317"/>
      <c r="N5" s="317"/>
    </row>
    <row r="6" ht="12.75" customHeight="1">
      <c r="A6" s="320" t="s">
        <v>46</v>
      </c>
      <c r="B6" s="316">
        <v>12.0</v>
      </c>
      <c r="C6" s="317" t="s">
        <v>395</v>
      </c>
      <c r="D6" s="317"/>
      <c r="E6" s="318" t="s">
        <v>399</v>
      </c>
      <c r="F6" s="317"/>
      <c r="G6" s="317"/>
      <c r="H6" s="317"/>
      <c r="I6" s="317"/>
      <c r="J6" s="319"/>
      <c r="K6" s="317"/>
      <c r="L6" s="317"/>
      <c r="M6" s="317"/>
      <c r="N6" s="317"/>
    </row>
    <row r="7" ht="12.75" customHeight="1">
      <c r="A7" s="315" t="s">
        <v>372</v>
      </c>
      <c r="B7" s="321">
        <v>49.0</v>
      </c>
      <c r="C7" s="317" t="s">
        <v>400</v>
      </c>
      <c r="D7" s="317"/>
      <c r="E7" s="322" t="s">
        <v>401</v>
      </c>
      <c r="F7" s="317"/>
      <c r="G7" s="317"/>
      <c r="H7" s="317"/>
      <c r="I7" s="317"/>
      <c r="J7" s="319"/>
      <c r="K7" s="317"/>
      <c r="L7" s="317"/>
      <c r="M7" s="317"/>
      <c r="N7" s="317"/>
    </row>
    <row r="8" ht="12.75" customHeight="1">
      <c r="A8" s="315" t="s">
        <v>402</v>
      </c>
      <c r="B8" s="321">
        <v>49.0</v>
      </c>
      <c r="C8" s="317" t="s">
        <v>400</v>
      </c>
      <c r="D8" s="317"/>
      <c r="E8" s="322" t="s">
        <v>401</v>
      </c>
      <c r="F8" s="317"/>
      <c r="G8" s="317"/>
      <c r="H8" s="317"/>
      <c r="I8" s="317"/>
      <c r="J8" s="319"/>
      <c r="K8" s="317"/>
      <c r="L8" s="317"/>
      <c r="M8" s="317"/>
      <c r="N8" s="317"/>
    </row>
    <row r="9" ht="12.75" customHeight="1">
      <c r="A9" s="315" t="s">
        <v>403</v>
      </c>
      <c r="B9" s="316">
        <v>12.0</v>
      </c>
      <c r="C9" s="317" t="s">
        <v>395</v>
      </c>
      <c r="D9" s="317"/>
      <c r="E9" s="322" t="s">
        <v>404</v>
      </c>
      <c r="F9" s="317"/>
      <c r="G9" s="317"/>
      <c r="H9" s="317"/>
      <c r="I9" s="317"/>
      <c r="J9" s="319"/>
      <c r="K9" s="317"/>
      <c r="L9" s="317"/>
      <c r="M9" s="317"/>
      <c r="N9" s="317"/>
    </row>
    <row r="10" ht="12.75" customHeight="1">
      <c r="A10" s="320" t="s">
        <v>189</v>
      </c>
      <c r="B10" s="316">
        <v>13.0</v>
      </c>
      <c r="C10" s="317" t="s">
        <v>395</v>
      </c>
      <c r="D10" s="317"/>
      <c r="E10" s="322" t="s">
        <v>405</v>
      </c>
      <c r="F10" s="317"/>
      <c r="G10" s="317"/>
      <c r="H10" s="317"/>
      <c r="I10" s="317"/>
      <c r="J10" s="319"/>
      <c r="K10" s="317"/>
      <c r="L10" s="317"/>
      <c r="M10" s="317"/>
      <c r="N10" s="317"/>
    </row>
    <row r="11" ht="12.75" customHeight="1">
      <c r="A11" s="315" t="s">
        <v>369</v>
      </c>
      <c r="B11" s="316">
        <v>15.0</v>
      </c>
      <c r="C11" s="317" t="s">
        <v>395</v>
      </c>
      <c r="D11" s="317"/>
      <c r="E11" s="322" t="s">
        <v>406</v>
      </c>
      <c r="F11" s="317"/>
      <c r="G11" s="317"/>
      <c r="H11" s="317"/>
      <c r="I11" s="317"/>
      <c r="J11" s="319"/>
      <c r="K11" s="317"/>
      <c r="L11" s="317"/>
      <c r="M11" s="317"/>
      <c r="N11" s="317"/>
    </row>
    <row r="12" ht="12.75" customHeight="1">
      <c r="A12" s="315" t="s">
        <v>407</v>
      </c>
      <c r="B12" s="316">
        <v>16.0</v>
      </c>
      <c r="C12" s="317" t="s">
        <v>395</v>
      </c>
      <c r="D12" s="317"/>
      <c r="E12" s="322" t="s">
        <v>408</v>
      </c>
      <c r="F12" s="317"/>
      <c r="G12" s="317"/>
      <c r="H12" s="317"/>
      <c r="I12" s="317"/>
      <c r="J12" s="319"/>
      <c r="K12" s="317"/>
      <c r="L12" s="317"/>
      <c r="M12" s="317"/>
      <c r="N12" s="317"/>
    </row>
    <row r="13" ht="12.75" customHeight="1">
      <c r="A13" s="315" t="s">
        <v>43</v>
      </c>
      <c r="B13" s="316">
        <v>21.0</v>
      </c>
      <c r="C13" s="317" t="s">
        <v>395</v>
      </c>
      <c r="D13" s="317"/>
      <c r="E13" s="322" t="s">
        <v>409</v>
      </c>
      <c r="F13" s="317"/>
      <c r="G13" s="317"/>
      <c r="H13" s="317"/>
      <c r="I13" s="317"/>
      <c r="J13" s="319"/>
      <c r="K13" s="317"/>
      <c r="L13" s="317"/>
      <c r="M13" s="317"/>
      <c r="N13" s="317"/>
    </row>
    <row r="14" ht="12.75" customHeight="1">
      <c r="A14" s="315" t="s">
        <v>368</v>
      </c>
      <c r="B14" s="316">
        <v>49.0</v>
      </c>
      <c r="C14" s="317" t="s">
        <v>395</v>
      </c>
      <c r="D14" s="317"/>
      <c r="E14" s="322" t="s">
        <v>401</v>
      </c>
      <c r="F14" s="317"/>
      <c r="G14" s="317"/>
      <c r="H14" s="317"/>
      <c r="I14" s="317"/>
      <c r="J14" s="319"/>
      <c r="K14" s="317"/>
      <c r="L14" s="317"/>
      <c r="M14" s="317"/>
      <c r="N14" s="317"/>
    </row>
    <row r="15" ht="12.75" customHeight="1">
      <c r="A15" s="320" t="s">
        <v>32</v>
      </c>
      <c r="B15" s="316">
        <v>3.0</v>
      </c>
      <c r="C15" s="317" t="s">
        <v>395</v>
      </c>
      <c r="D15" s="317"/>
      <c r="E15" s="322" t="s">
        <v>410</v>
      </c>
      <c r="F15" s="317"/>
      <c r="G15" s="317"/>
      <c r="H15" s="317"/>
      <c r="I15" s="317"/>
      <c r="J15" s="319"/>
      <c r="K15" s="317"/>
      <c r="L15" s="317"/>
      <c r="M15" s="317"/>
      <c r="N15" s="317"/>
    </row>
    <row r="16" ht="12.75" customHeight="1">
      <c r="A16" s="315" t="s">
        <v>134</v>
      </c>
      <c r="B16" s="316">
        <v>28.0</v>
      </c>
      <c r="C16" s="317" t="s">
        <v>395</v>
      </c>
      <c r="D16" s="317"/>
      <c r="E16" s="322" t="s">
        <v>411</v>
      </c>
      <c r="F16" s="317"/>
      <c r="G16" s="317"/>
      <c r="H16" s="317"/>
      <c r="I16" s="317"/>
      <c r="J16" s="319"/>
      <c r="K16" s="317"/>
      <c r="L16" s="317"/>
      <c r="M16" s="317"/>
      <c r="N16" s="317"/>
    </row>
    <row r="17" ht="12.75" customHeight="1">
      <c r="A17" s="315" t="s">
        <v>412</v>
      </c>
      <c r="B17" s="321">
        <v>49.0</v>
      </c>
      <c r="C17" s="317" t="s">
        <v>400</v>
      </c>
      <c r="D17" s="317"/>
      <c r="E17" s="322" t="s">
        <v>401</v>
      </c>
      <c r="F17" s="317"/>
      <c r="G17" s="317"/>
      <c r="H17" s="317"/>
      <c r="I17" s="317"/>
      <c r="J17" s="319"/>
      <c r="K17" s="317"/>
      <c r="L17" s="317"/>
      <c r="M17" s="317"/>
      <c r="N17" s="317"/>
    </row>
    <row r="18" ht="12.75" customHeight="1">
      <c r="A18" s="315" t="s">
        <v>49</v>
      </c>
      <c r="B18" s="316">
        <v>24.0</v>
      </c>
      <c r="C18" s="317" t="s">
        <v>395</v>
      </c>
      <c r="D18" s="317"/>
      <c r="E18" s="322" t="s">
        <v>413</v>
      </c>
      <c r="F18" s="317"/>
      <c r="G18" s="317"/>
      <c r="H18" s="317"/>
      <c r="I18" s="317"/>
      <c r="J18" s="319"/>
      <c r="K18" s="317"/>
      <c r="L18" s="317"/>
      <c r="M18" s="317"/>
      <c r="N18" s="317"/>
    </row>
    <row r="19" ht="12.75" customHeight="1">
      <c r="A19" s="320" t="s">
        <v>40</v>
      </c>
      <c r="B19" s="321">
        <v>49.0</v>
      </c>
      <c r="C19" s="317" t="s">
        <v>395</v>
      </c>
      <c r="D19" s="317"/>
      <c r="E19" s="322" t="s">
        <v>401</v>
      </c>
      <c r="F19" s="317"/>
      <c r="G19" s="317"/>
      <c r="H19" s="317"/>
      <c r="I19" s="317"/>
      <c r="J19" s="319"/>
      <c r="K19" s="317"/>
      <c r="L19" s="317"/>
      <c r="M19" s="317"/>
      <c r="N19" s="317"/>
    </row>
    <row r="20" ht="12.75" customHeight="1">
      <c r="A20" s="320" t="s">
        <v>42</v>
      </c>
      <c r="B20" s="321">
        <v>49.0</v>
      </c>
      <c r="C20" s="317" t="s">
        <v>395</v>
      </c>
      <c r="D20" s="317"/>
      <c r="E20" s="322" t="s">
        <v>401</v>
      </c>
      <c r="F20" s="317"/>
      <c r="G20" s="317"/>
      <c r="H20" s="317"/>
      <c r="I20" s="317"/>
      <c r="J20" s="319"/>
      <c r="K20" s="317"/>
      <c r="L20" s="317"/>
      <c r="M20" s="317"/>
      <c r="N20" s="317"/>
    </row>
    <row r="21" ht="12.75" customHeight="1">
      <c r="A21" s="320" t="s">
        <v>367</v>
      </c>
      <c r="B21" s="321">
        <v>49.0</v>
      </c>
      <c r="C21" s="317" t="s">
        <v>414</v>
      </c>
      <c r="D21" s="317"/>
      <c r="E21" s="322" t="s">
        <v>401</v>
      </c>
      <c r="F21" s="317"/>
      <c r="G21" s="317"/>
      <c r="H21" s="317"/>
      <c r="I21" s="317"/>
      <c r="J21" s="319"/>
      <c r="K21" s="317"/>
      <c r="L21" s="317"/>
      <c r="M21" s="317"/>
      <c r="N21" s="317"/>
    </row>
    <row r="22" ht="12.75" customHeight="1"/>
    <row r="23" ht="12.75" customHeight="1">
      <c r="A23" s="323" t="s">
        <v>415</v>
      </c>
      <c r="B23" s="324"/>
      <c r="C23" s="324"/>
      <c r="D23" s="324"/>
      <c r="E23" s="324"/>
      <c r="F23" s="324"/>
      <c r="G23" s="324"/>
      <c r="H23" s="324"/>
      <c r="I23" s="324"/>
      <c r="J23" s="324"/>
      <c r="K23" s="324"/>
      <c r="L23" s="324"/>
      <c r="M23" s="324"/>
      <c r="N23" s="324"/>
      <c r="O23" s="325"/>
    </row>
    <row r="24" ht="12.75" customHeight="1">
      <c r="A24" s="326" t="s">
        <v>416</v>
      </c>
      <c r="B24" s="312" t="s">
        <v>391</v>
      </c>
      <c r="C24" s="314" t="s">
        <v>105</v>
      </c>
      <c r="D24" s="314" t="s">
        <v>106</v>
      </c>
      <c r="E24" s="314" t="s">
        <v>107</v>
      </c>
      <c r="F24" s="314" t="s">
        <v>108</v>
      </c>
      <c r="G24" s="314" t="s">
        <v>109</v>
      </c>
      <c r="H24" s="314" t="s">
        <v>110</v>
      </c>
      <c r="I24" s="314" t="s">
        <v>417</v>
      </c>
      <c r="J24" s="314" t="s">
        <v>418</v>
      </c>
      <c r="K24" s="314" t="s">
        <v>419</v>
      </c>
      <c r="L24" s="314" t="s">
        <v>420</v>
      </c>
      <c r="M24" s="314" t="s">
        <v>421</v>
      </c>
      <c r="N24" s="314" t="s">
        <v>422</v>
      </c>
      <c r="O24" s="313" t="s">
        <v>423</v>
      </c>
    </row>
    <row r="25" ht="12.75" customHeight="1">
      <c r="A25" s="320" t="s">
        <v>424</v>
      </c>
      <c r="B25" s="315" t="s">
        <v>310</v>
      </c>
      <c r="C25" s="327" t="s">
        <v>425</v>
      </c>
      <c r="D25" s="327" t="s">
        <v>425</v>
      </c>
      <c r="E25" s="328">
        <v>0.25</v>
      </c>
      <c r="F25" s="327" t="s">
        <v>425</v>
      </c>
      <c r="G25" s="327" t="s">
        <v>425</v>
      </c>
      <c r="H25" s="327" t="s">
        <v>425</v>
      </c>
      <c r="I25" s="329" t="str">
        <f t="shared" ref="I25:N25" si="1">iferror(C25*$B$3, "-")</f>
        <v>-</v>
      </c>
      <c r="J25" s="329" t="str">
        <f t="shared" si="1"/>
        <v>-</v>
      </c>
      <c r="K25" s="329">
        <f t="shared" si="1"/>
        <v>3.25</v>
      </c>
      <c r="L25" s="329" t="str">
        <f t="shared" si="1"/>
        <v>-</v>
      </c>
      <c r="M25" s="329" t="str">
        <f t="shared" si="1"/>
        <v>-</v>
      </c>
      <c r="N25" s="329" t="str">
        <f t="shared" si="1"/>
        <v>-</v>
      </c>
      <c r="O25" s="330">
        <f t="shared" ref="O25:O138" si="3">SUM(I25:N25)</f>
        <v>3.25</v>
      </c>
    </row>
    <row r="26" ht="12.75" customHeight="1">
      <c r="A26" s="320" t="s">
        <v>424</v>
      </c>
      <c r="B26" s="315" t="s">
        <v>311</v>
      </c>
      <c r="C26" s="331" t="s">
        <v>425</v>
      </c>
      <c r="D26" s="331" t="s">
        <v>425</v>
      </c>
      <c r="E26" s="332">
        <v>0.25</v>
      </c>
      <c r="F26" s="331" t="s">
        <v>425</v>
      </c>
      <c r="G26" s="331" t="s">
        <v>425</v>
      </c>
      <c r="H26" s="331" t="s">
        <v>425</v>
      </c>
      <c r="I26" s="329" t="str">
        <f t="shared" ref="I26:N26" si="2">iferror(C26*$B$4, "-")</f>
        <v>-</v>
      </c>
      <c r="J26" s="329" t="str">
        <f t="shared" si="2"/>
        <v>-</v>
      </c>
      <c r="K26" s="329">
        <f t="shared" si="2"/>
        <v>3</v>
      </c>
      <c r="L26" s="329" t="str">
        <f t="shared" si="2"/>
        <v>-</v>
      </c>
      <c r="M26" s="329" t="str">
        <f t="shared" si="2"/>
        <v>-</v>
      </c>
      <c r="N26" s="329" t="str">
        <f t="shared" si="2"/>
        <v>-</v>
      </c>
      <c r="O26" s="330">
        <f t="shared" si="3"/>
        <v>3</v>
      </c>
    </row>
    <row r="27" ht="12.75" customHeight="1">
      <c r="A27" s="320" t="s">
        <v>424</v>
      </c>
      <c r="B27" s="315" t="s">
        <v>312</v>
      </c>
      <c r="C27" s="331" t="s">
        <v>425</v>
      </c>
      <c r="D27" s="331" t="s">
        <v>425</v>
      </c>
      <c r="E27" s="332">
        <v>0.25</v>
      </c>
      <c r="F27" s="331" t="s">
        <v>425</v>
      </c>
      <c r="G27" s="331" t="s">
        <v>425</v>
      </c>
      <c r="H27" s="331" t="s">
        <v>425</v>
      </c>
      <c r="I27" s="329" t="str">
        <f t="shared" ref="I27:N27" si="4">iferror(C27*$B$5, "-")</f>
        <v>-</v>
      </c>
      <c r="J27" s="329" t="str">
        <f t="shared" si="4"/>
        <v>-</v>
      </c>
      <c r="K27" s="329">
        <f t="shared" si="4"/>
        <v>3</v>
      </c>
      <c r="L27" s="329" t="str">
        <f t="shared" si="4"/>
        <v>-</v>
      </c>
      <c r="M27" s="329" t="str">
        <f t="shared" si="4"/>
        <v>-</v>
      </c>
      <c r="N27" s="329" t="str">
        <f t="shared" si="4"/>
        <v>-</v>
      </c>
      <c r="O27" s="330">
        <f t="shared" si="3"/>
        <v>3</v>
      </c>
    </row>
    <row r="28" ht="12.75" customHeight="1">
      <c r="A28" s="320" t="s">
        <v>424</v>
      </c>
      <c r="B28" s="320" t="s">
        <v>46</v>
      </c>
      <c r="C28" s="331" t="s">
        <v>425</v>
      </c>
      <c r="D28" s="331" t="s">
        <v>425</v>
      </c>
      <c r="E28" s="332">
        <v>0.25</v>
      </c>
      <c r="F28" s="331" t="s">
        <v>425</v>
      </c>
      <c r="G28" s="331" t="s">
        <v>425</v>
      </c>
      <c r="H28" s="331" t="s">
        <v>425</v>
      </c>
      <c r="I28" s="329" t="str">
        <f t="shared" ref="I28:N28" si="5">iferror(C28*$B$6, "-")</f>
        <v>-</v>
      </c>
      <c r="J28" s="329" t="str">
        <f t="shared" si="5"/>
        <v>-</v>
      </c>
      <c r="K28" s="329">
        <f t="shared" si="5"/>
        <v>3</v>
      </c>
      <c r="L28" s="329" t="str">
        <f t="shared" si="5"/>
        <v>-</v>
      </c>
      <c r="M28" s="329" t="str">
        <f t="shared" si="5"/>
        <v>-</v>
      </c>
      <c r="N28" s="329" t="str">
        <f t="shared" si="5"/>
        <v>-</v>
      </c>
      <c r="O28" s="330">
        <f t="shared" si="3"/>
        <v>3</v>
      </c>
    </row>
    <row r="29" ht="12.75" customHeight="1">
      <c r="A29" s="320" t="s">
        <v>424</v>
      </c>
      <c r="B29" s="315" t="s">
        <v>372</v>
      </c>
      <c r="C29" s="332">
        <v>0.25</v>
      </c>
      <c r="D29" s="331" t="s">
        <v>425</v>
      </c>
      <c r="E29" s="332">
        <v>0.25</v>
      </c>
      <c r="F29" s="332">
        <v>0.25</v>
      </c>
      <c r="G29" s="331" t="s">
        <v>425</v>
      </c>
      <c r="H29" s="331" t="s">
        <v>425</v>
      </c>
      <c r="I29" s="329">
        <f t="shared" ref="I29:N29" si="6">iferror(C29*$B$7, "-")</f>
        <v>12.25</v>
      </c>
      <c r="J29" s="329" t="str">
        <f t="shared" si="6"/>
        <v>-</v>
      </c>
      <c r="K29" s="329">
        <f t="shared" si="6"/>
        <v>12.25</v>
      </c>
      <c r="L29" s="329">
        <f t="shared" si="6"/>
        <v>12.25</v>
      </c>
      <c r="M29" s="329" t="str">
        <f t="shared" si="6"/>
        <v>-</v>
      </c>
      <c r="N29" s="329" t="str">
        <f t="shared" si="6"/>
        <v>-</v>
      </c>
      <c r="O29" s="330">
        <f t="shared" si="3"/>
        <v>36.75</v>
      </c>
    </row>
    <row r="30" ht="12.75" customHeight="1">
      <c r="A30" s="320" t="s">
        <v>424</v>
      </c>
      <c r="B30" s="315" t="s">
        <v>402</v>
      </c>
      <c r="C30" s="331" t="s">
        <v>425</v>
      </c>
      <c r="D30" s="331" t="s">
        <v>425</v>
      </c>
      <c r="E30" s="331" t="s">
        <v>425</v>
      </c>
      <c r="F30" s="332">
        <v>0.25</v>
      </c>
      <c r="G30" s="332">
        <v>0.25</v>
      </c>
      <c r="H30" s="331" t="s">
        <v>425</v>
      </c>
      <c r="I30" s="329" t="str">
        <f t="shared" ref="I30:N30" si="7">iferror(C30*$B$8, "-")</f>
        <v>-</v>
      </c>
      <c r="J30" s="329" t="str">
        <f t="shared" si="7"/>
        <v>-</v>
      </c>
      <c r="K30" s="329" t="str">
        <f t="shared" si="7"/>
        <v>-</v>
      </c>
      <c r="L30" s="329">
        <f t="shared" si="7"/>
        <v>12.25</v>
      </c>
      <c r="M30" s="329">
        <f t="shared" si="7"/>
        <v>12.25</v>
      </c>
      <c r="N30" s="329" t="str">
        <f t="shared" si="7"/>
        <v>-</v>
      </c>
      <c r="O30" s="330">
        <f t="shared" si="3"/>
        <v>24.5</v>
      </c>
    </row>
    <row r="31" ht="12.75" customHeight="1">
      <c r="A31" s="320" t="s">
        <v>424</v>
      </c>
      <c r="B31" s="315" t="s">
        <v>403</v>
      </c>
      <c r="C31" s="331" t="s">
        <v>425</v>
      </c>
      <c r="D31" s="332">
        <v>0.25</v>
      </c>
      <c r="E31" s="331" t="s">
        <v>425</v>
      </c>
      <c r="F31" s="331" t="s">
        <v>425</v>
      </c>
      <c r="G31" s="331" t="s">
        <v>425</v>
      </c>
      <c r="H31" s="331" t="s">
        <v>425</v>
      </c>
      <c r="I31" s="329" t="str">
        <f t="shared" ref="I31:N31" si="8">iferror(C31*$B$9, "-")</f>
        <v>-</v>
      </c>
      <c r="J31" s="329">
        <f t="shared" si="8"/>
        <v>3</v>
      </c>
      <c r="K31" s="329" t="str">
        <f t="shared" si="8"/>
        <v>-</v>
      </c>
      <c r="L31" s="329" t="str">
        <f t="shared" si="8"/>
        <v>-</v>
      </c>
      <c r="M31" s="329" t="str">
        <f t="shared" si="8"/>
        <v>-</v>
      </c>
      <c r="N31" s="329" t="str">
        <f t="shared" si="8"/>
        <v>-</v>
      </c>
      <c r="O31" s="330">
        <f t="shared" si="3"/>
        <v>3</v>
      </c>
    </row>
    <row r="32" ht="12.75" customHeight="1">
      <c r="A32" s="320" t="s">
        <v>424</v>
      </c>
      <c r="B32" s="320" t="s">
        <v>189</v>
      </c>
      <c r="C32" s="331" t="s">
        <v>425</v>
      </c>
      <c r="D32" s="332">
        <v>0.25</v>
      </c>
      <c r="E32" s="331" t="s">
        <v>425</v>
      </c>
      <c r="F32" s="331" t="s">
        <v>425</v>
      </c>
      <c r="G32" s="331" t="s">
        <v>425</v>
      </c>
      <c r="H32" s="331" t="s">
        <v>425</v>
      </c>
      <c r="I32" s="329" t="str">
        <f t="shared" ref="I32:N32" si="9">iferror(C32*$B$10, "-")</f>
        <v>-</v>
      </c>
      <c r="J32" s="329">
        <f t="shared" si="9"/>
        <v>3.25</v>
      </c>
      <c r="K32" s="329" t="str">
        <f t="shared" si="9"/>
        <v>-</v>
      </c>
      <c r="L32" s="329" t="str">
        <f t="shared" si="9"/>
        <v>-</v>
      </c>
      <c r="M32" s="329" t="str">
        <f t="shared" si="9"/>
        <v>-</v>
      </c>
      <c r="N32" s="329" t="str">
        <f t="shared" si="9"/>
        <v>-</v>
      </c>
      <c r="O32" s="330">
        <f t="shared" si="3"/>
        <v>3.25</v>
      </c>
    </row>
    <row r="33" ht="12.75" customHeight="1">
      <c r="A33" s="320" t="s">
        <v>424</v>
      </c>
      <c r="B33" s="315" t="s">
        <v>369</v>
      </c>
      <c r="C33" s="331" t="s">
        <v>425</v>
      </c>
      <c r="D33" s="332">
        <v>0.25</v>
      </c>
      <c r="E33" s="331" t="s">
        <v>425</v>
      </c>
      <c r="F33" s="331" t="s">
        <v>425</v>
      </c>
      <c r="G33" s="331" t="s">
        <v>425</v>
      </c>
      <c r="H33" s="331" t="s">
        <v>425</v>
      </c>
      <c r="I33" s="329" t="str">
        <f t="shared" ref="I33:N33" si="10">iferror(C33*$B$11, "-")</f>
        <v>-</v>
      </c>
      <c r="J33" s="329">
        <f t="shared" si="10"/>
        <v>3.75</v>
      </c>
      <c r="K33" s="329" t="str">
        <f t="shared" si="10"/>
        <v>-</v>
      </c>
      <c r="L33" s="329" t="str">
        <f t="shared" si="10"/>
        <v>-</v>
      </c>
      <c r="M33" s="329" t="str">
        <f t="shared" si="10"/>
        <v>-</v>
      </c>
      <c r="N33" s="329" t="str">
        <f t="shared" si="10"/>
        <v>-</v>
      </c>
      <c r="O33" s="330">
        <f t="shared" si="3"/>
        <v>3.75</v>
      </c>
    </row>
    <row r="34" ht="12.75" customHeight="1">
      <c r="A34" s="320" t="s">
        <v>424</v>
      </c>
      <c r="B34" s="315" t="s">
        <v>407</v>
      </c>
      <c r="C34" s="331" t="s">
        <v>425</v>
      </c>
      <c r="D34" s="332">
        <v>0.25</v>
      </c>
      <c r="E34" s="331" t="s">
        <v>425</v>
      </c>
      <c r="F34" s="331" t="s">
        <v>425</v>
      </c>
      <c r="G34" s="331" t="s">
        <v>425</v>
      </c>
      <c r="H34" s="331" t="s">
        <v>425</v>
      </c>
      <c r="I34" s="329" t="str">
        <f t="shared" ref="I34:N34" si="11">iferror(C34*$B$12, "-")</f>
        <v>-</v>
      </c>
      <c r="J34" s="329">
        <f t="shared" si="11"/>
        <v>4</v>
      </c>
      <c r="K34" s="329" t="str">
        <f t="shared" si="11"/>
        <v>-</v>
      </c>
      <c r="L34" s="329" t="str">
        <f t="shared" si="11"/>
        <v>-</v>
      </c>
      <c r="M34" s="329" t="str">
        <f t="shared" si="11"/>
        <v>-</v>
      </c>
      <c r="N34" s="329" t="str">
        <f t="shared" si="11"/>
        <v>-</v>
      </c>
      <c r="O34" s="330">
        <f t="shared" si="3"/>
        <v>4</v>
      </c>
    </row>
    <row r="35" ht="12.75" customHeight="1">
      <c r="A35" s="320" t="s">
        <v>424</v>
      </c>
      <c r="B35" s="315" t="s">
        <v>43</v>
      </c>
      <c r="C35" s="331" t="s">
        <v>425</v>
      </c>
      <c r="D35" s="331" t="s">
        <v>425</v>
      </c>
      <c r="E35" s="331" t="s">
        <v>425</v>
      </c>
      <c r="F35" s="331" t="s">
        <v>425</v>
      </c>
      <c r="G35" s="331" t="s">
        <v>425</v>
      </c>
      <c r="H35" s="331" t="s">
        <v>425</v>
      </c>
      <c r="I35" s="329" t="str">
        <f t="shared" ref="I35:N35" si="12">iferror(C35*$B$13, "-")</f>
        <v>-</v>
      </c>
      <c r="J35" s="329" t="str">
        <f t="shared" si="12"/>
        <v>-</v>
      </c>
      <c r="K35" s="329" t="str">
        <f t="shared" si="12"/>
        <v>-</v>
      </c>
      <c r="L35" s="329" t="str">
        <f t="shared" si="12"/>
        <v>-</v>
      </c>
      <c r="M35" s="329" t="str">
        <f t="shared" si="12"/>
        <v>-</v>
      </c>
      <c r="N35" s="329" t="str">
        <f t="shared" si="12"/>
        <v>-</v>
      </c>
      <c r="O35" s="330">
        <f t="shared" si="3"/>
        <v>0</v>
      </c>
    </row>
    <row r="36" ht="12.75" customHeight="1">
      <c r="A36" s="320" t="s">
        <v>424</v>
      </c>
      <c r="B36" s="315" t="s">
        <v>368</v>
      </c>
      <c r="C36" s="331" t="s">
        <v>425</v>
      </c>
      <c r="D36" s="331" t="s">
        <v>425</v>
      </c>
      <c r="E36" s="331" t="s">
        <v>425</v>
      </c>
      <c r="F36" s="331" t="s">
        <v>425</v>
      </c>
      <c r="G36" s="331" t="s">
        <v>425</v>
      </c>
      <c r="H36" s="331" t="s">
        <v>425</v>
      </c>
      <c r="I36" s="329" t="str">
        <f t="shared" ref="I36:N36" si="13">iferror(C36*$B$14, "-")</f>
        <v>-</v>
      </c>
      <c r="J36" s="329" t="str">
        <f t="shared" si="13"/>
        <v>-</v>
      </c>
      <c r="K36" s="329" t="str">
        <f t="shared" si="13"/>
        <v>-</v>
      </c>
      <c r="L36" s="329" t="str">
        <f t="shared" si="13"/>
        <v>-</v>
      </c>
      <c r="M36" s="329" t="str">
        <f t="shared" si="13"/>
        <v>-</v>
      </c>
      <c r="N36" s="329" t="str">
        <f t="shared" si="13"/>
        <v>-</v>
      </c>
      <c r="O36" s="330">
        <f t="shared" si="3"/>
        <v>0</v>
      </c>
    </row>
    <row r="37" ht="12.75" customHeight="1">
      <c r="A37" s="320" t="s">
        <v>424</v>
      </c>
      <c r="B37" s="320" t="s">
        <v>32</v>
      </c>
      <c r="C37" s="331" t="s">
        <v>425</v>
      </c>
      <c r="D37" s="332">
        <v>0.25</v>
      </c>
      <c r="E37" s="331" t="s">
        <v>425</v>
      </c>
      <c r="F37" s="331" t="s">
        <v>425</v>
      </c>
      <c r="G37" s="331" t="s">
        <v>425</v>
      </c>
      <c r="H37" s="331" t="s">
        <v>425</v>
      </c>
      <c r="I37" s="329" t="str">
        <f t="shared" ref="I37:N37" si="14">iferror(C37*$B$15, "-")</f>
        <v>-</v>
      </c>
      <c r="J37" s="329">
        <f t="shared" si="14"/>
        <v>0.75</v>
      </c>
      <c r="K37" s="329" t="str">
        <f t="shared" si="14"/>
        <v>-</v>
      </c>
      <c r="L37" s="329" t="str">
        <f t="shared" si="14"/>
        <v>-</v>
      </c>
      <c r="M37" s="329" t="str">
        <f t="shared" si="14"/>
        <v>-</v>
      </c>
      <c r="N37" s="329" t="str">
        <f t="shared" si="14"/>
        <v>-</v>
      </c>
      <c r="O37" s="330">
        <f t="shared" si="3"/>
        <v>0.75</v>
      </c>
    </row>
    <row r="38" ht="12.75" customHeight="1">
      <c r="A38" s="320" t="s">
        <v>424</v>
      </c>
      <c r="B38" s="315" t="s">
        <v>134</v>
      </c>
      <c r="C38" s="331" t="s">
        <v>425</v>
      </c>
      <c r="D38" s="331" t="s">
        <v>425</v>
      </c>
      <c r="E38" s="331" t="s">
        <v>425</v>
      </c>
      <c r="F38" s="331" t="s">
        <v>425</v>
      </c>
      <c r="G38" s="331" t="s">
        <v>425</v>
      </c>
      <c r="H38" s="331" t="s">
        <v>425</v>
      </c>
      <c r="I38" s="329" t="str">
        <f t="shared" ref="I38:N38" si="15">iferror(C38*$B$16, "-")</f>
        <v>-</v>
      </c>
      <c r="J38" s="329" t="str">
        <f t="shared" si="15"/>
        <v>-</v>
      </c>
      <c r="K38" s="329" t="str">
        <f t="shared" si="15"/>
        <v>-</v>
      </c>
      <c r="L38" s="329" t="str">
        <f t="shared" si="15"/>
        <v>-</v>
      </c>
      <c r="M38" s="329" t="str">
        <f t="shared" si="15"/>
        <v>-</v>
      </c>
      <c r="N38" s="329" t="str">
        <f t="shared" si="15"/>
        <v>-</v>
      </c>
      <c r="O38" s="330">
        <f t="shared" si="3"/>
        <v>0</v>
      </c>
    </row>
    <row r="39" ht="12.75" customHeight="1">
      <c r="A39" s="320" t="s">
        <v>424</v>
      </c>
      <c r="B39" s="315" t="s">
        <v>412</v>
      </c>
      <c r="C39" s="331" t="s">
        <v>425</v>
      </c>
      <c r="D39" s="331" t="s">
        <v>425</v>
      </c>
      <c r="E39" s="331" t="s">
        <v>425</v>
      </c>
      <c r="F39" s="331" t="s">
        <v>425</v>
      </c>
      <c r="G39" s="331" t="s">
        <v>425</v>
      </c>
      <c r="H39" s="331" t="s">
        <v>425</v>
      </c>
      <c r="I39" s="329" t="str">
        <f t="shared" ref="I39:N39" si="16">iferror(C39*$B$17, "-")</f>
        <v>-</v>
      </c>
      <c r="J39" s="329" t="str">
        <f t="shared" si="16"/>
        <v>-</v>
      </c>
      <c r="K39" s="329" t="str">
        <f t="shared" si="16"/>
        <v>-</v>
      </c>
      <c r="L39" s="329" t="str">
        <f t="shared" si="16"/>
        <v>-</v>
      </c>
      <c r="M39" s="329" t="str">
        <f t="shared" si="16"/>
        <v>-</v>
      </c>
      <c r="N39" s="329" t="str">
        <f t="shared" si="16"/>
        <v>-</v>
      </c>
      <c r="O39" s="330">
        <f t="shared" si="3"/>
        <v>0</v>
      </c>
    </row>
    <row r="40" ht="12.75" customHeight="1">
      <c r="A40" s="320" t="s">
        <v>424</v>
      </c>
      <c r="B40" s="333" t="s">
        <v>49</v>
      </c>
      <c r="C40" s="332">
        <v>0.25</v>
      </c>
      <c r="D40" s="334" t="s">
        <v>425</v>
      </c>
      <c r="E40" s="334" t="s">
        <v>425</v>
      </c>
      <c r="F40" s="334" t="s">
        <v>425</v>
      </c>
      <c r="G40" s="334" t="s">
        <v>425</v>
      </c>
      <c r="H40" s="334" t="s">
        <v>425</v>
      </c>
      <c r="I40" s="329">
        <f t="shared" ref="I40:N40" si="17">iferror(C40*$B$18, "-")</f>
        <v>6</v>
      </c>
      <c r="J40" s="329" t="str">
        <f t="shared" si="17"/>
        <v>-</v>
      </c>
      <c r="K40" s="329" t="str">
        <f t="shared" si="17"/>
        <v>-</v>
      </c>
      <c r="L40" s="329" t="str">
        <f t="shared" si="17"/>
        <v>-</v>
      </c>
      <c r="M40" s="329" t="str">
        <f t="shared" si="17"/>
        <v>-</v>
      </c>
      <c r="N40" s="329" t="str">
        <f t="shared" si="17"/>
        <v>-</v>
      </c>
      <c r="O40" s="329">
        <f t="shared" si="3"/>
        <v>6</v>
      </c>
      <c r="P40" s="335"/>
      <c r="Q40" s="335"/>
      <c r="R40" s="335"/>
      <c r="S40" s="335"/>
      <c r="T40" s="335"/>
      <c r="U40" s="335"/>
      <c r="V40" s="335"/>
      <c r="W40" s="335"/>
      <c r="X40" s="335"/>
      <c r="Y40" s="335"/>
      <c r="Z40" s="335"/>
      <c r="AA40" s="335"/>
      <c r="AB40" s="335"/>
      <c r="AC40" s="335"/>
      <c r="AD40" s="335"/>
      <c r="AE40" s="335"/>
      <c r="AF40" s="335"/>
      <c r="AG40" s="335"/>
      <c r="AH40" s="335"/>
      <c r="AI40" s="335"/>
      <c r="AJ40" s="335"/>
      <c r="AK40" s="335"/>
      <c r="AL40" s="335"/>
      <c r="AM40" s="335"/>
      <c r="AN40" s="335"/>
      <c r="AO40" s="335"/>
      <c r="AP40" s="335"/>
      <c r="AQ40" s="335"/>
      <c r="AR40" s="335"/>
      <c r="AS40" s="335"/>
      <c r="AT40" s="335"/>
    </row>
    <row r="41" ht="12.75" customHeight="1">
      <c r="A41" s="320" t="s">
        <v>424</v>
      </c>
      <c r="B41" s="320" t="s">
        <v>40</v>
      </c>
      <c r="C41" s="332">
        <v>0.25</v>
      </c>
      <c r="D41" s="334" t="s">
        <v>425</v>
      </c>
      <c r="E41" s="332">
        <v>0.25</v>
      </c>
      <c r="F41" s="334" t="s">
        <v>425</v>
      </c>
      <c r="G41" s="334" t="s">
        <v>425</v>
      </c>
      <c r="H41" s="334" t="s">
        <v>425</v>
      </c>
      <c r="I41" s="329">
        <f t="shared" ref="I41:N41" si="18">iferror(C41*$B$19, "-")</f>
        <v>12.25</v>
      </c>
      <c r="J41" s="329" t="str">
        <f t="shared" si="18"/>
        <v>-</v>
      </c>
      <c r="K41" s="329">
        <f t="shared" si="18"/>
        <v>12.25</v>
      </c>
      <c r="L41" s="329" t="str">
        <f t="shared" si="18"/>
        <v>-</v>
      </c>
      <c r="M41" s="329" t="str">
        <f t="shared" si="18"/>
        <v>-</v>
      </c>
      <c r="N41" s="329" t="str">
        <f t="shared" si="18"/>
        <v>-</v>
      </c>
      <c r="O41" s="329">
        <f t="shared" si="3"/>
        <v>24.5</v>
      </c>
    </row>
    <row r="42" ht="12.75" customHeight="1">
      <c r="A42" s="320" t="s">
        <v>424</v>
      </c>
      <c r="B42" s="320" t="s">
        <v>42</v>
      </c>
      <c r="C42" s="332">
        <v>0.25</v>
      </c>
      <c r="D42" s="334" t="s">
        <v>425</v>
      </c>
      <c r="E42" s="332">
        <v>0.25</v>
      </c>
      <c r="F42" s="334" t="s">
        <v>425</v>
      </c>
      <c r="G42" s="334" t="s">
        <v>425</v>
      </c>
      <c r="H42" s="334" t="s">
        <v>425</v>
      </c>
      <c r="I42" s="329">
        <f t="shared" ref="I42:N42" si="19">iferror(C42*$B$20, "-")</f>
        <v>12.25</v>
      </c>
      <c r="J42" s="329" t="str">
        <f t="shared" si="19"/>
        <v>-</v>
      </c>
      <c r="K42" s="329">
        <f t="shared" si="19"/>
        <v>12.25</v>
      </c>
      <c r="L42" s="329" t="str">
        <f t="shared" si="19"/>
        <v>-</v>
      </c>
      <c r="M42" s="329" t="str">
        <f t="shared" si="19"/>
        <v>-</v>
      </c>
      <c r="N42" s="329" t="str">
        <f t="shared" si="19"/>
        <v>-</v>
      </c>
      <c r="O42" s="329">
        <f t="shared" si="3"/>
        <v>24.5</v>
      </c>
    </row>
    <row r="43" ht="12.75" customHeight="1">
      <c r="A43" s="336" t="s">
        <v>424</v>
      </c>
      <c r="B43" s="336" t="s">
        <v>367</v>
      </c>
      <c r="C43" s="337" t="s">
        <v>425</v>
      </c>
      <c r="D43" s="337" t="s">
        <v>425</v>
      </c>
      <c r="E43" s="337" t="s">
        <v>425</v>
      </c>
      <c r="F43" s="337" t="s">
        <v>425</v>
      </c>
      <c r="G43" s="337" t="s">
        <v>425</v>
      </c>
      <c r="H43" s="337" t="s">
        <v>425</v>
      </c>
      <c r="I43" s="338" t="str">
        <f t="shared" ref="I43:N43" si="20">iferror(C43*$B$21, "-")</f>
        <v>-</v>
      </c>
      <c r="J43" s="338" t="str">
        <f t="shared" si="20"/>
        <v>-</v>
      </c>
      <c r="K43" s="338" t="str">
        <f t="shared" si="20"/>
        <v>-</v>
      </c>
      <c r="L43" s="338" t="str">
        <f t="shared" si="20"/>
        <v>-</v>
      </c>
      <c r="M43" s="338" t="str">
        <f t="shared" si="20"/>
        <v>-</v>
      </c>
      <c r="N43" s="338" t="str">
        <f t="shared" si="20"/>
        <v>-</v>
      </c>
      <c r="O43" s="339">
        <f t="shared" si="3"/>
        <v>0</v>
      </c>
    </row>
    <row r="44" ht="12.75" customHeight="1">
      <c r="A44" s="320" t="s">
        <v>426</v>
      </c>
      <c r="B44" s="315" t="s">
        <v>310</v>
      </c>
      <c r="C44" s="327" t="s">
        <v>425</v>
      </c>
      <c r="D44" s="327" t="s">
        <v>425</v>
      </c>
      <c r="E44" s="328">
        <v>0.25</v>
      </c>
      <c r="F44" s="327" t="s">
        <v>425</v>
      </c>
      <c r="G44" s="327" t="s">
        <v>425</v>
      </c>
      <c r="H44" s="327" t="s">
        <v>425</v>
      </c>
      <c r="I44" s="329" t="str">
        <f t="shared" ref="I44:N44" si="21">iferror(C44*$B$3, "-")</f>
        <v>-</v>
      </c>
      <c r="J44" s="329" t="str">
        <f t="shared" si="21"/>
        <v>-</v>
      </c>
      <c r="K44" s="329">
        <f t="shared" si="21"/>
        <v>3.25</v>
      </c>
      <c r="L44" s="329" t="str">
        <f t="shared" si="21"/>
        <v>-</v>
      </c>
      <c r="M44" s="329" t="str">
        <f t="shared" si="21"/>
        <v>-</v>
      </c>
      <c r="N44" s="329" t="str">
        <f t="shared" si="21"/>
        <v>-</v>
      </c>
      <c r="O44" s="340">
        <f t="shared" si="3"/>
        <v>3.25</v>
      </c>
    </row>
    <row r="45" ht="12.75" customHeight="1">
      <c r="A45" s="320" t="s">
        <v>426</v>
      </c>
      <c r="B45" s="315" t="s">
        <v>311</v>
      </c>
      <c r="C45" s="331" t="s">
        <v>425</v>
      </c>
      <c r="D45" s="331" t="s">
        <v>425</v>
      </c>
      <c r="E45" s="332">
        <v>0.25</v>
      </c>
      <c r="F45" s="331" t="s">
        <v>425</v>
      </c>
      <c r="G45" s="331" t="s">
        <v>425</v>
      </c>
      <c r="H45" s="331" t="s">
        <v>425</v>
      </c>
      <c r="I45" s="329" t="str">
        <f t="shared" ref="I45:N45" si="22">iferror(C45*$B$4, "-")</f>
        <v>-</v>
      </c>
      <c r="J45" s="329" t="str">
        <f t="shared" si="22"/>
        <v>-</v>
      </c>
      <c r="K45" s="329">
        <f t="shared" si="22"/>
        <v>3</v>
      </c>
      <c r="L45" s="329" t="str">
        <f t="shared" si="22"/>
        <v>-</v>
      </c>
      <c r="M45" s="329" t="str">
        <f t="shared" si="22"/>
        <v>-</v>
      </c>
      <c r="N45" s="329" t="str">
        <f t="shared" si="22"/>
        <v>-</v>
      </c>
      <c r="O45" s="330">
        <f t="shared" si="3"/>
        <v>3</v>
      </c>
    </row>
    <row r="46" ht="12.75" customHeight="1">
      <c r="A46" s="320" t="s">
        <v>426</v>
      </c>
      <c r="B46" s="315" t="s">
        <v>312</v>
      </c>
      <c r="C46" s="331" t="s">
        <v>425</v>
      </c>
      <c r="D46" s="331" t="s">
        <v>425</v>
      </c>
      <c r="E46" s="332">
        <v>0.25</v>
      </c>
      <c r="F46" s="331" t="s">
        <v>425</v>
      </c>
      <c r="G46" s="331" t="s">
        <v>425</v>
      </c>
      <c r="H46" s="331" t="s">
        <v>425</v>
      </c>
      <c r="I46" s="329" t="str">
        <f t="shared" ref="I46:N46" si="23">iferror(C46*$B$5, "-")</f>
        <v>-</v>
      </c>
      <c r="J46" s="329" t="str">
        <f t="shared" si="23"/>
        <v>-</v>
      </c>
      <c r="K46" s="329">
        <f t="shared" si="23"/>
        <v>3</v>
      </c>
      <c r="L46" s="329" t="str">
        <f t="shared" si="23"/>
        <v>-</v>
      </c>
      <c r="M46" s="329" t="str">
        <f t="shared" si="23"/>
        <v>-</v>
      </c>
      <c r="N46" s="329" t="str">
        <f t="shared" si="23"/>
        <v>-</v>
      </c>
      <c r="O46" s="330">
        <f t="shared" si="3"/>
        <v>3</v>
      </c>
    </row>
    <row r="47" ht="12.75" customHeight="1">
      <c r="A47" s="320" t="s">
        <v>426</v>
      </c>
      <c r="B47" s="320" t="s">
        <v>46</v>
      </c>
      <c r="C47" s="331" t="s">
        <v>425</v>
      </c>
      <c r="D47" s="331" t="s">
        <v>425</v>
      </c>
      <c r="E47" s="332">
        <v>0.25</v>
      </c>
      <c r="F47" s="331" t="s">
        <v>425</v>
      </c>
      <c r="G47" s="331" t="s">
        <v>425</v>
      </c>
      <c r="H47" s="331" t="s">
        <v>425</v>
      </c>
      <c r="I47" s="329" t="str">
        <f t="shared" ref="I47:N47" si="24">iferror(C47*$B$6, "-")</f>
        <v>-</v>
      </c>
      <c r="J47" s="329" t="str">
        <f t="shared" si="24"/>
        <v>-</v>
      </c>
      <c r="K47" s="329">
        <f t="shared" si="24"/>
        <v>3</v>
      </c>
      <c r="L47" s="329" t="str">
        <f t="shared" si="24"/>
        <v>-</v>
      </c>
      <c r="M47" s="329" t="str">
        <f t="shared" si="24"/>
        <v>-</v>
      </c>
      <c r="N47" s="329" t="str">
        <f t="shared" si="24"/>
        <v>-</v>
      </c>
      <c r="O47" s="330">
        <f t="shared" si="3"/>
        <v>3</v>
      </c>
    </row>
    <row r="48" ht="12.75" customHeight="1">
      <c r="A48" s="320" t="s">
        <v>426</v>
      </c>
      <c r="B48" s="315" t="s">
        <v>372</v>
      </c>
      <c r="C48" s="332">
        <v>0.25</v>
      </c>
      <c r="D48" s="331" t="s">
        <v>425</v>
      </c>
      <c r="E48" s="332">
        <v>0.25</v>
      </c>
      <c r="F48" s="332">
        <v>0.25</v>
      </c>
      <c r="G48" s="331" t="s">
        <v>425</v>
      </c>
      <c r="H48" s="331" t="s">
        <v>425</v>
      </c>
      <c r="I48" s="329">
        <f t="shared" ref="I48:N48" si="25">iferror(C48*$B$7, "-")</f>
        <v>12.25</v>
      </c>
      <c r="J48" s="329" t="str">
        <f t="shared" si="25"/>
        <v>-</v>
      </c>
      <c r="K48" s="329">
        <f t="shared" si="25"/>
        <v>12.25</v>
      </c>
      <c r="L48" s="329">
        <f t="shared" si="25"/>
        <v>12.25</v>
      </c>
      <c r="M48" s="329" t="str">
        <f t="shared" si="25"/>
        <v>-</v>
      </c>
      <c r="N48" s="329" t="str">
        <f t="shared" si="25"/>
        <v>-</v>
      </c>
      <c r="O48" s="330">
        <f t="shared" si="3"/>
        <v>36.75</v>
      </c>
    </row>
    <row r="49" ht="12.75" customHeight="1">
      <c r="A49" s="320" t="s">
        <v>426</v>
      </c>
      <c r="B49" s="315" t="s">
        <v>402</v>
      </c>
      <c r="C49" s="331" t="s">
        <v>425</v>
      </c>
      <c r="D49" s="331" t="s">
        <v>425</v>
      </c>
      <c r="E49" s="331" t="s">
        <v>425</v>
      </c>
      <c r="F49" s="332">
        <v>0.25</v>
      </c>
      <c r="G49" s="332">
        <v>0.25</v>
      </c>
      <c r="H49" s="331" t="s">
        <v>425</v>
      </c>
      <c r="I49" s="329" t="str">
        <f t="shared" ref="I49:N49" si="26">iferror(C49*$B$8, "-")</f>
        <v>-</v>
      </c>
      <c r="J49" s="329" t="str">
        <f t="shared" si="26"/>
        <v>-</v>
      </c>
      <c r="K49" s="329" t="str">
        <f t="shared" si="26"/>
        <v>-</v>
      </c>
      <c r="L49" s="329">
        <f t="shared" si="26"/>
        <v>12.25</v>
      </c>
      <c r="M49" s="329">
        <f t="shared" si="26"/>
        <v>12.25</v>
      </c>
      <c r="N49" s="329" t="str">
        <f t="shared" si="26"/>
        <v>-</v>
      </c>
      <c r="O49" s="330">
        <f t="shared" si="3"/>
        <v>24.5</v>
      </c>
    </row>
    <row r="50" ht="12.75" customHeight="1">
      <c r="A50" s="320" t="s">
        <v>426</v>
      </c>
      <c r="B50" s="315" t="s">
        <v>403</v>
      </c>
      <c r="C50" s="331" t="s">
        <v>425</v>
      </c>
      <c r="D50" s="332">
        <v>0.25</v>
      </c>
      <c r="E50" s="331" t="s">
        <v>425</v>
      </c>
      <c r="F50" s="331" t="s">
        <v>425</v>
      </c>
      <c r="G50" s="331" t="s">
        <v>425</v>
      </c>
      <c r="H50" s="331" t="s">
        <v>425</v>
      </c>
      <c r="I50" s="329" t="str">
        <f t="shared" ref="I50:N50" si="27">iferror(C50*$B$9, "-")</f>
        <v>-</v>
      </c>
      <c r="J50" s="329">
        <f t="shared" si="27"/>
        <v>3</v>
      </c>
      <c r="K50" s="329" t="str">
        <f t="shared" si="27"/>
        <v>-</v>
      </c>
      <c r="L50" s="329" t="str">
        <f t="shared" si="27"/>
        <v>-</v>
      </c>
      <c r="M50" s="329" t="str">
        <f t="shared" si="27"/>
        <v>-</v>
      </c>
      <c r="N50" s="329" t="str">
        <f t="shared" si="27"/>
        <v>-</v>
      </c>
      <c r="O50" s="330">
        <f t="shared" si="3"/>
        <v>3</v>
      </c>
    </row>
    <row r="51" ht="12.75" customHeight="1">
      <c r="A51" s="320" t="s">
        <v>426</v>
      </c>
      <c r="B51" s="320" t="s">
        <v>189</v>
      </c>
      <c r="C51" s="331" t="s">
        <v>425</v>
      </c>
      <c r="D51" s="332">
        <v>0.25</v>
      </c>
      <c r="E51" s="331" t="s">
        <v>425</v>
      </c>
      <c r="F51" s="331" t="s">
        <v>425</v>
      </c>
      <c r="G51" s="331" t="s">
        <v>425</v>
      </c>
      <c r="H51" s="331" t="s">
        <v>425</v>
      </c>
      <c r="I51" s="329" t="str">
        <f t="shared" ref="I51:N51" si="28">iferror(C51*$B$10, "-")</f>
        <v>-</v>
      </c>
      <c r="J51" s="329">
        <f t="shared" si="28"/>
        <v>3.25</v>
      </c>
      <c r="K51" s="329" t="str">
        <f t="shared" si="28"/>
        <v>-</v>
      </c>
      <c r="L51" s="329" t="str">
        <f t="shared" si="28"/>
        <v>-</v>
      </c>
      <c r="M51" s="329" t="str">
        <f t="shared" si="28"/>
        <v>-</v>
      </c>
      <c r="N51" s="329" t="str">
        <f t="shared" si="28"/>
        <v>-</v>
      </c>
      <c r="O51" s="330">
        <f t="shared" si="3"/>
        <v>3.25</v>
      </c>
    </row>
    <row r="52" ht="12.75" customHeight="1">
      <c r="A52" s="320" t="s">
        <v>426</v>
      </c>
      <c r="B52" s="315" t="s">
        <v>369</v>
      </c>
      <c r="C52" s="331" t="s">
        <v>425</v>
      </c>
      <c r="D52" s="332">
        <v>0.25</v>
      </c>
      <c r="E52" s="331" t="s">
        <v>425</v>
      </c>
      <c r="F52" s="331" t="s">
        <v>425</v>
      </c>
      <c r="G52" s="331" t="s">
        <v>425</v>
      </c>
      <c r="H52" s="331" t="s">
        <v>425</v>
      </c>
      <c r="I52" s="329" t="str">
        <f t="shared" ref="I52:N52" si="29">iferror(C52*$B$11, "-")</f>
        <v>-</v>
      </c>
      <c r="J52" s="329">
        <f t="shared" si="29"/>
        <v>3.75</v>
      </c>
      <c r="K52" s="329" t="str">
        <f t="shared" si="29"/>
        <v>-</v>
      </c>
      <c r="L52" s="329" t="str">
        <f t="shared" si="29"/>
        <v>-</v>
      </c>
      <c r="M52" s="329" t="str">
        <f t="shared" si="29"/>
        <v>-</v>
      </c>
      <c r="N52" s="329" t="str">
        <f t="shared" si="29"/>
        <v>-</v>
      </c>
      <c r="O52" s="330">
        <f t="shared" si="3"/>
        <v>3.75</v>
      </c>
    </row>
    <row r="53" ht="12.75" customHeight="1">
      <c r="A53" s="320" t="s">
        <v>426</v>
      </c>
      <c r="B53" s="315" t="s">
        <v>407</v>
      </c>
      <c r="C53" s="331" t="s">
        <v>425</v>
      </c>
      <c r="D53" s="332">
        <v>0.25</v>
      </c>
      <c r="E53" s="331" t="s">
        <v>425</v>
      </c>
      <c r="F53" s="331" t="s">
        <v>425</v>
      </c>
      <c r="G53" s="331" t="s">
        <v>425</v>
      </c>
      <c r="H53" s="331" t="s">
        <v>425</v>
      </c>
      <c r="I53" s="329" t="str">
        <f t="shared" ref="I53:N53" si="30">iferror(C53*$B$12, "-")</f>
        <v>-</v>
      </c>
      <c r="J53" s="329">
        <f t="shared" si="30"/>
        <v>4</v>
      </c>
      <c r="K53" s="329" t="str">
        <f t="shared" si="30"/>
        <v>-</v>
      </c>
      <c r="L53" s="329" t="str">
        <f t="shared" si="30"/>
        <v>-</v>
      </c>
      <c r="M53" s="329" t="str">
        <f t="shared" si="30"/>
        <v>-</v>
      </c>
      <c r="N53" s="329" t="str">
        <f t="shared" si="30"/>
        <v>-</v>
      </c>
      <c r="O53" s="330">
        <f t="shared" si="3"/>
        <v>4</v>
      </c>
    </row>
    <row r="54" ht="12.75" customHeight="1">
      <c r="A54" s="320" t="s">
        <v>426</v>
      </c>
      <c r="B54" s="315" t="s">
        <v>43</v>
      </c>
      <c r="C54" s="331" t="s">
        <v>425</v>
      </c>
      <c r="D54" s="331" t="s">
        <v>425</v>
      </c>
      <c r="E54" s="331" t="s">
        <v>425</v>
      </c>
      <c r="F54" s="331" t="s">
        <v>425</v>
      </c>
      <c r="G54" s="331" t="s">
        <v>425</v>
      </c>
      <c r="H54" s="331" t="s">
        <v>425</v>
      </c>
      <c r="I54" s="329" t="str">
        <f t="shared" ref="I54:N54" si="31">iferror(C54*$B$13, "-")</f>
        <v>-</v>
      </c>
      <c r="J54" s="329" t="str">
        <f t="shared" si="31"/>
        <v>-</v>
      </c>
      <c r="K54" s="329" t="str">
        <f t="shared" si="31"/>
        <v>-</v>
      </c>
      <c r="L54" s="329" t="str">
        <f t="shared" si="31"/>
        <v>-</v>
      </c>
      <c r="M54" s="329" t="str">
        <f t="shared" si="31"/>
        <v>-</v>
      </c>
      <c r="N54" s="329" t="str">
        <f t="shared" si="31"/>
        <v>-</v>
      </c>
      <c r="O54" s="330">
        <f t="shared" si="3"/>
        <v>0</v>
      </c>
    </row>
    <row r="55" ht="12.75" customHeight="1">
      <c r="A55" s="320" t="s">
        <v>426</v>
      </c>
      <c r="B55" s="315" t="s">
        <v>368</v>
      </c>
      <c r="C55" s="331" t="s">
        <v>425</v>
      </c>
      <c r="D55" s="331" t="s">
        <v>425</v>
      </c>
      <c r="E55" s="331" t="s">
        <v>425</v>
      </c>
      <c r="F55" s="331" t="s">
        <v>425</v>
      </c>
      <c r="G55" s="331" t="s">
        <v>425</v>
      </c>
      <c r="H55" s="331" t="s">
        <v>425</v>
      </c>
      <c r="I55" s="329" t="str">
        <f t="shared" ref="I55:N55" si="32">iferror(C55*$B$14, "-")</f>
        <v>-</v>
      </c>
      <c r="J55" s="329" t="str">
        <f t="shared" si="32"/>
        <v>-</v>
      </c>
      <c r="K55" s="329" t="str">
        <f t="shared" si="32"/>
        <v>-</v>
      </c>
      <c r="L55" s="329" t="str">
        <f t="shared" si="32"/>
        <v>-</v>
      </c>
      <c r="M55" s="329" t="str">
        <f t="shared" si="32"/>
        <v>-</v>
      </c>
      <c r="N55" s="329" t="str">
        <f t="shared" si="32"/>
        <v>-</v>
      </c>
      <c r="O55" s="330">
        <f t="shared" si="3"/>
        <v>0</v>
      </c>
    </row>
    <row r="56" ht="12.75" customHeight="1">
      <c r="A56" s="320" t="s">
        <v>426</v>
      </c>
      <c r="B56" s="320" t="s">
        <v>32</v>
      </c>
      <c r="C56" s="331" t="s">
        <v>425</v>
      </c>
      <c r="D56" s="332">
        <v>0.25</v>
      </c>
      <c r="E56" s="331" t="s">
        <v>425</v>
      </c>
      <c r="F56" s="331" t="s">
        <v>425</v>
      </c>
      <c r="G56" s="331" t="s">
        <v>425</v>
      </c>
      <c r="H56" s="331" t="s">
        <v>425</v>
      </c>
      <c r="I56" s="329" t="str">
        <f t="shared" ref="I56:N56" si="33">iferror(C56*$B$15, "-")</f>
        <v>-</v>
      </c>
      <c r="J56" s="329">
        <f t="shared" si="33"/>
        <v>0.75</v>
      </c>
      <c r="K56" s="329" t="str">
        <f t="shared" si="33"/>
        <v>-</v>
      </c>
      <c r="L56" s="329" t="str">
        <f t="shared" si="33"/>
        <v>-</v>
      </c>
      <c r="M56" s="329" t="str">
        <f t="shared" si="33"/>
        <v>-</v>
      </c>
      <c r="N56" s="329" t="str">
        <f t="shared" si="33"/>
        <v>-</v>
      </c>
      <c r="O56" s="330">
        <f t="shared" si="3"/>
        <v>0.75</v>
      </c>
    </row>
    <row r="57" ht="12.75" customHeight="1">
      <c r="A57" s="320" t="s">
        <v>426</v>
      </c>
      <c r="B57" s="315" t="s">
        <v>134</v>
      </c>
      <c r="C57" s="331" t="s">
        <v>425</v>
      </c>
      <c r="D57" s="331" t="s">
        <v>425</v>
      </c>
      <c r="E57" s="331" t="s">
        <v>425</v>
      </c>
      <c r="F57" s="331" t="s">
        <v>425</v>
      </c>
      <c r="G57" s="331" t="s">
        <v>425</v>
      </c>
      <c r="H57" s="331" t="s">
        <v>425</v>
      </c>
      <c r="I57" s="329" t="str">
        <f t="shared" ref="I57:N57" si="34">iferror(C57*$B$16, "-")</f>
        <v>-</v>
      </c>
      <c r="J57" s="329" t="str">
        <f t="shared" si="34"/>
        <v>-</v>
      </c>
      <c r="K57" s="329" t="str">
        <f t="shared" si="34"/>
        <v>-</v>
      </c>
      <c r="L57" s="329" t="str">
        <f t="shared" si="34"/>
        <v>-</v>
      </c>
      <c r="M57" s="329" t="str">
        <f t="shared" si="34"/>
        <v>-</v>
      </c>
      <c r="N57" s="329" t="str">
        <f t="shared" si="34"/>
        <v>-</v>
      </c>
      <c r="O57" s="330">
        <f t="shared" si="3"/>
        <v>0</v>
      </c>
    </row>
    <row r="58" ht="12.75" customHeight="1">
      <c r="A58" s="320" t="s">
        <v>426</v>
      </c>
      <c r="B58" s="315" t="s">
        <v>412</v>
      </c>
      <c r="C58" s="331" t="s">
        <v>425</v>
      </c>
      <c r="D58" s="331" t="s">
        <v>425</v>
      </c>
      <c r="E58" s="331" t="s">
        <v>425</v>
      </c>
      <c r="F58" s="331" t="s">
        <v>425</v>
      </c>
      <c r="G58" s="331" t="s">
        <v>425</v>
      </c>
      <c r="H58" s="331" t="s">
        <v>425</v>
      </c>
      <c r="I58" s="329" t="str">
        <f t="shared" ref="I58:N58" si="35">iferror(C58*$B$17, "-")</f>
        <v>-</v>
      </c>
      <c r="J58" s="329" t="str">
        <f t="shared" si="35"/>
        <v>-</v>
      </c>
      <c r="K58" s="329" t="str">
        <f t="shared" si="35"/>
        <v>-</v>
      </c>
      <c r="L58" s="329" t="str">
        <f t="shared" si="35"/>
        <v>-</v>
      </c>
      <c r="M58" s="329" t="str">
        <f t="shared" si="35"/>
        <v>-</v>
      </c>
      <c r="N58" s="329" t="str">
        <f t="shared" si="35"/>
        <v>-</v>
      </c>
      <c r="O58" s="330">
        <f t="shared" si="3"/>
        <v>0</v>
      </c>
    </row>
    <row r="59" ht="12.75" customHeight="1">
      <c r="A59" s="320" t="s">
        <v>426</v>
      </c>
      <c r="B59" s="333" t="s">
        <v>49</v>
      </c>
      <c r="C59" s="332">
        <v>0.25</v>
      </c>
      <c r="D59" s="334" t="s">
        <v>425</v>
      </c>
      <c r="E59" s="334" t="s">
        <v>425</v>
      </c>
      <c r="F59" s="334" t="s">
        <v>425</v>
      </c>
      <c r="G59" s="334" t="s">
        <v>425</v>
      </c>
      <c r="H59" s="334" t="s">
        <v>425</v>
      </c>
      <c r="I59" s="329">
        <f t="shared" ref="I59:N59" si="36">iferror(C59*$B$18, "-")</f>
        <v>6</v>
      </c>
      <c r="J59" s="329" t="str">
        <f t="shared" si="36"/>
        <v>-</v>
      </c>
      <c r="K59" s="329" t="str">
        <f t="shared" si="36"/>
        <v>-</v>
      </c>
      <c r="L59" s="329" t="str">
        <f t="shared" si="36"/>
        <v>-</v>
      </c>
      <c r="M59" s="329" t="str">
        <f t="shared" si="36"/>
        <v>-</v>
      </c>
      <c r="N59" s="329" t="str">
        <f t="shared" si="36"/>
        <v>-</v>
      </c>
      <c r="O59" s="329">
        <f t="shared" si="3"/>
        <v>6</v>
      </c>
      <c r="P59" s="335"/>
      <c r="Q59" s="335"/>
      <c r="R59" s="335"/>
      <c r="S59" s="335"/>
      <c r="T59" s="335"/>
      <c r="U59" s="335"/>
      <c r="V59" s="335"/>
      <c r="W59" s="335"/>
      <c r="X59" s="335"/>
      <c r="Y59" s="335"/>
      <c r="Z59" s="335"/>
      <c r="AA59" s="335"/>
      <c r="AB59" s="335"/>
      <c r="AC59" s="335"/>
      <c r="AD59" s="335"/>
      <c r="AE59" s="335"/>
      <c r="AF59" s="335"/>
      <c r="AG59" s="335"/>
      <c r="AH59" s="335"/>
      <c r="AI59" s="335"/>
      <c r="AJ59" s="335"/>
      <c r="AK59" s="335"/>
      <c r="AL59" s="335"/>
      <c r="AM59" s="335"/>
      <c r="AN59" s="335"/>
      <c r="AO59" s="335"/>
      <c r="AP59" s="335"/>
      <c r="AQ59" s="335"/>
      <c r="AR59" s="335"/>
      <c r="AS59" s="335"/>
      <c r="AT59" s="335"/>
    </row>
    <row r="60" ht="12.75" customHeight="1">
      <c r="A60" s="320" t="s">
        <v>426</v>
      </c>
      <c r="B60" s="320" t="s">
        <v>40</v>
      </c>
      <c r="C60" s="332">
        <v>0.25</v>
      </c>
      <c r="D60" s="334" t="s">
        <v>425</v>
      </c>
      <c r="E60" s="332">
        <v>0.25</v>
      </c>
      <c r="F60" s="334" t="s">
        <v>425</v>
      </c>
      <c r="G60" s="334" t="s">
        <v>425</v>
      </c>
      <c r="H60" s="334" t="s">
        <v>425</v>
      </c>
      <c r="I60" s="329">
        <f t="shared" ref="I60:N60" si="37">iferror(C60*$B$19, "-")</f>
        <v>12.25</v>
      </c>
      <c r="J60" s="329" t="str">
        <f t="shared" si="37"/>
        <v>-</v>
      </c>
      <c r="K60" s="329">
        <f t="shared" si="37"/>
        <v>12.25</v>
      </c>
      <c r="L60" s="329" t="str">
        <f t="shared" si="37"/>
        <v>-</v>
      </c>
      <c r="M60" s="329" t="str">
        <f t="shared" si="37"/>
        <v>-</v>
      </c>
      <c r="N60" s="329" t="str">
        <f t="shared" si="37"/>
        <v>-</v>
      </c>
      <c r="O60" s="329">
        <f t="shared" si="3"/>
        <v>24.5</v>
      </c>
    </row>
    <row r="61" ht="12.75" customHeight="1">
      <c r="A61" s="320" t="s">
        <v>426</v>
      </c>
      <c r="B61" s="320" t="s">
        <v>42</v>
      </c>
      <c r="C61" s="332">
        <v>0.25</v>
      </c>
      <c r="D61" s="334" t="s">
        <v>425</v>
      </c>
      <c r="E61" s="332">
        <v>0.25</v>
      </c>
      <c r="F61" s="334" t="s">
        <v>425</v>
      </c>
      <c r="G61" s="334" t="s">
        <v>425</v>
      </c>
      <c r="H61" s="334" t="s">
        <v>425</v>
      </c>
      <c r="I61" s="329">
        <f t="shared" ref="I61:N61" si="38">iferror(C61*$B$20, "-")</f>
        <v>12.25</v>
      </c>
      <c r="J61" s="329" t="str">
        <f t="shared" si="38"/>
        <v>-</v>
      </c>
      <c r="K61" s="329">
        <f t="shared" si="38"/>
        <v>12.25</v>
      </c>
      <c r="L61" s="329" t="str">
        <f t="shared" si="38"/>
        <v>-</v>
      </c>
      <c r="M61" s="329" t="str">
        <f t="shared" si="38"/>
        <v>-</v>
      </c>
      <c r="N61" s="329" t="str">
        <f t="shared" si="38"/>
        <v>-</v>
      </c>
      <c r="O61" s="329">
        <f t="shared" si="3"/>
        <v>24.5</v>
      </c>
    </row>
    <row r="62" ht="12.75" customHeight="1">
      <c r="A62" s="336" t="s">
        <v>426</v>
      </c>
      <c r="B62" s="336" t="s">
        <v>367</v>
      </c>
      <c r="C62" s="337" t="s">
        <v>425</v>
      </c>
      <c r="D62" s="337" t="s">
        <v>425</v>
      </c>
      <c r="E62" s="337" t="s">
        <v>425</v>
      </c>
      <c r="F62" s="337" t="s">
        <v>425</v>
      </c>
      <c r="G62" s="337" t="s">
        <v>425</v>
      </c>
      <c r="H62" s="337" t="s">
        <v>425</v>
      </c>
      <c r="I62" s="338" t="str">
        <f t="shared" ref="I62:N62" si="39">iferror(C62*$B$21, "-")</f>
        <v>-</v>
      </c>
      <c r="J62" s="338" t="str">
        <f t="shared" si="39"/>
        <v>-</v>
      </c>
      <c r="K62" s="338" t="str">
        <f t="shared" si="39"/>
        <v>-</v>
      </c>
      <c r="L62" s="338" t="str">
        <f t="shared" si="39"/>
        <v>-</v>
      </c>
      <c r="M62" s="338" t="str">
        <f t="shared" si="39"/>
        <v>-</v>
      </c>
      <c r="N62" s="338" t="str">
        <f t="shared" si="39"/>
        <v>-</v>
      </c>
      <c r="O62" s="339">
        <f t="shared" si="3"/>
        <v>0</v>
      </c>
    </row>
    <row r="63" ht="12.75" customHeight="1">
      <c r="A63" s="320" t="s">
        <v>427</v>
      </c>
      <c r="B63" s="315" t="s">
        <v>310</v>
      </c>
      <c r="C63" s="327" t="s">
        <v>425</v>
      </c>
      <c r="D63" s="327" t="s">
        <v>425</v>
      </c>
      <c r="E63" s="328">
        <v>0.25</v>
      </c>
      <c r="F63" s="327" t="s">
        <v>425</v>
      </c>
      <c r="G63" s="327" t="s">
        <v>425</v>
      </c>
      <c r="H63" s="327" t="s">
        <v>425</v>
      </c>
      <c r="I63" s="329" t="str">
        <f t="shared" ref="I63:N63" si="40">iferror(C63*$B$3, "-")</f>
        <v>-</v>
      </c>
      <c r="J63" s="329" t="str">
        <f t="shared" si="40"/>
        <v>-</v>
      </c>
      <c r="K63" s="329">
        <f t="shared" si="40"/>
        <v>3.25</v>
      </c>
      <c r="L63" s="329" t="str">
        <f t="shared" si="40"/>
        <v>-</v>
      </c>
      <c r="M63" s="329" t="str">
        <f t="shared" si="40"/>
        <v>-</v>
      </c>
      <c r="N63" s="329" t="str">
        <f t="shared" si="40"/>
        <v>-</v>
      </c>
      <c r="O63" s="340">
        <f t="shared" si="3"/>
        <v>3.25</v>
      </c>
    </row>
    <row r="64" ht="12.75" customHeight="1">
      <c r="A64" s="320" t="s">
        <v>427</v>
      </c>
      <c r="B64" s="315" t="s">
        <v>311</v>
      </c>
      <c r="C64" s="331" t="s">
        <v>425</v>
      </c>
      <c r="D64" s="331" t="s">
        <v>425</v>
      </c>
      <c r="E64" s="332">
        <v>0.25</v>
      </c>
      <c r="F64" s="331" t="s">
        <v>425</v>
      </c>
      <c r="G64" s="331" t="s">
        <v>425</v>
      </c>
      <c r="H64" s="331" t="s">
        <v>425</v>
      </c>
      <c r="I64" s="329" t="str">
        <f t="shared" ref="I64:N64" si="41">iferror(C64*$B$4, "-")</f>
        <v>-</v>
      </c>
      <c r="J64" s="329" t="str">
        <f t="shared" si="41"/>
        <v>-</v>
      </c>
      <c r="K64" s="329">
        <f t="shared" si="41"/>
        <v>3</v>
      </c>
      <c r="L64" s="329" t="str">
        <f t="shared" si="41"/>
        <v>-</v>
      </c>
      <c r="M64" s="329" t="str">
        <f t="shared" si="41"/>
        <v>-</v>
      </c>
      <c r="N64" s="329" t="str">
        <f t="shared" si="41"/>
        <v>-</v>
      </c>
      <c r="O64" s="330">
        <f t="shared" si="3"/>
        <v>3</v>
      </c>
    </row>
    <row r="65" ht="12.75" customHeight="1">
      <c r="A65" s="320" t="s">
        <v>427</v>
      </c>
      <c r="B65" s="315" t="s">
        <v>312</v>
      </c>
      <c r="C65" s="331" t="s">
        <v>425</v>
      </c>
      <c r="D65" s="331" t="s">
        <v>425</v>
      </c>
      <c r="E65" s="332">
        <v>0.25</v>
      </c>
      <c r="F65" s="331" t="s">
        <v>425</v>
      </c>
      <c r="G65" s="331" t="s">
        <v>425</v>
      </c>
      <c r="H65" s="331" t="s">
        <v>425</v>
      </c>
      <c r="I65" s="329" t="str">
        <f t="shared" ref="I65:N65" si="42">iferror(C65*$B$5, "-")</f>
        <v>-</v>
      </c>
      <c r="J65" s="329" t="str">
        <f t="shared" si="42"/>
        <v>-</v>
      </c>
      <c r="K65" s="329">
        <f t="shared" si="42"/>
        <v>3</v>
      </c>
      <c r="L65" s="329" t="str">
        <f t="shared" si="42"/>
        <v>-</v>
      </c>
      <c r="M65" s="329" t="str">
        <f t="shared" si="42"/>
        <v>-</v>
      </c>
      <c r="N65" s="329" t="str">
        <f t="shared" si="42"/>
        <v>-</v>
      </c>
      <c r="O65" s="330">
        <f t="shared" si="3"/>
        <v>3</v>
      </c>
    </row>
    <row r="66" ht="12.75" customHeight="1">
      <c r="A66" s="320" t="s">
        <v>427</v>
      </c>
      <c r="B66" s="320" t="s">
        <v>46</v>
      </c>
      <c r="C66" s="331" t="s">
        <v>425</v>
      </c>
      <c r="D66" s="331" t="s">
        <v>425</v>
      </c>
      <c r="E66" s="332">
        <v>0.25</v>
      </c>
      <c r="F66" s="331" t="s">
        <v>425</v>
      </c>
      <c r="G66" s="331" t="s">
        <v>425</v>
      </c>
      <c r="H66" s="331" t="s">
        <v>425</v>
      </c>
      <c r="I66" s="329" t="str">
        <f t="shared" ref="I66:N66" si="43">iferror(C66*$B$6, "-")</f>
        <v>-</v>
      </c>
      <c r="J66" s="329" t="str">
        <f t="shared" si="43"/>
        <v>-</v>
      </c>
      <c r="K66" s="329">
        <f t="shared" si="43"/>
        <v>3</v>
      </c>
      <c r="L66" s="329" t="str">
        <f t="shared" si="43"/>
        <v>-</v>
      </c>
      <c r="M66" s="329" t="str">
        <f t="shared" si="43"/>
        <v>-</v>
      </c>
      <c r="N66" s="329" t="str">
        <f t="shared" si="43"/>
        <v>-</v>
      </c>
      <c r="O66" s="330">
        <f t="shared" si="3"/>
        <v>3</v>
      </c>
    </row>
    <row r="67" ht="12.75" customHeight="1">
      <c r="A67" s="320" t="s">
        <v>427</v>
      </c>
      <c r="B67" s="315" t="s">
        <v>372</v>
      </c>
      <c r="C67" s="332">
        <v>0.25</v>
      </c>
      <c r="D67" s="331" t="s">
        <v>425</v>
      </c>
      <c r="E67" s="332">
        <v>0.25</v>
      </c>
      <c r="F67" s="332">
        <v>0.25</v>
      </c>
      <c r="G67" s="331" t="s">
        <v>425</v>
      </c>
      <c r="H67" s="331" t="s">
        <v>425</v>
      </c>
      <c r="I67" s="329">
        <f t="shared" ref="I67:N67" si="44">iferror(C67*$B$7, "-")</f>
        <v>12.25</v>
      </c>
      <c r="J67" s="329" t="str">
        <f t="shared" si="44"/>
        <v>-</v>
      </c>
      <c r="K67" s="329">
        <f t="shared" si="44"/>
        <v>12.25</v>
      </c>
      <c r="L67" s="329">
        <f t="shared" si="44"/>
        <v>12.25</v>
      </c>
      <c r="M67" s="329" t="str">
        <f t="shared" si="44"/>
        <v>-</v>
      </c>
      <c r="N67" s="329" t="str">
        <f t="shared" si="44"/>
        <v>-</v>
      </c>
      <c r="O67" s="330">
        <f t="shared" si="3"/>
        <v>36.75</v>
      </c>
    </row>
    <row r="68" ht="12.75" customHeight="1">
      <c r="A68" s="320" t="s">
        <v>427</v>
      </c>
      <c r="B68" s="315" t="s">
        <v>402</v>
      </c>
      <c r="C68" s="331" t="s">
        <v>425</v>
      </c>
      <c r="D68" s="331" t="s">
        <v>425</v>
      </c>
      <c r="E68" s="331" t="s">
        <v>425</v>
      </c>
      <c r="F68" s="332">
        <v>0.25</v>
      </c>
      <c r="G68" s="332">
        <v>0.25</v>
      </c>
      <c r="H68" s="331" t="s">
        <v>425</v>
      </c>
      <c r="I68" s="329" t="str">
        <f t="shared" ref="I68:N68" si="45">iferror(C68*$B$8, "-")</f>
        <v>-</v>
      </c>
      <c r="J68" s="329" t="str">
        <f t="shared" si="45"/>
        <v>-</v>
      </c>
      <c r="K68" s="329" t="str">
        <f t="shared" si="45"/>
        <v>-</v>
      </c>
      <c r="L68" s="329">
        <f t="shared" si="45"/>
        <v>12.25</v>
      </c>
      <c r="M68" s="329">
        <f t="shared" si="45"/>
        <v>12.25</v>
      </c>
      <c r="N68" s="329" t="str">
        <f t="shared" si="45"/>
        <v>-</v>
      </c>
      <c r="O68" s="330">
        <f t="shared" si="3"/>
        <v>24.5</v>
      </c>
    </row>
    <row r="69" ht="12.75" customHeight="1">
      <c r="A69" s="320" t="s">
        <v>427</v>
      </c>
      <c r="B69" s="315" t="s">
        <v>403</v>
      </c>
      <c r="C69" s="331" t="s">
        <v>425</v>
      </c>
      <c r="D69" s="332">
        <v>0.25</v>
      </c>
      <c r="E69" s="331" t="s">
        <v>425</v>
      </c>
      <c r="F69" s="331" t="s">
        <v>425</v>
      </c>
      <c r="G69" s="331" t="s">
        <v>425</v>
      </c>
      <c r="H69" s="331" t="s">
        <v>425</v>
      </c>
      <c r="I69" s="329" t="str">
        <f t="shared" ref="I69:N69" si="46">iferror(C69*$B$9, "-")</f>
        <v>-</v>
      </c>
      <c r="J69" s="329">
        <f t="shared" si="46"/>
        <v>3</v>
      </c>
      <c r="K69" s="329" t="str">
        <f t="shared" si="46"/>
        <v>-</v>
      </c>
      <c r="L69" s="329" t="str">
        <f t="shared" si="46"/>
        <v>-</v>
      </c>
      <c r="M69" s="329" t="str">
        <f t="shared" si="46"/>
        <v>-</v>
      </c>
      <c r="N69" s="329" t="str">
        <f t="shared" si="46"/>
        <v>-</v>
      </c>
      <c r="O69" s="330">
        <f t="shared" si="3"/>
        <v>3</v>
      </c>
    </row>
    <row r="70" ht="12.75" customHeight="1">
      <c r="A70" s="320" t="s">
        <v>427</v>
      </c>
      <c r="B70" s="320" t="s">
        <v>189</v>
      </c>
      <c r="C70" s="331" t="s">
        <v>425</v>
      </c>
      <c r="D70" s="332">
        <v>0.25</v>
      </c>
      <c r="E70" s="331" t="s">
        <v>425</v>
      </c>
      <c r="F70" s="331" t="s">
        <v>425</v>
      </c>
      <c r="G70" s="331" t="s">
        <v>425</v>
      </c>
      <c r="H70" s="331" t="s">
        <v>425</v>
      </c>
      <c r="I70" s="329" t="str">
        <f t="shared" ref="I70:N70" si="47">iferror(C70*$B$10, "-")</f>
        <v>-</v>
      </c>
      <c r="J70" s="329">
        <f t="shared" si="47"/>
        <v>3.25</v>
      </c>
      <c r="K70" s="329" t="str">
        <f t="shared" si="47"/>
        <v>-</v>
      </c>
      <c r="L70" s="329" t="str">
        <f t="shared" si="47"/>
        <v>-</v>
      </c>
      <c r="M70" s="329" t="str">
        <f t="shared" si="47"/>
        <v>-</v>
      </c>
      <c r="N70" s="329" t="str">
        <f t="shared" si="47"/>
        <v>-</v>
      </c>
      <c r="O70" s="330">
        <f t="shared" si="3"/>
        <v>3.25</v>
      </c>
    </row>
    <row r="71" ht="12.75" customHeight="1">
      <c r="A71" s="320" t="s">
        <v>427</v>
      </c>
      <c r="B71" s="315" t="s">
        <v>369</v>
      </c>
      <c r="C71" s="331" t="s">
        <v>425</v>
      </c>
      <c r="D71" s="332">
        <v>0.25</v>
      </c>
      <c r="E71" s="331" t="s">
        <v>425</v>
      </c>
      <c r="F71" s="331" t="s">
        <v>425</v>
      </c>
      <c r="G71" s="331" t="s">
        <v>425</v>
      </c>
      <c r="H71" s="331" t="s">
        <v>425</v>
      </c>
      <c r="I71" s="329" t="str">
        <f t="shared" ref="I71:N71" si="48">iferror(C71*$B$11, "-")</f>
        <v>-</v>
      </c>
      <c r="J71" s="329">
        <f t="shared" si="48"/>
        <v>3.75</v>
      </c>
      <c r="K71" s="329" t="str">
        <f t="shared" si="48"/>
        <v>-</v>
      </c>
      <c r="L71" s="329" t="str">
        <f t="shared" si="48"/>
        <v>-</v>
      </c>
      <c r="M71" s="329" t="str">
        <f t="shared" si="48"/>
        <v>-</v>
      </c>
      <c r="N71" s="329" t="str">
        <f t="shared" si="48"/>
        <v>-</v>
      </c>
      <c r="O71" s="330">
        <f t="shared" si="3"/>
        <v>3.75</v>
      </c>
    </row>
    <row r="72" ht="12.75" customHeight="1">
      <c r="A72" s="320" t="s">
        <v>427</v>
      </c>
      <c r="B72" s="315" t="s">
        <v>407</v>
      </c>
      <c r="C72" s="331" t="s">
        <v>425</v>
      </c>
      <c r="D72" s="332">
        <v>0.25</v>
      </c>
      <c r="E72" s="331" t="s">
        <v>425</v>
      </c>
      <c r="F72" s="331" t="s">
        <v>425</v>
      </c>
      <c r="G72" s="331" t="s">
        <v>425</v>
      </c>
      <c r="H72" s="331" t="s">
        <v>425</v>
      </c>
      <c r="I72" s="329" t="str">
        <f t="shared" ref="I72:N72" si="49">iferror(C72*$B$12, "-")</f>
        <v>-</v>
      </c>
      <c r="J72" s="329">
        <f t="shared" si="49"/>
        <v>4</v>
      </c>
      <c r="K72" s="329" t="str">
        <f t="shared" si="49"/>
        <v>-</v>
      </c>
      <c r="L72" s="329" t="str">
        <f t="shared" si="49"/>
        <v>-</v>
      </c>
      <c r="M72" s="329" t="str">
        <f t="shared" si="49"/>
        <v>-</v>
      </c>
      <c r="N72" s="329" t="str">
        <f t="shared" si="49"/>
        <v>-</v>
      </c>
      <c r="O72" s="330">
        <f t="shared" si="3"/>
        <v>4</v>
      </c>
    </row>
    <row r="73" ht="12.75" customHeight="1">
      <c r="A73" s="320" t="s">
        <v>427</v>
      </c>
      <c r="B73" s="315" t="s">
        <v>43</v>
      </c>
      <c r="C73" s="331" t="s">
        <v>425</v>
      </c>
      <c r="D73" s="331" t="s">
        <v>425</v>
      </c>
      <c r="E73" s="331" t="s">
        <v>425</v>
      </c>
      <c r="F73" s="331" t="s">
        <v>425</v>
      </c>
      <c r="G73" s="331" t="s">
        <v>425</v>
      </c>
      <c r="H73" s="331" t="s">
        <v>425</v>
      </c>
      <c r="I73" s="329" t="str">
        <f t="shared" ref="I73:N73" si="50">iferror(C73*$B$13, "-")</f>
        <v>-</v>
      </c>
      <c r="J73" s="329" t="str">
        <f t="shared" si="50"/>
        <v>-</v>
      </c>
      <c r="K73" s="329" t="str">
        <f t="shared" si="50"/>
        <v>-</v>
      </c>
      <c r="L73" s="329" t="str">
        <f t="shared" si="50"/>
        <v>-</v>
      </c>
      <c r="M73" s="329" t="str">
        <f t="shared" si="50"/>
        <v>-</v>
      </c>
      <c r="N73" s="329" t="str">
        <f t="shared" si="50"/>
        <v>-</v>
      </c>
      <c r="O73" s="330">
        <f t="shared" si="3"/>
        <v>0</v>
      </c>
    </row>
    <row r="74" ht="12.75" customHeight="1">
      <c r="A74" s="320" t="s">
        <v>427</v>
      </c>
      <c r="B74" s="315" t="s">
        <v>368</v>
      </c>
      <c r="C74" s="331" t="s">
        <v>425</v>
      </c>
      <c r="D74" s="331" t="s">
        <v>425</v>
      </c>
      <c r="E74" s="331" t="s">
        <v>425</v>
      </c>
      <c r="F74" s="331" t="s">
        <v>425</v>
      </c>
      <c r="G74" s="331" t="s">
        <v>425</v>
      </c>
      <c r="H74" s="331" t="s">
        <v>425</v>
      </c>
      <c r="I74" s="329" t="str">
        <f t="shared" ref="I74:N74" si="51">iferror(C74*$B$14, "-")</f>
        <v>-</v>
      </c>
      <c r="J74" s="329" t="str">
        <f t="shared" si="51"/>
        <v>-</v>
      </c>
      <c r="K74" s="329" t="str">
        <f t="shared" si="51"/>
        <v>-</v>
      </c>
      <c r="L74" s="329" t="str">
        <f t="shared" si="51"/>
        <v>-</v>
      </c>
      <c r="M74" s="329" t="str">
        <f t="shared" si="51"/>
        <v>-</v>
      </c>
      <c r="N74" s="329" t="str">
        <f t="shared" si="51"/>
        <v>-</v>
      </c>
      <c r="O74" s="330">
        <f t="shared" si="3"/>
        <v>0</v>
      </c>
    </row>
    <row r="75" ht="12.75" customHeight="1">
      <c r="A75" s="320" t="s">
        <v>427</v>
      </c>
      <c r="B75" s="320" t="s">
        <v>32</v>
      </c>
      <c r="C75" s="331" t="s">
        <v>425</v>
      </c>
      <c r="D75" s="332">
        <v>0.25</v>
      </c>
      <c r="E75" s="331" t="s">
        <v>425</v>
      </c>
      <c r="F75" s="331" t="s">
        <v>425</v>
      </c>
      <c r="G75" s="331" t="s">
        <v>425</v>
      </c>
      <c r="H75" s="331" t="s">
        <v>425</v>
      </c>
      <c r="I75" s="329" t="str">
        <f t="shared" ref="I75:N75" si="52">iferror(C75*$B$15, "-")</f>
        <v>-</v>
      </c>
      <c r="J75" s="329">
        <f t="shared" si="52"/>
        <v>0.75</v>
      </c>
      <c r="K75" s="329" t="str">
        <f t="shared" si="52"/>
        <v>-</v>
      </c>
      <c r="L75" s="329" t="str">
        <f t="shared" si="52"/>
        <v>-</v>
      </c>
      <c r="M75" s="329" t="str">
        <f t="shared" si="52"/>
        <v>-</v>
      </c>
      <c r="N75" s="329" t="str">
        <f t="shared" si="52"/>
        <v>-</v>
      </c>
      <c r="O75" s="330">
        <f t="shared" si="3"/>
        <v>0.75</v>
      </c>
    </row>
    <row r="76" ht="12.75" customHeight="1">
      <c r="A76" s="320" t="s">
        <v>427</v>
      </c>
      <c r="B76" s="315" t="s">
        <v>134</v>
      </c>
      <c r="C76" s="331" t="s">
        <v>425</v>
      </c>
      <c r="D76" s="331" t="s">
        <v>425</v>
      </c>
      <c r="E76" s="331" t="s">
        <v>425</v>
      </c>
      <c r="F76" s="331" t="s">
        <v>425</v>
      </c>
      <c r="G76" s="331" t="s">
        <v>425</v>
      </c>
      <c r="H76" s="331" t="s">
        <v>425</v>
      </c>
      <c r="I76" s="329" t="str">
        <f t="shared" ref="I76:N76" si="53">iferror(C76*$B$16, "-")</f>
        <v>-</v>
      </c>
      <c r="J76" s="329" t="str">
        <f t="shared" si="53"/>
        <v>-</v>
      </c>
      <c r="K76" s="329" t="str">
        <f t="shared" si="53"/>
        <v>-</v>
      </c>
      <c r="L76" s="329" t="str">
        <f t="shared" si="53"/>
        <v>-</v>
      </c>
      <c r="M76" s="329" t="str">
        <f t="shared" si="53"/>
        <v>-</v>
      </c>
      <c r="N76" s="329" t="str">
        <f t="shared" si="53"/>
        <v>-</v>
      </c>
      <c r="O76" s="330">
        <f t="shared" si="3"/>
        <v>0</v>
      </c>
    </row>
    <row r="77" ht="12.75" customHeight="1">
      <c r="A77" s="320" t="s">
        <v>427</v>
      </c>
      <c r="B77" s="315" t="s">
        <v>412</v>
      </c>
      <c r="C77" s="331" t="s">
        <v>425</v>
      </c>
      <c r="D77" s="331" t="s">
        <v>425</v>
      </c>
      <c r="E77" s="331" t="s">
        <v>425</v>
      </c>
      <c r="F77" s="331" t="s">
        <v>425</v>
      </c>
      <c r="G77" s="331" t="s">
        <v>425</v>
      </c>
      <c r="H77" s="331" t="s">
        <v>425</v>
      </c>
      <c r="I77" s="329" t="str">
        <f t="shared" ref="I77:N77" si="54">iferror(C77*$B$17, "-")</f>
        <v>-</v>
      </c>
      <c r="J77" s="329" t="str">
        <f t="shared" si="54"/>
        <v>-</v>
      </c>
      <c r="K77" s="329" t="str">
        <f t="shared" si="54"/>
        <v>-</v>
      </c>
      <c r="L77" s="329" t="str">
        <f t="shared" si="54"/>
        <v>-</v>
      </c>
      <c r="M77" s="329" t="str">
        <f t="shared" si="54"/>
        <v>-</v>
      </c>
      <c r="N77" s="329" t="str">
        <f t="shared" si="54"/>
        <v>-</v>
      </c>
      <c r="O77" s="330">
        <f t="shared" si="3"/>
        <v>0</v>
      </c>
    </row>
    <row r="78" ht="12.75" customHeight="1">
      <c r="A78" s="320" t="s">
        <v>427</v>
      </c>
      <c r="B78" s="333" t="s">
        <v>49</v>
      </c>
      <c r="C78" s="332">
        <v>0.25</v>
      </c>
      <c r="D78" s="334" t="s">
        <v>425</v>
      </c>
      <c r="E78" s="334" t="s">
        <v>425</v>
      </c>
      <c r="F78" s="334" t="s">
        <v>425</v>
      </c>
      <c r="G78" s="334" t="s">
        <v>425</v>
      </c>
      <c r="H78" s="334" t="s">
        <v>425</v>
      </c>
      <c r="I78" s="329">
        <f t="shared" ref="I78:N78" si="55">iferror(C78*$B$18, "-")</f>
        <v>6</v>
      </c>
      <c r="J78" s="329" t="str">
        <f t="shared" si="55"/>
        <v>-</v>
      </c>
      <c r="K78" s="329" t="str">
        <f t="shared" si="55"/>
        <v>-</v>
      </c>
      <c r="L78" s="329" t="str">
        <f t="shared" si="55"/>
        <v>-</v>
      </c>
      <c r="M78" s="329" t="str">
        <f t="shared" si="55"/>
        <v>-</v>
      </c>
      <c r="N78" s="329" t="str">
        <f t="shared" si="55"/>
        <v>-</v>
      </c>
      <c r="O78" s="329">
        <f t="shared" si="3"/>
        <v>6</v>
      </c>
    </row>
    <row r="79" ht="12.75" customHeight="1">
      <c r="A79" s="320" t="s">
        <v>427</v>
      </c>
      <c r="B79" s="320" t="s">
        <v>40</v>
      </c>
      <c r="C79" s="332">
        <v>0.25</v>
      </c>
      <c r="D79" s="334" t="s">
        <v>425</v>
      </c>
      <c r="E79" s="332">
        <v>0.25</v>
      </c>
      <c r="F79" s="334" t="s">
        <v>425</v>
      </c>
      <c r="G79" s="334" t="s">
        <v>425</v>
      </c>
      <c r="H79" s="334" t="s">
        <v>425</v>
      </c>
      <c r="I79" s="329">
        <f t="shared" ref="I79:N79" si="56">iferror(C79*$B$19, "-")</f>
        <v>12.25</v>
      </c>
      <c r="J79" s="329" t="str">
        <f t="shared" si="56"/>
        <v>-</v>
      </c>
      <c r="K79" s="329">
        <f t="shared" si="56"/>
        <v>12.25</v>
      </c>
      <c r="L79" s="329" t="str">
        <f t="shared" si="56"/>
        <v>-</v>
      </c>
      <c r="M79" s="329" t="str">
        <f t="shared" si="56"/>
        <v>-</v>
      </c>
      <c r="N79" s="329" t="str">
        <f t="shared" si="56"/>
        <v>-</v>
      </c>
      <c r="O79" s="329">
        <f t="shared" si="3"/>
        <v>24.5</v>
      </c>
    </row>
    <row r="80" ht="12.75" customHeight="1">
      <c r="A80" s="320" t="s">
        <v>427</v>
      </c>
      <c r="B80" s="320" t="s">
        <v>42</v>
      </c>
      <c r="C80" s="332">
        <v>0.25</v>
      </c>
      <c r="D80" s="334" t="s">
        <v>425</v>
      </c>
      <c r="E80" s="332">
        <v>0.25</v>
      </c>
      <c r="F80" s="334" t="s">
        <v>425</v>
      </c>
      <c r="G80" s="334" t="s">
        <v>425</v>
      </c>
      <c r="H80" s="334" t="s">
        <v>425</v>
      </c>
      <c r="I80" s="329">
        <f t="shared" ref="I80:N80" si="57">iferror(C80*$B$20, "-")</f>
        <v>12.25</v>
      </c>
      <c r="J80" s="329" t="str">
        <f t="shared" si="57"/>
        <v>-</v>
      </c>
      <c r="K80" s="329">
        <f t="shared" si="57"/>
        <v>12.25</v>
      </c>
      <c r="L80" s="329" t="str">
        <f t="shared" si="57"/>
        <v>-</v>
      </c>
      <c r="M80" s="329" t="str">
        <f t="shared" si="57"/>
        <v>-</v>
      </c>
      <c r="N80" s="329" t="str">
        <f t="shared" si="57"/>
        <v>-</v>
      </c>
      <c r="O80" s="329">
        <f t="shared" si="3"/>
        <v>24.5</v>
      </c>
    </row>
    <row r="81" ht="12.75" customHeight="1">
      <c r="A81" s="336" t="s">
        <v>427</v>
      </c>
      <c r="B81" s="336" t="s">
        <v>367</v>
      </c>
      <c r="C81" s="337" t="s">
        <v>425</v>
      </c>
      <c r="D81" s="337" t="s">
        <v>425</v>
      </c>
      <c r="E81" s="337" t="s">
        <v>425</v>
      </c>
      <c r="F81" s="337" t="s">
        <v>425</v>
      </c>
      <c r="G81" s="337" t="s">
        <v>425</v>
      </c>
      <c r="H81" s="337" t="s">
        <v>425</v>
      </c>
      <c r="I81" s="338" t="str">
        <f t="shared" ref="I81:N81" si="58">iferror(C81*$B$21, "-")</f>
        <v>-</v>
      </c>
      <c r="J81" s="338" t="str">
        <f t="shared" si="58"/>
        <v>-</v>
      </c>
      <c r="K81" s="338" t="str">
        <f t="shared" si="58"/>
        <v>-</v>
      </c>
      <c r="L81" s="338" t="str">
        <f t="shared" si="58"/>
        <v>-</v>
      </c>
      <c r="M81" s="338" t="str">
        <f t="shared" si="58"/>
        <v>-</v>
      </c>
      <c r="N81" s="338" t="str">
        <f t="shared" si="58"/>
        <v>-</v>
      </c>
      <c r="O81" s="339">
        <f t="shared" si="3"/>
        <v>0</v>
      </c>
    </row>
    <row r="82" ht="12.75" customHeight="1">
      <c r="A82" s="320" t="s">
        <v>428</v>
      </c>
      <c r="B82" s="315" t="s">
        <v>310</v>
      </c>
      <c r="C82" s="327" t="s">
        <v>425</v>
      </c>
      <c r="D82" s="327" t="s">
        <v>425</v>
      </c>
      <c r="E82" s="328">
        <v>0.25</v>
      </c>
      <c r="F82" s="327" t="s">
        <v>425</v>
      </c>
      <c r="G82" s="327" t="s">
        <v>425</v>
      </c>
      <c r="H82" s="327" t="s">
        <v>425</v>
      </c>
      <c r="I82" s="329" t="str">
        <f t="shared" ref="I82:N82" si="59">iferror(C82*$B$3, "-")</f>
        <v>-</v>
      </c>
      <c r="J82" s="329" t="str">
        <f t="shared" si="59"/>
        <v>-</v>
      </c>
      <c r="K82" s="329">
        <f t="shared" si="59"/>
        <v>3.25</v>
      </c>
      <c r="L82" s="329" t="str">
        <f t="shared" si="59"/>
        <v>-</v>
      </c>
      <c r="M82" s="329" t="str">
        <f t="shared" si="59"/>
        <v>-</v>
      </c>
      <c r="N82" s="329" t="str">
        <f t="shared" si="59"/>
        <v>-</v>
      </c>
      <c r="O82" s="340">
        <f t="shared" si="3"/>
        <v>3.25</v>
      </c>
    </row>
    <row r="83" ht="12.75" customHeight="1">
      <c r="A83" s="320" t="s">
        <v>428</v>
      </c>
      <c r="B83" s="315" t="s">
        <v>311</v>
      </c>
      <c r="C83" s="331" t="s">
        <v>425</v>
      </c>
      <c r="D83" s="331" t="s">
        <v>425</v>
      </c>
      <c r="E83" s="332">
        <v>0.25</v>
      </c>
      <c r="F83" s="331" t="s">
        <v>425</v>
      </c>
      <c r="G83" s="331" t="s">
        <v>425</v>
      </c>
      <c r="H83" s="331" t="s">
        <v>425</v>
      </c>
      <c r="I83" s="329" t="str">
        <f t="shared" ref="I83:N83" si="60">iferror(C83*$B$4, "-")</f>
        <v>-</v>
      </c>
      <c r="J83" s="329" t="str">
        <f t="shared" si="60"/>
        <v>-</v>
      </c>
      <c r="K83" s="329">
        <f t="shared" si="60"/>
        <v>3</v>
      </c>
      <c r="L83" s="329" t="str">
        <f t="shared" si="60"/>
        <v>-</v>
      </c>
      <c r="M83" s="329" t="str">
        <f t="shared" si="60"/>
        <v>-</v>
      </c>
      <c r="N83" s="329" t="str">
        <f t="shared" si="60"/>
        <v>-</v>
      </c>
      <c r="O83" s="330">
        <f t="shared" si="3"/>
        <v>3</v>
      </c>
    </row>
    <row r="84" ht="12.75" customHeight="1">
      <c r="A84" s="320" t="s">
        <v>428</v>
      </c>
      <c r="B84" s="315" t="s">
        <v>312</v>
      </c>
      <c r="C84" s="331" t="s">
        <v>425</v>
      </c>
      <c r="D84" s="331" t="s">
        <v>425</v>
      </c>
      <c r="E84" s="332">
        <v>0.25</v>
      </c>
      <c r="F84" s="331" t="s">
        <v>425</v>
      </c>
      <c r="G84" s="331" t="s">
        <v>425</v>
      </c>
      <c r="H84" s="331" t="s">
        <v>425</v>
      </c>
      <c r="I84" s="329" t="str">
        <f t="shared" ref="I84:N84" si="61">iferror(C84*$B$5, "-")</f>
        <v>-</v>
      </c>
      <c r="J84" s="329" t="str">
        <f t="shared" si="61"/>
        <v>-</v>
      </c>
      <c r="K84" s="329">
        <f t="shared" si="61"/>
        <v>3</v>
      </c>
      <c r="L84" s="329" t="str">
        <f t="shared" si="61"/>
        <v>-</v>
      </c>
      <c r="M84" s="329" t="str">
        <f t="shared" si="61"/>
        <v>-</v>
      </c>
      <c r="N84" s="329" t="str">
        <f t="shared" si="61"/>
        <v>-</v>
      </c>
      <c r="O84" s="330">
        <f t="shared" si="3"/>
        <v>3</v>
      </c>
    </row>
    <row r="85" ht="12.75" customHeight="1">
      <c r="A85" s="320" t="s">
        <v>428</v>
      </c>
      <c r="B85" s="320" t="s">
        <v>46</v>
      </c>
      <c r="C85" s="331" t="s">
        <v>425</v>
      </c>
      <c r="D85" s="331" t="s">
        <v>425</v>
      </c>
      <c r="E85" s="332">
        <v>0.25</v>
      </c>
      <c r="F85" s="331" t="s">
        <v>425</v>
      </c>
      <c r="G85" s="331" t="s">
        <v>425</v>
      </c>
      <c r="H85" s="331" t="s">
        <v>425</v>
      </c>
      <c r="I85" s="329" t="str">
        <f t="shared" ref="I85:N85" si="62">iferror(C85*$B$6, "-")</f>
        <v>-</v>
      </c>
      <c r="J85" s="329" t="str">
        <f t="shared" si="62"/>
        <v>-</v>
      </c>
      <c r="K85" s="329">
        <f t="shared" si="62"/>
        <v>3</v>
      </c>
      <c r="L85" s="329" t="str">
        <f t="shared" si="62"/>
        <v>-</v>
      </c>
      <c r="M85" s="329" t="str">
        <f t="shared" si="62"/>
        <v>-</v>
      </c>
      <c r="N85" s="329" t="str">
        <f t="shared" si="62"/>
        <v>-</v>
      </c>
      <c r="O85" s="330">
        <f t="shared" si="3"/>
        <v>3</v>
      </c>
    </row>
    <row r="86" ht="12.75" customHeight="1">
      <c r="A86" s="320" t="s">
        <v>428</v>
      </c>
      <c r="B86" s="315" t="s">
        <v>372</v>
      </c>
      <c r="C86" s="332">
        <v>0.25</v>
      </c>
      <c r="D86" s="331" t="s">
        <v>425</v>
      </c>
      <c r="E86" s="332">
        <v>0.25</v>
      </c>
      <c r="F86" s="332">
        <v>0.25</v>
      </c>
      <c r="G86" s="331" t="s">
        <v>425</v>
      </c>
      <c r="H86" s="331" t="s">
        <v>425</v>
      </c>
      <c r="I86" s="329">
        <f t="shared" ref="I86:N86" si="63">iferror(C86*$B$7, "-")</f>
        <v>12.25</v>
      </c>
      <c r="J86" s="329" t="str">
        <f t="shared" si="63"/>
        <v>-</v>
      </c>
      <c r="K86" s="329">
        <f t="shared" si="63"/>
        <v>12.25</v>
      </c>
      <c r="L86" s="329">
        <f t="shared" si="63"/>
        <v>12.25</v>
      </c>
      <c r="M86" s="329" t="str">
        <f t="shared" si="63"/>
        <v>-</v>
      </c>
      <c r="N86" s="329" t="str">
        <f t="shared" si="63"/>
        <v>-</v>
      </c>
      <c r="O86" s="330">
        <f t="shared" si="3"/>
        <v>36.75</v>
      </c>
    </row>
    <row r="87" ht="12.75" customHeight="1">
      <c r="A87" s="320" t="s">
        <v>428</v>
      </c>
      <c r="B87" s="315" t="s">
        <v>402</v>
      </c>
      <c r="C87" s="331" t="s">
        <v>425</v>
      </c>
      <c r="D87" s="331" t="s">
        <v>425</v>
      </c>
      <c r="E87" s="331" t="s">
        <v>425</v>
      </c>
      <c r="F87" s="332">
        <v>0.25</v>
      </c>
      <c r="G87" s="332">
        <v>0.25</v>
      </c>
      <c r="H87" s="331" t="s">
        <v>425</v>
      </c>
      <c r="I87" s="329" t="str">
        <f t="shared" ref="I87:N87" si="64">iferror(C87*$B$8, "-")</f>
        <v>-</v>
      </c>
      <c r="J87" s="329" t="str">
        <f t="shared" si="64"/>
        <v>-</v>
      </c>
      <c r="K87" s="329" t="str">
        <f t="shared" si="64"/>
        <v>-</v>
      </c>
      <c r="L87" s="329">
        <f t="shared" si="64"/>
        <v>12.25</v>
      </c>
      <c r="M87" s="329">
        <f t="shared" si="64"/>
        <v>12.25</v>
      </c>
      <c r="N87" s="329" t="str">
        <f t="shared" si="64"/>
        <v>-</v>
      </c>
      <c r="O87" s="330">
        <f t="shared" si="3"/>
        <v>24.5</v>
      </c>
    </row>
    <row r="88" ht="12.75" customHeight="1">
      <c r="A88" s="320" t="s">
        <v>428</v>
      </c>
      <c r="B88" s="315" t="s">
        <v>403</v>
      </c>
      <c r="C88" s="331" t="s">
        <v>425</v>
      </c>
      <c r="D88" s="332">
        <v>0.25</v>
      </c>
      <c r="E88" s="331" t="s">
        <v>425</v>
      </c>
      <c r="F88" s="331" t="s">
        <v>425</v>
      </c>
      <c r="G88" s="331" t="s">
        <v>425</v>
      </c>
      <c r="H88" s="331" t="s">
        <v>425</v>
      </c>
      <c r="I88" s="329" t="str">
        <f t="shared" ref="I88:N88" si="65">iferror(C88*$B$9, "-")</f>
        <v>-</v>
      </c>
      <c r="J88" s="329">
        <f t="shared" si="65"/>
        <v>3</v>
      </c>
      <c r="K88" s="329" t="str">
        <f t="shared" si="65"/>
        <v>-</v>
      </c>
      <c r="L88" s="329" t="str">
        <f t="shared" si="65"/>
        <v>-</v>
      </c>
      <c r="M88" s="329" t="str">
        <f t="shared" si="65"/>
        <v>-</v>
      </c>
      <c r="N88" s="329" t="str">
        <f t="shared" si="65"/>
        <v>-</v>
      </c>
      <c r="O88" s="330">
        <f t="shared" si="3"/>
        <v>3</v>
      </c>
    </row>
    <row r="89" ht="12.75" customHeight="1">
      <c r="A89" s="320" t="s">
        <v>428</v>
      </c>
      <c r="B89" s="320" t="s">
        <v>189</v>
      </c>
      <c r="C89" s="331" t="s">
        <v>425</v>
      </c>
      <c r="D89" s="332">
        <v>0.25</v>
      </c>
      <c r="E89" s="331" t="s">
        <v>425</v>
      </c>
      <c r="F89" s="331" t="s">
        <v>425</v>
      </c>
      <c r="G89" s="331" t="s">
        <v>425</v>
      </c>
      <c r="H89" s="331" t="s">
        <v>425</v>
      </c>
      <c r="I89" s="329" t="str">
        <f t="shared" ref="I89:N89" si="66">iferror(C89*$B$10, "-")</f>
        <v>-</v>
      </c>
      <c r="J89" s="329">
        <f t="shared" si="66"/>
        <v>3.25</v>
      </c>
      <c r="K89" s="329" t="str">
        <f t="shared" si="66"/>
        <v>-</v>
      </c>
      <c r="L89" s="329" t="str">
        <f t="shared" si="66"/>
        <v>-</v>
      </c>
      <c r="M89" s="329" t="str">
        <f t="shared" si="66"/>
        <v>-</v>
      </c>
      <c r="N89" s="329" t="str">
        <f t="shared" si="66"/>
        <v>-</v>
      </c>
      <c r="O89" s="330">
        <f t="shared" si="3"/>
        <v>3.25</v>
      </c>
    </row>
    <row r="90" ht="12.75" customHeight="1">
      <c r="A90" s="320" t="s">
        <v>428</v>
      </c>
      <c r="B90" s="315" t="s">
        <v>369</v>
      </c>
      <c r="C90" s="331" t="s">
        <v>425</v>
      </c>
      <c r="D90" s="332">
        <v>0.25</v>
      </c>
      <c r="E90" s="331" t="s">
        <v>425</v>
      </c>
      <c r="F90" s="331" t="s">
        <v>425</v>
      </c>
      <c r="G90" s="331" t="s">
        <v>425</v>
      </c>
      <c r="H90" s="331" t="s">
        <v>425</v>
      </c>
      <c r="I90" s="329" t="str">
        <f t="shared" ref="I90:N90" si="67">iferror(C90*$B$11, "-")</f>
        <v>-</v>
      </c>
      <c r="J90" s="329">
        <f t="shared" si="67"/>
        <v>3.75</v>
      </c>
      <c r="K90" s="329" t="str">
        <f t="shared" si="67"/>
        <v>-</v>
      </c>
      <c r="L90" s="329" t="str">
        <f t="shared" si="67"/>
        <v>-</v>
      </c>
      <c r="M90" s="329" t="str">
        <f t="shared" si="67"/>
        <v>-</v>
      </c>
      <c r="N90" s="329" t="str">
        <f t="shared" si="67"/>
        <v>-</v>
      </c>
      <c r="O90" s="330">
        <f t="shared" si="3"/>
        <v>3.75</v>
      </c>
    </row>
    <row r="91" ht="12.75" customHeight="1">
      <c r="A91" s="320" t="s">
        <v>428</v>
      </c>
      <c r="B91" s="315" t="s">
        <v>407</v>
      </c>
      <c r="C91" s="331" t="s">
        <v>425</v>
      </c>
      <c r="D91" s="332">
        <v>0.25</v>
      </c>
      <c r="E91" s="331" t="s">
        <v>425</v>
      </c>
      <c r="F91" s="331" t="s">
        <v>425</v>
      </c>
      <c r="G91" s="331" t="s">
        <v>425</v>
      </c>
      <c r="H91" s="331" t="s">
        <v>425</v>
      </c>
      <c r="I91" s="329" t="str">
        <f t="shared" ref="I91:N91" si="68">iferror(C91*$B$12, "-")</f>
        <v>-</v>
      </c>
      <c r="J91" s="329">
        <f t="shared" si="68"/>
        <v>4</v>
      </c>
      <c r="K91" s="329" t="str">
        <f t="shared" si="68"/>
        <v>-</v>
      </c>
      <c r="L91" s="329" t="str">
        <f t="shared" si="68"/>
        <v>-</v>
      </c>
      <c r="M91" s="329" t="str">
        <f t="shared" si="68"/>
        <v>-</v>
      </c>
      <c r="N91" s="329" t="str">
        <f t="shared" si="68"/>
        <v>-</v>
      </c>
      <c r="O91" s="330">
        <f t="shared" si="3"/>
        <v>4</v>
      </c>
    </row>
    <row r="92" ht="12.75" customHeight="1">
      <c r="A92" s="320" t="s">
        <v>428</v>
      </c>
      <c r="B92" s="315" t="s">
        <v>43</v>
      </c>
      <c r="C92" s="331" t="s">
        <v>425</v>
      </c>
      <c r="D92" s="331" t="s">
        <v>425</v>
      </c>
      <c r="E92" s="331" t="s">
        <v>425</v>
      </c>
      <c r="F92" s="331" t="s">
        <v>425</v>
      </c>
      <c r="G92" s="331" t="s">
        <v>425</v>
      </c>
      <c r="H92" s="331" t="s">
        <v>425</v>
      </c>
      <c r="I92" s="329" t="str">
        <f t="shared" ref="I92:N92" si="69">iferror(C92*$B$13, "-")</f>
        <v>-</v>
      </c>
      <c r="J92" s="329" t="str">
        <f t="shared" si="69"/>
        <v>-</v>
      </c>
      <c r="K92" s="329" t="str">
        <f t="shared" si="69"/>
        <v>-</v>
      </c>
      <c r="L92" s="329" t="str">
        <f t="shared" si="69"/>
        <v>-</v>
      </c>
      <c r="M92" s="329" t="str">
        <f t="shared" si="69"/>
        <v>-</v>
      </c>
      <c r="N92" s="329" t="str">
        <f t="shared" si="69"/>
        <v>-</v>
      </c>
      <c r="O92" s="330">
        <f t="shared" si="3"/>
        <v>0</v>
      </c>
    </row>
    <row r="93" ht="12.75" customHeight="1">
      <c r="A93" s="320" t="s">
        <v>428</v>
      </c>
      <c r="B93" s="315" t="s">
        <v>368</v>
      </c>
      <c r="C93" s="331" t="s">
        <v>425</v>
      </c>
      <c r="D93" s="331" t="s">
        <v>425</v>
      </c>
      <c r="E93" s="331" t="s">
        <v>425</v>
      </c>
      <c r="F93" s="331" t="s">
        <v>425</v>
      </c>
      <c r="G93" s="331" t="s">
        <v>425</v>
      </c>
      <c r="H93" s="331" t="s">
        <v>425</v>
      </c>
      <c r="I93" s="329" t="str">
        <f t="shared" ref="I93:N93" si="70">iferror(C93*$B$14, "-")</f>
        <v>-</v>
      </c>
      <c r="J93" s="329" t="str">
        <f t="shared" si="70"/>
        <v>-</v>
      </c>
      <c r="K93" s="329" t="str">
        <f t="shared" si="70"/>
        <v>-</v>
      </c>
      <c r="L93" s="329" t="str">
        <f t="shared" si="70"/>
        <v>-</v>
      </c>
      <c r="M93" s="329" t="str">
        <f t="shared" si="70"/>
        <v>-</v>
      </c>
      <c r="N93" s="329" t="str">
        <f t="shared" si="70"/>
        <v>-</v>
      </c>
      <c r="O93" s="330">
        <f t="shared" si="3"/>
        <v>0</v>
      </c>
    </row>
    <row r="94" ht="12.75" customHeight="1">
      <c r="A94" s="320" t="s">
        <v>428</v>
      </c>
      <c r="B94" s="320" t="s">
        <v>32</v>
      </c>
      <c r="C94" s="331" t="s">
        <v>425</v>
      </c>
      <c r="D94" s="332">
        <v>0.25</v>
      </c>
      <c r="E94" s="331" t="s">
        <v>425</v>
      </c>
      <c r="F94" s="331" t="s">
        <v>425</v>
      </c>
      <c r="G94" s="331" t="s">
        <v>425</v>
      </c>
      <c r="H94" s="331" t="s">
        <v>425</v>
      </c>
      <c r="I94" s="329" t="str">
        <f t="shared" ref="I94:N94" si="71">iferror(C94*$B$15, "-")</f>
        <v>-</v>
      </c>
      <c r="J94" s="329">
        <f t="shared" si="71"/>
        <v>0.75</v>
      </c>
      <c r="K94" s="329" t="str">
        <f t="shared" si="71"/>
        <v>-</v>
      </c>
      <c r="L94" s="329" t="str">
        <f t="shared" si="71"/>
        <v>-</v>
      </c>
      <c r="M94" s="329" t="str">
        <f t="shared" si="71"/>
        <v>-</v>
      </c>
      <c r="N94" s="329" t="str">
        <f t="shared" si="71"/>
        <v>-</v>
      </c>
      <c r="O94" s="330">
        <f t="shared" si="3"/>
        <v>0.75</v>
      </c>
    </row>
    <row r="95" ht="12.75" customHeight="1">
      <c r="A95" s="320" t="s">
        <v>428</v>
      </c>
      <c r="B95" s="315" t="s">
        <v>134</v>
      </c>
      <c r="C95" s="331" t="s">
        <v>425</v>
      </c>
      <c r="D95" s="331" t="s">
        <v>425</v>
      </c>
      <c r="E95" s="331" t="s">
        <v>425</v>
      </c>
      <c r="F95" s="331" t="s">
        <v>425</v>
      </c>
      <c r="G95" s="331" t="s">
        <v>425</v>
      </c>
      <c r="H95" s="331" t="s">
        <v>425</v>
      </c>
      <c r="I95" s="329" t="str">
        <f t="shared" ref="I95:N95" si="72">iferror(C95*$B$16, "-")</f>
        <v>-</v>
      </c>
      <c r="J95" s="329" t="str">
        <f t="shared" si="72"/>
        <v>-</v>
      </c>
      <c r="K95" s="329" t="str">
        <f t="shared" si="72"/>
        <v>-</v>
      </c>
      <c r="L95" s="329" t="str">
        <f t="shared" si="72"/>
        <v>-</v>
      </c>
      <c r="M95" s="329" t="str">
        <f t="shared" si="72"/>
        <v>-</v>
      </c>
      <c r="N95" s="329" t="str">
        <f t="shared" si="72"/>
        <v>-</v>
      </c>
      <c r="O95" s="330">
        <f t="shared" si="3"/>
        <v>0</v>
      </c>
    </row>
    <row r="96" ht="12.75" customHeight="1">
      <c r="A96" s="320" t="s">
        <v>428</v>
      </c>
      <c r="B96" s="315" t="s">
        <v>412</v>
      </c>
      <c r="C96" s="331" t="s">
        <v>425</v>
      </c>
      <c r="D96" s="331" t="s">
        <v>425</v>
      </c>
      <c r="E96" s="331" t="s">
        <v>425</v>
      </c>
      <c r="F96" s="331" t="s">
        <v>425</v>
      </c>
      <c r="G96" s="331" t="s">
        <v>425</v>
      </c>
      <c r="H96" s="331" t="s">
        <v>425</v>
      </c>
      <c r="I96" s="329" t="str">
        <f t="shared" ref="I96:N96" si="73">iferror(C96*$B$17, "-")</f>
        <v>-</v>
      </c>
      <c r="J96" s="329" t="str">
        <f t="shared" si="73"/>
        <v>-</v>
      </c>
      <c r="K96" s="329" t="str">
        <f t="shared" si="73"/>
        <v>-</v>
      </c>
      <c r="L96" s="329" t="str">
        <f t="shared" si="73"/>
        <v>-</v>
      </c>
      <c r="M96" s="329" t="str">
        <f t="shared" si="73"/>
        <v>-</v>
      </c>
      <c r="N96" s="329" t="str">
        <f t="shared" si="73"/>
        <v>-</v>
      </c>
      <c r="O96" s="330">
        <f t="shared" si="3"/>
        <v>0</v>
      </c>
    </row>
    <row r="97" ht="12.75" customHeight="1">
      <c r="A97" s="320" t="s">
        <v>428</v>
      </c>
      <c r="B97" s="333" t="s">
        <v>49</v>
      </c>
      <c r="C97" s="332">
        <v>0.25</v>
      </c>
      <c r="D97" s="334" t="s">
        <v>425</v>
      </c>
      <c r="E97" s="334" t="s">
        <v>425</v>
      </c>
      <c r="F97" s="334" t="s">
        <v>425</v>
      </c>
      <c r="G97" s="334" t="s">
        <v>425</v>
      </c>
      <c r="H97" s="334" t="s">
        <v>425</v>
      </c>
      <c r="I97" s="329">
        <f t="shared" ref="I97:N97" si="74">iferror(C97*$B$18, "-")</f>
        <v>6</v>
      </c>
      <c r="J97" s="329" t="str">
        <f t="shared" si="74"/>
        <v>-</v>
      </c>
      <c r="K97" s="329" t="str">
        <f t="shared" si="74"/>
        <v>-</v>
      </c>
      <c r="L97" s="329" t="str">
        <f t="shared" si="74"/>
        <v>-</v>
      </c>
      <c r="M97" s="329" t="str">
        <f t="shared" si="74"/>
        <v>-</v>
      </c>
      <c r="N97" s="329" t="str">
        <f t="shared" si="74"/>
        <v>-</v>
      </c>
      <c r="O97" s="329">
        <f t="shared" si="3"/>
        <v>6</v>
      </c>
    </row>
    <row r="98" ht="12.75" customHeight="1">
      <c r="A98" s="320" t="s">
        <v>428</v>
      </c>
      <c r="B98" s="320" t="s">
        <v>40</v>
      </c>
      <c r="C98" s="332">
        <v>0.25</v>
      </c>
      <c r="D98" s="334" t="s">
        <v>425</v>
      </c>
      <c r="E98" s="332">
        <v>0.25</v>
      </c>
      <c r="F98" s="334" t="s">
        <v>425</v>
      </c>
      <c r="G98" s="334" t="s">
        <v>425</v>
      </c>
      <c r="H98" s="334" t="s">
        <v>425</v>
      </c>
      <c r="I98" s="329">
        <f t="shared" ref="I98:N98" si="75">iferror(C98*$B$19, "-")</f>
        <v>12.25</v>
      </c>
      <c r="J98" s="329" t="str">
        <f t="shared" si="75"/>
        <v>-</v>
      </c>
      <c r="K98" s="329">
        <f t="shared" si="75"/>
        <v>12.25</v>
      </c>
      <c r="L98" s="329" t="str">
        <f t="shared" si="75"/>
        <v>-</v>
      </c>
      <c r="M98" s="329" t="str">
        <f t="shared" si="75"/>
        <v>-</v>
      </c>
      <c r="N98" s="329" t="str">
        <f t="shared" si="75"/>
        <v>-</v>
      </c>
      <c r="O98" s="329">
        <f t="shared" si="3"/>
        <v>24.5</v>
      </c>
    </row>
    <row r="99" ht="12.75" customHeight="1">
      <c r="A99" s="320" t="s">
        <v>428</v>
      </c>
      <c r="B99" s="320" t="s">
        <v>42</v>
      </c>
      <c r="C99" s="332">
        <v>0.25</v>
      </c>
      <c r="D99" s="334" t="s">
        <v>425</v>
      </c>
      <c r="E99" s="332">
        <v>0.25</v>
      </c>
      <c r="F99" s="334" t="s">
        <v>425</v>
      </c>
      <c r="G99" s="334" t="s">
        <v>425</v>
      </c>
      <c r="H99" s="334" t="s">
        <v>425</v>
      </c>
      <c r="I99" s="329">
        <f t="shared" ref="I99:N99" si="76">iferror(C99*$B$20, "-")</f>
        <v>12.25</v>
      </c>
      <c r="J99" s="329" t="str">
        <f t="shared" si="76"/>
        <v>-</v>
      </c>
      <c r="K99" s="329">
        <f t="shared" si="76"/>
        <v>12.25</v>
      </c>
      <c r="L99" s="329" t="str">
        <f t="shared" si="76"/>
        <v>-</v>
      </c>
      <c r="M99" s="329" t="str">
        <f t="shared" si="76"/>
        <v>-</v>
      </c>
      <c r="N99" s="329" t="str">
        <f t="shared" si="76"/>
        <v>-</v>
      </c>
      <c r="O99" s="329">
        <f t="shared" si="3"/>
        <v>24.5</v>
      </c>
    </row>
    <row r="100" ht="12.75" customHeight="1">
      <c r="A100" s="336" t="s">
        <v>428</v>
      </c>
      <c r="B100" s="336" t="s">
        <v>367</v>
      </c>
      <c r="C100" s="337" t="s">
        <v>425</v>
      </c>
      <c r="D100" s="337" t="s">
        <v>425</v>
      </c>
      <c r="E100" s="337" t="s">
        <v>425</v>
      </c>
      <c r="F100" s="337" t="s">
        <v>425</v>
      </c>
      <c r="G100" s="337" t="s">
        <v>425</v>
      </c>
      <c r="H100" s="337" t="s">
        <v>425</v>
      </c>
      <c r="I100" s="338" t="str">
        <f t="shared" ref="I100:N100" si="77">iferror(C100*$B$21, "-")</f>
        <v>-</v>
      </c>
      <c r="J100" s="338" t="str">
        <f t="shared" si="77"/>
        <v>-</v>
      </c>
      <c r="K100" s="338" t="str">
        <f t="shared" si="77"/>
        <v>-</v>
      </c>
      <c r="L100" s="338" t="str">
        <f t="shared" si="77"/>
        <v>-</v>
      </c>
      <c r="M100" s="338" t="str">
        <f t="shared" si="77"/>
        <v>-</v>
      </c>
      <c r="N100" s="338" t="str">
        <f t="shared" si="77"/>
        <v>-</v>
      </c>
      <c r="O100" s="339">
        <f t="shared" si="3"/>
        <v>0</v>
      </c>
    </row>
    <row r="101" ht="12.75" customHeight="1">
      <c r="A101" s="320" t="s">
        <v>429</v>
      </c>
      <c r="B101" s="315" t="s">
        <v>310</v>
      </c>
      <c r="C101" s="327" t="s">
        <v>425</v>
      </c>
      <c r="D101" s="327" t="s">
        <v>425</v>
      </c>
      <c r="E101" s="328">
        <v>0.25</v>
      </c>
      <c r="F101" s="327" t="s">
        <v>425</v>
      </c>
      <c r="G101" s="327" t="s">
        <v>425</v>
      </c>
      <c r="H101" s="327" t="s">
        <v>425</v>
      </c>
      <c r="I101" s="329" t="str">
        <f t="shared" ref="I101:N101" si="78">iferror(C101*$B$3, "-")</f>
        <v>-</v>
      </c>
      <c r="J101" s="329" t="str">
        <f t="shared" si="78"/>
        <v>-</v>
      </c>
      <c r="K101" s="329">
        <f t="shared" si="78"/>
        <v>3.25</v>
      </c>
      <c r="L101" s="329" t="str">
        <f t="shared" si="78"/>
        <v>-</v>
      </c>
      <c r="M101" s="329" t="str">
        <f t="shared" si="78"/>
        <v>-</v>
      </c>
      <c r="N101" s="329" t="str">
        <f t="shared" si="78"/>
        <v>-</v>
      </c>
      <c r="O101" s="340">
        <f t="shared" si="3"/>
        <v>3.25</v>
      </c>
    </row>
    <row r="102" ht="12.75" customHeight="1">
      <c r="A102" s="320" t="s">
        <v>429</v>
      </c>
      <c r="B102" s="315" t="s">
        <v>311</v>
      </c>
      <c r="C102" s="331" t="s">
        <v>425</v>
      </c>
      <c r="D102" s="331" t="s">
        <v>425</v>
      </c>
      <c r="E102" s="332">
        <v>0.25</v>
      </c>
      <c r="F102" s="331" t="s">
        <v>425</v>
      </c>
      <c r="G102" s="331" t="s">
        <v>425</v>
      </c>
      <c r="H102" s="331" t="s">
        <v>425</v>
      </c>
      <c r="I102" s="329" t="str">
        <f t="shared" ref="I102:N102" si="79">iferror(C102*$B$4, "-")</f>
        <v>-</v>
      </c>
      <c r="J102" s="329" t="str">
        <f t="shared" si="79"/>
        <v>-</v>
      </c>
      <c r="K102" s="329">
        <f t="shared" si="79"/>
        <v>3</v>
      </c>
      <c r="L102" s="329" t="str">
        <f t="shared" si="79"/>
        <v>-</v>
      </c>
      <c r="M102" s="329" t="str">
        <f t="shared" si="79"/>
        <v>-</v>
      </c>
      <c r="N102" s="329" t="str">
        <f t="shared" si="79"/>
        <v>-</v>
      </c>
      <c r="O102" s="330">
        <f t="shared" si="3"/>
        <v>3</v>
      </c>
    </row>
    <row r="103" ht="12.75" customHeight="1">
      <c r="A103" s="320" t="s">
        <v>429</v>
      </c>
      <c r="B103" s="315" t="s">
        <v>312</v>
      </c>
      <c r="C103" s="331" t="s">
        <v>425</v>
      </c>
      <c r="D103" s="331" t="s">
        <v>425</v>
      </c>
      <c r="E103" s="332">
        <v>0.25</v>
      </c>
      <c r="F103" s="331" t="s">
        <v>425</v>
      </c>
      <c r="G103" s="331" t="s">
        <v>425</v>
      </c>
      <c r="H103" s="331" t="s">
        <v>425</v>
      </c>
      <c r="I103" s="329" t="str">
        <f t="shared" ref="I103:N103" si="80">iferror(C103*$B$5, "-")</f>
        <v>-</v>
      </c>
      <c r="J103" s="329" t="str">
        <f t="shared" si="80"/>
        <v>-</v>
      </c>
      <c r="K103" s="329">
        <f t="shared" si="80"/>
        <v>3</v>
      </c>
      <c r="L103" s="329" t="str">
        <f t="shared" si="80"/>
        <v>-</v>
      </c>
      <c r="M103" s="329" t="str">
        <f t="shared" si="80"/>
        <v>-</v>
      </c>
      <c r="N103" s="329" t="str">
        <f t="shared" si="80"/>
        <v>-</v>
      </c>
      <c r="O103" s="330">
        <f t="shared" si="3"/>
        <v>3</v>
      </c>
    </row>
    <row r="104" ht="12.75" customHeight="1">
      <c r="A104" s="320" t="s">
        <v>429</v>
      </c>
      <c r="B104" s="320" t="s">
        <v>46</v>
      </c>
      <c r="C104" s="331" t="s">
        <v>425</v>
      </c>
      <c r="D104" s="331" t="s">
        <v>425</v>
      </c>
      <c r="E104" s="332">
        <v>0.25</v>
      </c>
      <c r="F104" s="331" t="s">
        <v>425</v>
      </c>
      <c r="G104" s="331" t="s">
        <v>425</v>
      </c>
      <c r="H104" s="331" t="s">
        <v>425</v>
      </c>
      <c r="I104" s="329" t="str">
        <f t="shared" ref="I104:N104" si="81">iferror(C104*$B$6, "-")</f>
        <v>-</v>
      </c>
      <c r="J104" s="329" t="str">
        <f t="shared" si="81"/>
        <v>-</v>
      </c>
      <c r="K104" s="329">
        <f t="shared" si="81"/>
        <v>3</v>
      </c>
      <c r="L104" s="329" t="str">
        <f t="shared" si="81"/>
        <v>-</v>
      </c>
      <c r="M104" s="329" t="str">
        <f t="shared" si="81"/>
        <v>-</v>
      </c>
      <c r="N104" s="329" t="str">
        <f t="shared" si="81"/>
        <v>-</v>
      </c>
      <c r="O104" s="330">
        <f t="shared" si="3"/>
        <v>3</v>
      </c>
    </row>
    <row r="105" ht="12.75" customHeight="1">
      <c r="A105" s="320" t="s">
        <v>429</v>
      </c>
      <c r="B105" s="315" t="s">
        <v>372</v>
      </c>
      <c r="C105" s="332">
        <v>0.25</v>
      </c>
      <c r="D105" s="331" t="s">
        <v>425</v>
      </c>
      <c r="E105" s="332">
        <v>0.25</v>
      </c>
      <c r="F105" s="332">
        <v>0.25</v>
      </c>
      <c r="G105" s="331" t="s">
        <v>425</v>
      </c>
      <c r="H105" s="331" t="s">
        <v>425</v>
      </c>
      <c r="I105" s="329">
        <f t="shared" ref="I105:N105" si="82">iferror(C105*$B$7, "-")</f>
        <v>12.25</v>
      </c>
      <c r="J105" s="329" t="str">
        <f t="shared" si="82"/>
        <v>-</v>
      </c>
      <c r="K105" s="329">
        <f t="shared" si="82"/>
        <v>12.25</v>
      </c>
      <c r="L105" s="329">
        <f t="shared" si="82"/>
        <v>12.25</v>
      </c>
      <c r="M105" s="329" t="str">
        <f t="shared" si="82"/>
        <v>-</v>
      </c>
      <c r="N105" s="329" t="str">
        <f t="shared" si="82"/>
        <v>-</v>
      </c>
      <c r="O105" s="330">
        <f t="shared" si="3"/>
        <v>36.75</v>
      </c>
    </row>
    <row r="106" ht="12.75" customHeight="1">
      <c r="A106" s="320" t="s">
        <v>429</v>
      </c>
      <c r="B106" s="315" t="s">
        <v>402</v>
      </c>
      <c r="C106" s="331" t="s">
        <v>425</v>
      </c>
      <c r="D106" s="331" t="s">
        <v>425</v>
      </c>
      <c r="E106" s="331" t="s">
        <v>425</v>
      </c>
      <c r="F106" s="332">
        <v>0.25</v>
      </c>
      <c r="G106" s="332">
        <v>0.25</v>
      </c>
      <c r="H106" s="331" t="s">
        <v>425</v>
      </c>
      <c r="I106" s="329" t="str">
        <f t="shared" ref="I106:N106" si="83">iferror(C106*$B$8, "-")</f>
        <v>-</v>
      </c>
      <c r="J106" s="329" t="str">
        <f t="shared" si="83"/>
        <v>-</v>
      </c>
      <c r="K106" s="329" t="str">
        <f t="shared" si="83"/>
        <v>-</v>
      </c>
      <c r="L106" s="329">
        <f t="shared" si="83"/>
        <v>12.25</v>
      </c>
      <c r="M106" s="329">
        <f t="shared" si="83"/>
        <v>12.25</v>
      </c>
      <c r="N106" s="329" t="str">
        <f t="shared" si="83"/>
        <v>-</v>
      </c>
      <c r="O106" s="330">
        <f t="shared" si="3"/>
        <v>24.5</v>
      </c>
    </row>
    <row r="107" ht="12.75" customHeight="1">
      <c r="A107" s="320" t="s">
        <v>429</v>
      </c>
      <c r="B107" s="315" t="s">
        <v>403</v>
      </c>
      <c r="C107" s="331" t="s">
        <v>425</v>
      </c>
      <c r="D107" s="332">
        <v>0.25</v>
      </c>
      <c r="E107" s="331" t="s">
        <v>425</v>
      </c>
      <c r="F107" s="331" t="s">
        <v>425</v>
      </c>
      <c r="G107" s="331" t="s">
        <v>425</v>
      </c>
      <c r="H107" s="331" t="s">
        <v>425</v>
      </c>
      <c r="I107" s="329" t="str">
        <f t="shared" ref="I107:N107" si="84">iferror(C107*$B$9, "-")</f>
        <v>-</v>
      </c>
      <c r="J107" s="329">
        <f t="shared" si="84"/>
        <v>3</v>
      </c>
      <c r="K107" s="329" t="str">
        <f t="shared" si="84"/>
        <v>-</v>
      </c>
      <c r="L107" s="329" t="str">
        <f t="shared" si="84"/>
        <v>-</v>
      </c>
      <c r="M107" s="329" t="str">
        <f t="shared" si="84"/>
        <v>-</v>
      </c>
      <c r="N107" s="329" t="str">
        <f t="shared" si="84"/>
        <v>-</v>
      </c>
      <c r="O107" s="330">
        <f t="shared" si="3"/>
        <v>3</v>
      </c>
    </row>
    <row r="108" ht="12.75" customHeight="1">
      <c r="A108" s="320" t="s">
        <v>429</v>
      </c>
      <c r="B108" s="320" t="s">
        <v>189</v>
      </c>
      <c r="C108" s="331" t="s">
        <v>425</v>
      </c>
      <c r="D108" s="332">
        <v>0.25</v>
      </c>
      <c r="E108" s="331" t="s">
        <v>425</v>
      </c>
      <c r="F108" s="331" t="s">
        <v>425</v>
      </c>
      <c r="G108" s="331" t="s">
        <v>425</v>
      </c>
      <c r="H108" s="331" t="s">
        <v>425</v>
      </c>
      <c r="I108" s="329" t="str">
        <f t="shared" ref="I108:N108" si="85">iferror(C108*$B$10, "-")</f>
        <v>-</v>
      </c>
      <c r="J108" s="329">
        <f t="shared" si="85"/>
        <v>3.25</v>
      </c>
      <c r="K108" s="329" t="str">
        <f t="shared" si="85"/>
        <v>-</v>
      </c>
      <c r="L108" s="329" t="str">
        <f t="shared" si="85"/>
        <v>-</v>
      </c>
      <c r="M108" s="329" t="str">
        <f t="shared" si="85"/>
        <v>-</v>
      </c>
      <c r="N108" s="329" t="str">
        <f t="shared" si="85"/>
        <v>-</v>
      </c>
      <c r="O108" s="330">
        <f t="shared" si="3"/>
        <v>3.25</v>
      </c>
    </row>
    <row r="109" ht="12.75" customHeight="1">
      <c r="A109" s="320" t="s">
        <v>429</v>
      </c>
      <c r="B109" s="315" t="s">
        <v>369</v>
      </c>
      <c r="C109" s="331" t="s">
        <v>425</v>
      </c>
      <c r="D109" s="332">
        <v>0.25</v>
      </c>
      <c r="E109" s="331" t="s">
        <v>425</v>
      </c>
      <c r="F109" s="331" t="s">
        <v>425</v>
      </c>
      <c r="G109" s="331" t="s">
        <v>425</v>
      </c>
      <c r="H109" s="331" t="s">
        <v>425</v>
      </c>
      <c r="I109" s="329" t="str">
        <f t="shared" ref="I109:N109" si="86">iferror(C109*$B$11, "-")</f>
        <v>-</v>
      </c>
      <c r="J109" s="329">
        <f t="shared" si="86"/>
        <v>3.75</v>
      </c>
      <c r="K109" s="329" t="str">
        <f t="shared" si="86"/>
        <v>-</v>
      </c>
      <c r="L109" s="329" t="str">
        <f t="shared" si="86"/>
        <v>-</v>
      </c>
      <c r="M109" s="329" t="str">
        <f t="shared" si="86"/>
        <v>-</v>
      </c>
      <c r="N109" s="329" t="str">
        <f t="shared" si="86"/>
        <v>-</v>
      </c>
      <c r="O109" s="330">
        <f t="shared" si="3"/>
        <v>3.75</v>
      </c>
    </row>
    <row r="110" ht="12.75" customHeight="1">
      <c r="A110" s="320" t="s">
        <v>429</v>
      </c>
      <c r="B110" s="315" t="s">
        <v>407</v>
      </c>
      <c r="C110" s="331" t="s">
        <v>425</v>
      </c>
      <c r="D110" s="332">
        <v>0.25</v>
      </c>
      <c r="E110" s="331" t="s">
        <v>425</v>
      </c>
      <c r="F110" s="331" t="s">
        <v>425</v>
      </c>
      <c r="G110" s="331" t="s">
        <v>425</v>
      </c>
      <c r="H110" s="331" t="s">
        <v>425</v>
      </c>
      <c r="I110" s="329" t="str">
        <f t="shared" ref="I110:N110" si="87">iferror(C110*$B$12, "-")</f>
        <v>-</v>
      </c>
      <c r="J110" s="329">
        <f t="shared" si="87"/>
        <v>4</v>
      </c>
      <c r="K110" s="329" t="str">
        <f t="shared" si="87"/>
        <v>-</v>
      </c>
      <c r="L110" s="329" t="str">
        <f t="shared" si="87"/>
        <v>-</v>
      </c>
      <c r="M110" s="329" t="str">
        <f t="shared" si="87"/>
        <v>-</v>
      </c>
      <c r="N110" s="329" t="str">
        <f t="shared" si="87"/>
        <v>-</v>
      </c>
      <c r="O110" s="330">
        <f t="shared" si="3"/>
        <v>4</v>
      </c>
    </row>
    <row r="111" ht="12.75" customHeight="1">
      <c r="A111" s="320" t="s">
        <v>429</v>
      </c>
      <c r="B111" s="315" t="s">
        <v>43</v>
      </c>
      <c r="C111" s="331" t="s">
        <v>425</v>
      </c>
      <c r="D111" s="331" t="s">
        <v>425</v>
      </c>
      <c r="E111" s="331" t="s">
        <v>425</v>
      </c>
      <c r="F111" s="331" t="s">
        <v>425</v>
      </c>
      <c r="G111" s="331" t="s">
        <v>425</v>
      </c>
      <c r="H111" s="331" t="s">
        <v>425</v>
      </c>
      <c r="I111" s="329" t="str">
        <f t="shared" ref="I111:N111" si="88">iferror(C111*$B$13, "-")</f>
        <v>-</v>
      </c>
      <c r="J111" s="329" t="str">
        <f t="shared" si="88"/>
        <v>-</v>
      </c>
      <c r="K111" s="329" t="str">
        <f t="shared" si="88"/>
        <v>-</v>
      </c>
      <c r="L111" s="329" t="str">
        <f t="shared" si="88"/>
        <v>-</v>
      </c>
      <c r="M111" s="329" t="str">
        <f t="shared" si="88"/>
        <v>-</v>
      </c>
      <c r="N111" s="329" t="str">
        <f t="shared" si="88"/>
        <v>-</v>
      </c>
      <c r="O111" s="330">
        <f t="shared" si="3"/>
        <v>0</v>
      </c>
    </row>
    <row r="112" ht="12.75" customHeight="1">
      <c r="A112" s="320" t="s">
        <v>429</v>
      </c>
      <c r="B112" s="315" t="s">
        <v>368</v>
      </c>
      <c r="C112" s="331" t="s">
        <v>425</v>
      </c>
      <c r="D112" s="331" t="s">
        <v>425</v>
      </c>
      <c r="E112" s="331" t="s">
        <v>425</v>
      </c>
      <c r="F112" s="331" t="s">
        <v>425</v>
      </c>
      <c r="G112" s="331" t="s">
        <v>425</v>
      </c>
      <c r="H112" s="331" t="s">
        <v>425</v>
      </c>
      <c r="I112" s="329" t="str">
        <f t="shared" ref="I112:N112" si="89">iferror(C112*$B$14, "-")</f>
        <v>-</v>
      </c>
      <c r="J112" s="329" t="str">
        <f t="shared" si="89"/>
        <v>-</v>
      </c>
      <c r="K112" s="329" t="str">
        <f t="shared" si="89"/>
        <v>-</v>
      </c>
      <c r="L112" s="329" t="str">
        <f t="shared" si="89"/>
        <v>-</v>
      </c>
      <c r="M112" s="329" t="str">
        <f t="shared" si="89"/>
        <v>-</v>
      </c>
      <c r="N112" s="329" t="str">
        <f t="shared" si="89"/>
        <v>-</v>
      </c>
      <c r="O112" s="330">
        <f t="shared" si="3"/>
        <v>0</v>
      </c>
    </row>
    <row r="113" ht="12.75" customHeight="1">
      <c r="A113" s="320" t="s">
        <v>429</v>
      </c>
      <c r="B113" s="320" t="s">
        <v>32</v>
      </c>
      <c r="C113" s="331" t="s">
        <v>425</v>
      </c>
      <c r="D113" s="332">
        <v>0.25</v>
      </c>
      <c r="E113" s="331" t="s">
        <v>425</v>
      </c>
      <c r="F113" s="331" t="s">
        <v>425</v>
      </c>
      <c r="G113" s="331" t="s">
        <v>425</v>
      </c>
      <c r="H113" s="331" t="s">
        <v>425</v>
      </c>
      <c r="I113" s="329" t="str">
        <f t="shared" ref="I113:N113" si="90">iferror(C113*$B$15, "-")</f>
        <v>-</v>
      </c>
      <c r="J113" s="329">
        <f t="shared" si="90"/>
        <v>0.75</v>
      </c>
      <c r="K113" s="329" t="str">
        <f t="shared" si="90"/>
        <v>-</v>
      </c>
      <c r="L113" s="329" t="str">
        <f t="shared" si="90"/>
        <v>-</v>
      </c>
      <c r="M113" s="329" t="str">
        <f t="shared" si="90"/>
        <v>-</v>
      </c>
      <c r="N113" s="329" t="str">
        <f t="shared" si="90"/>
        <v>-</v>
      </c>
      <c r="O113" s="330">
        <f t="shared" si="3"/>
        <v>0.75</v>
      </c>
    </row>
    <row r="114" ht="12.75" customHeight="1">
      <c r="A114" s="320" t="s">
        <v>429</v>
      </c>
      <c r="B114" s="315" t="s">
        <v>134</v>
      </c>
      <c r="C114" s="331" t="s">
        <v>425</v>
      </c>
      <c r="D114" s="331" t="s">
        <v>425</v>
      </c>
      <c r="E114" s="331" t="s">
        <v>425</v>
      </c>
      <c r="F114" s="331" t="s">
        <v>425</v>
      </c>
      <c r="G114" s="331" t="s">
        <v>425</v>
      </c>
      <c r="H114" s="331" t="s">
        <v>425</v>
      </c>
      <c r="I114" s="329" t="str">
        <f t="shared" ref="I114:N114" si="91">iferror(C114*$B$16, "-")</f>
        <v>-</v>
      </c>
      <c r="J114" s="329" t="str">
        <f t="shared" si="91"/>
        <v>-</v>
      </c>
      <c r="K114" s="329" t="str">
        <f t="shared" si="91"/>
        <v>-</v>
      </c>
      <c r="L114" s="329" t="str">
        <f t="shared" si="91"/>
        <v>-</v>
      </c>
      <c r="M114" s="329" t="str">
        <f t="shared" si="91"/>
        <v>-</v>
      </c>
      <c r="N114" s="329" t="str">
        <f t="shared" si="91"/>
        <v>-</v>
      </c>
      <c r="O114" s="330">
        <f t="shared" si="3"/>
        <v>0</v>
      </c>
    </row>
    <row r="115" ht="12.75" customHeight="1">
      <c r="A115" s="320" t="s">
        <v>429</v>
      </c>
      <c r="B115" s="315" t="s">
        <v>412</v>
      </c>
      <c r="C115" s="331" t="s">
        <v>425</v>
      </c>
      <c r="D115" s="331" t="s">
        <v>425</v>
      </c>
      <c r="E115" s="331" t="s">
        <v>425</v>
      </c>
      <c r="F115" s="331" t="s">
        <v>425</v>
      </c>
      <c r="G115" s="331" t="s">
        <v>425</v>
      </c>
      <c r="H115" s="331" t="s">
        <v>425</v>
      </c>
      <c r="I115" s="329" t="str">
        <f t="shared" ref="I115:N115" si="92">iferror(C115*$B$17, "-")</f>
        <v>-</v>
      </c>
      <c r="J115" s="329" t="str">
        <f t="shared" si="92"/>
        <v>-</v>
      </c>
      <c r="K115" s="329" t="str">
        <f t="shared" si="92"/>
        <v>-</v>
      </c>
      <c r="L115" s="329" t="str">
        <f t="shared" si="92"/>
        <v>-</v>
      </c>
      <c r="M115" s="329" t="str">
        <f t="shared" si="92"/>
        <v>-</v>
      </c>
      <c r="N115" s="329" t="str">
        <f t="shared" si="92"/>
        <v>-</v>
      </c>
      <c r="O115" s="330">
        <f t="shared" si="3"/>
        <v>0</v>
      </c>
    </row>
    <row r="116" ht="12.75" customHeight="1">
      <c r="A116" s="320" t="s">
        <v>429</v>
      </c>
      <c r="B116" s="333" t="s">
        <v>49</v>
      </c>
      <c r="C116" s="332">
        <v>0.25</v>
      </c>
      <c r="D116" s="334" t="s">
        <v>425</v>
      </c>
      <c r="E116" s="334" t="s">
        <v>425</v>
      </c>
      <c r="F116" s="334" t="s">
        <v>425</v>
      </c>
      <c r="G116" s="334" t="s">
        <v>425</v>
      </c>
      <c r="H116" s="334" t="s">
        <v>425</v>
      </c>
      <c r="I116" s="329">
        <f t="shared" ref="I116:N116" si="93">iferror(C116*$B$18, "-")</f>
        <v>6</v>
      </c>
      <c r="J116" s="329" t="str">
        <f t="shared" si="93"/>
        <v>-</v>
      </c>
      <c r="K116" s="329" t="str">
        <f t="shared" si="93"/>
        <v>-</v>
      </c>
      <c r="L116" s="329" t="str">
        <f t="shared" si="93"/>
        <v>-</v>
      </c>
      <c r="M116" s="329" t="str">
        <f t="shared" si="93"/>
        <v>-</v>
      </c>
      <c r="N116" s="329" t="str">
        <f t="shared" si="93"/>
        <v>-</v>
      </c>
      <c r="O116" s="329">
        <f t="shared" si="3"/>
        <v>6</v>
      </c>
    </row>
    <row r="117" ht="12.75" customHeight="1">
      <c r="A117" s="320" t="s">
        <v>429</v>
      </c>
      <c r="B117" s="320" t="s">
        <v>40</v>
      </c>
      <c r="C117" s="332">
        <v>0.25</v>
      </c>
      <c r="D117" s="334" t="s">
        <v>425</v>
      </c>
      <c r="E117" s="332">
        <v>0.25</v>
      </c>
      <c r="F117" s="334" t="s">
        <v>425</v>
      </c>
      <c r="G117" s="334" t="s">
        <v>425</v>
      </c>
      <c r="H117" s="334" t="s">
        <v>425</v>
      </c>
      <c r="I117" s="329">
        <f t="shared" ref="I117:N117" si="94">iferror(C117*$B$19, "-")</f>
        <v>12.25</v>
      </c>
      <c r="J117" s="329" t="str">
        <f t="shared" si="94"/>
        <v>-</v>
      </c>
      <c r="K117" s="329">
        <f t="shared" si="94"/>
        <v>12.25</v>
      </c>
      <c r="L117" s="329" t="str">
        <f t="shared" si="94"/>
        <v>-</v>
      </c>
      <c r="M117" s="329" t="str">
        <f t="shared" si="94"/>
        <v>-</v>
      </c>
      <c r="N117" s="329" t="str">
        <f t="shared" si="94"/>
        <v>-</v>
      </c>
      <c r="O117" s="329">
        <f t="shared" si="3"/>
        <v>24.5</v>
      </c>
    </row>
    <row r="118" ht="12.75" customHeight="1">
      <c r="A118" s="320" t="s">
        <v>429</v>
      </c>
      <c r="B118" s="320" t="s">
        <v>42</v>
      </c>
      <c r="C118" s="332">
        <v>0.25</v>
      </c>
      <c r="D118" s="334" t="s">
        <v>425</v>
      </c>
      <c r="E118" s="332">
        <v>0.25</v>
      </c>
      <c r="F118" s="334" t="s">
        <v>425</v>
      </c>
      <c r="G118" s="334" t="s">
        <v>425</v>
      </c>
      <c r="H118" s="334" t="s">
        <v>425</v>
      </c>
      <c r="I118" s="329">
        <f t="shared" ref="I118:N118" si="95">iferror(C118*$B$20, "-")</f>
        <v>12.25</v>
      </c>
      <c r="J118" s="329" t="str">
        <f t="shared" si="95"/>
        <v>-</v>
      </c>
      <c r="K118" s="329">
        <f t="shared" si="95"/>
        <v>12.25</v>
      </c>
      <c r="L118" s="329" t="str">
        <f t="shared" si="95"/>
        <v>-</v>
      </c>
      <c r="M118" s="329" t="str">
        <f t="shared" si="95"/>
        <v>-</v>
      </c>
      <c r="N118" s="329" t="str">
        <f t="shared" si="95"/>
        <v>-</v>
      </c>
      <c r="O118" s="329">
        <f t="shared" si="3"/>
        <v>24.5</v>
      </c>
    </row>
    <row r="119" ht="12.75" customHeight="1">
      <c r="A119" s="336" t="s">
        <v>429</v>
      </c>
      <c r="B119" s="336" t="s">
        <v>367</v>
      </c>
      <c r="C119" s="337" t="s">
        <v>425</v>
      </c>
      <c r="D119" s="337" t="s">
        <v>425</v>
      </c>
      <c r="E119" s="337" t="s">
        <v>425</v>
      </c>
      <c r="F119" s="337" t="s">
        <v>425</v>
      </c>
      <c r="G119" s="337" t="s">
        <v>425</v>
      </c>
      <c r="H119" s="337" t="s">
        <v>425</v>
      </c>
      <c r="I119" s="338" t="str">
        <f t="shared" ref="I119:N119" si="96">iferror(C119*$B$21, "-")</f>
        <v>-</v>
      </c>
      <c r="J119" s="338" t="str">
        <f t="shared" si="96"/>
        <v>-</v>
      </c>
      <c r="K119" s="338" t="str">
        <f t="shared" si="96"/>
        <v>-</v>
      </c>
      <c r="L119" s="338" t="str">
        <f t="shared" si="96"/>
        <v>-</v>
      </c>
      <c r="M119" s="338" t="str">
        <f t="shared" si="96"/>
        <v>-</v>
      </c>
      <c r="N119" s="338" t="str">
        <f t="shared" si="96"/>
        <v>-</v>
      </c>
      <c r="O119" s="339">
        <f t="shared" si="3"/>
        <v>0</v>
      </c>
    </row>
    <row r="120" ht="12.75" customHeight="1">
      <c r="A120" s="320" t="s">
        <v>430</v>
      </c>
      <c r="B120" s="315" t="s">
        <v>310</v>
      </c>
      <c r="C120" s="327" t="s">
        <v>425</v>
      </c>
      <c r="D120" s="327" t="s">
        <v>425</v>
      </c>
      <c r="E120" s="328">
        <v>0.25</v>
      </c>
      <c r="F120" s="327" t="s">
        <v>425</v>
      </c>
      <c r="G120" s="327" t="s">
        <v>425</v>
      </c>
      <c r="H120" s="327" t="s">
        <v>425</v>
      </c>
      <c r="I120" s="329" t="str">
        <f t="shared" ref="I120:N120" si="97">iferror(C120*$B$3, "-")</f>
        <v>-</v>
      </c>
      <c r="J120" s="329" t="str">
        <f t="shared" si="97"/>
        <v>-</v>
      </c>
      <c r="K120" s="329">
        <f t="shared" si="97"/>
        <v>3.25</v>
      </c>
      <c r="L120" s="329" t="str">
        <f t="shared" si="97"/>
        <v>-</v>
      </c>
      <c r="M120" s="329" t="str">
        <f t="shared" si="97"/>
        <v>-</v>
      </c>
      <c r="N120" s="329" t="str">
        <f t="shared" si="97"/>
        <v>-</v>
      </c>
      <c r="O120" s="340">
        <f t="shared" si="3"/>
        <v>3.25</v>
      </c>
    </row>
    <row r="121" ht="12.75" customHeight="1">
      <c r="A121" s="320" t="s">
        <v>430</v>
      </c>
      <c r="B121" s="315" t="s">
        <v>311</v>
      </c>
      <c r="C121" s="331" t="s">
        <v>425</v>
      </c>
      <c r="D121" s="331" t="s">
        <v>425</v>
      </c>
      <c r="E121" s="332">
        <v>0.25</v>
      </c>
      <c r="F121" s="331" t="s">
        <v>425</v>
      </c>
      <c r="G121" s="331" t="s">
        <v>425</v>
      </c>
      <c r="H121" s="331" t="s">
        <v>425</v>
      </c>
      <c r="I121" s="329" t="str">
        <f t="shared" ref="I121:N121" si="98">iferror(C121*$B$4, "-")</f>
        <v>-</v>
      </c>
      <c r="J121" s="329" t="str">
        <f t="shared" si="98"/>
        <v>-</v>
      </c>
      <c r="K121" s="329">
        <f t="shared" si="98"/>
        <v>3</v>
      </c>
      <c r="L121" s="329" t="str">
        <f t="shared" si="98"/>
        <v>-</v>
      </c>
      <c r="M121" s="329" t="str">
        <f t="shared" si="98"/>
        <v>-</v>
      </c>
      <c r="N121" s="329" t="str">
        <f t="shared" si="98"/>
        <v>-</v>
      </c>
      <c r="O121" s="330">
        <f t="shared" si="3"/>
        <v>3</v>
      </c>
    </row>
    <row r="122" ht="12.75" customHeight="1">
      <c r="A122" s="320" t="s">
        <v>430</v>
      </c>
      <c r="B122" s="315" t="s">
        <v>312</v>
      </c>
      <c r="C122" s="331" t="s">
        <v>425</v>
      </c>
      <c r="D122" s="331" t="s">
        <v>425</v>
      </c>
      <c r="E122" s="332">
        <v>0.25</v>
      </c>
      <c r="F122" s="331" t="s">
        <v>425</v>
      </c>
      <c r="G122" s="331" t="s">
        <v>425</v>
      </c>
      <c r="H122" s="331" t="s">
        <v>425</v>
      </c>
      <c r="I122" s="329" t="str">
        <f t="shared" ref="I122:N122" si="99">iferror(C122*$B$5, "-")</f>
        <v>-</v>
      </c>
      <c r="J122" s="329" t="str">
        <f t="shared" si="99"/>
        <v>-</v>
      </c>
      <c r="K122" s="329">
        <f t="shared" si="99"/>
        <v>3</v>
      </c>
      <c r="L122" s="329" t="str">
        <f t="shared" si="99"/>
        <v>-</v>
      </c>
      <c r="M122" s="329" t="str">
        <f t="shared" si="99"/>
        <v>-</v>
      </c>
      <c r="N122" s="329" t="str">
        <f t="shared" si="99"/>
        <v>-</v>
      </c>
      <c r="O122" s="330">
        <f t="shared" si="3"/>
        <v>3</v>
      </c>
    </row>
    <row r="123" ht="12.75" customHeight="1">
      <c r="A123" s="320" t="s">
        <v>430</v>
      </c>
      <c r="B123" s="320" t="s">
        <v>46</v>
      </c>
      <c r="C123" s="331" t="s">
        <v>425</v>
      </c>
      <c r="D123" s="331" t="s">
        <v>425</v>
      </c>
      <c r="E123" s="332">
        <v>0.25</v>
      </c>
      <c r="F123" s="331" t="s">
        <v>425</v>
      </c>
      <c r="G123" s="331" t="s">
        <v>425</v>
      </c>
      <c r="H123" s="331" t="s">
        <v>425</v>
      </c>
      <c r="I123" s="329" t="str">
        <f t="shared" ref="I123:N123" si="100">iferror(C123*$B$6, "-")</f>
        <v>-</v>
      </c>
      <c r="J123" s="329" t="str">
        <f t="shared" si="100"/>
        <v>-</v>
      </c>
      <c r="K123" s="329">
        <f t="shared" si="100"/>
        <v>3</v>
      </c>
      <c r="L123" s="329" t="str">
        <f t="shared" si="100"/>
        <v>-</v>
      </c>
      <c r="M123" s="329" t="str">
        <f t="shared" si="100"/>
        <v>-</v>
      </c>
      <c r="N123" s="329" t="str">
        <f t="shared" si="100"/>
        <v>-</v>
      </c>
      <c r="O123" s="330">
        <f t="shared" si="3"/>
        <v>3</v>
      </c>
    </row>
    <row r="124" ht="12.75" customHeight="1">
      <c r="A124" s="320" t="s">
        <v>430</v>
      </c>
      <c r="B124" s="315" t="s">
        <v>372</v>
      </c>
      <c r="C124" s="332">
        <v>0.25</v>
      </c>
      <c r="D124" s="331" t="s">
        <v>425</v>
      </c>
      <c r="E124" s="332">
        <v>0.25</v>
      </c>
      <c r="F124" s="332">
        <v>0.25</v>
      </c>
      <c r="G124" s="331" t="s">
        <v>425</v>
      </c>
      <c r="H124" s="331" t="s">
        <v>425</v>
      </c>
      <c r="I124" s="329">
        <f t="shared" ref="I124:N124" si="101">iferror(C124*$B$7, "-")</f>
        <v>12.25</v>
      </c>
      <c r="J124" s="329" t="str">
        <f t="shared" si="101"/>
        <v>-</v>
      </c>
      <c r="K124" s="329">
        <f t="shared" si="101"/>
        <v>12.25</v>
      </c>
      <c r="L124" s="329">
        <f t="shared" si="101"/>
        <v>12.25</v>
      </c>
      <c r="M124" s="329" t="str">
        <f t="shared" si="101"/>
        <v>-</v>
      </c>
      <c r="N124" s="329" t="str">
        <f t="shared" si="101"/>
        <v>-</v>
      </c>
      <c r="O124" s="330">
        <f t="shared" si="3"/>
        <v>36.75</v>
      </c>
    </row>
    <row r="125" ht="12.75" customHeight="1">
      <c r="A125" s="320" t="s">
        <v>430</v>
      </c>
      <c r="B125" s="315" t="s">
        <v>402</v>
      </c>
      <c r="C125" s="331" t="s">
        <v>425</v>
      </c>
      <c r="D125" s="331" t="s">
        <v>425</v>
      </c>
      <c r="E125" s="331" t="s">
        <v>425</v>
      </c>
      <c r="F125" s="332">
        <v>0.25</v>
      </c>
      <c r="G125" s="332">
        <v>0.25</v>
      </c>
      <c r="H125" s="331" t="s">
        <v>425</v>
      </c>
      <c r="I125" s="329" t="str">
        <f t="shared" ref="I125:N125" si="102">iferror(C125*$B$8, "-")</f>
        <v>-</v>
      </c>
      <c r="J125" s="329" t="str">
        <f t="shared" si="102"/>
        <v>-</v>
      </c>
      <c r="K125" s="329" t="str">
        <f t="shared" si="102"/>
        <v>-</v>
      </c>
      <c r="L125" s="329">
        <f t="shared" si="102"/>
        <v>12.25</v>
      </c>
      <c r="M125" s="329">
        <f t="shared" si="102"/>
        <v>12.25</v>
      </c>
      <c r="N125" s="329" t="str">
        <f t="shared" si="102"/>
        <v>-</v>
      </c>
      <c r="O125" s="330">
        <f t="shared" si="3"/>
        <v>24.5</v>
      </c>
    </row>
    <row r="126" ht="12.75" customHeight="1">
      <c r="A126" s="320" t="s">
        <v>430</v>
      </c>
      <c r="B126" s="315" t="s">
        <v>403</v>
      </c>
      <c r="C126" s="331" t="s">
        <v>425</v>
      </c>
      <c r="D126" s="332">
        <v>0.25</v>
      </c>
      <c r="E126" s="331" t="s">
        <v>425</v>
      </c>
      <c r="F126" s="331" t="s">
        <v>425</v>
      </c>
      <c r="G126" s="331" t="s">
        <v>425</v>
      </c>
      <c r="H126" s="331" t="s">
        <v>425</v>
      </c>
      <c r="I126" s="329" t="str">
        <f t="shared" ref="I126:N126" si="103">iferror(C126*$B$9, "-")</f>
        <v>-</v>
      </c>
      <c r="J126" s="329">
        <f t="shared" si="103"/>
        <v>3</v>
      </c>
      <c r="K126" s="329" t="str">
        <f t="shared" si="103"/>
        <v>-</v>
      </c>
      <c r="L126" s="329" t="str">
        <f t="shared" si="103"/>
        <v>-</v>
      </c>
      <c r="M126" s="329" t="str">
        <f t="shared" si="103"/>
        <v>-</v>
      </c>
      <c r="N126" s="329" t="str">
        <f t="shared" si="103"/>
        <v>-</v>
      </c>
      <c r="O126" s="330">
        <f t="shared" si="3"/>
        <v>3</v>
      </c>
    </row>
    <row r="127" ht="12.75" customHeight="1">
      <c r="A127" s="320" t="s">
        <v>430</v>
      </c>
      <c r="B127" s="320" t="s">
        <v>189</v>
      </c>
      <c r="C127" s="331" t="s">
        <v>425</v>
      </c>
      <c r="D127" s="332">
        <v>0.25</v>
      </c>
      <c r="E127" s="331" t="s">
        <v>425</v>
      </c>
      <c r="F127" s="331" t="s">
        <v>425</v>
      </c>
      <c r="G127" s="331" t="s">
        <v>425</v>
      </c>
      <c r="H127" s="331" t="s">
        <v>425</v>
      </c>
      <c r="I127" s="329" t="str">
        <f t="shared" ref="I127:N127" si="104">iferror(C127*$B$10, "-")</f>
        <v>-</v>
      </c>
      <c r="J127" s="329">
        <f t="shared" si="104"/>
        <v>3.25</v>
      </c>
      <c r="K127" s="329" t="str">
        <f t="shared" si="104"/>
        <v>-</v>
      </c>
      <c r="L127" s="329" t="str">
        <f t="shared" si="104"/>
        <v>-</v>
      </c>
      <c r="M127" s="329" t="str">
        <f t="shared" si="104"/>
        <v>-</v>
      </c>
      <c r="N127" s="329" t="str">
        <f t="shared" si="104"/>
        <v>-</v>
      </c>
      <c r="O127" s="330">
        <f t="shared" si="3"/>
        <v>3.25</v>
      </c>
    </row>
    <row r="128" ht="12.75" customHeight="1">
      <c r="A128" s="320" t="s">
        <v>430</v>
      </c>
      <c r="B128" s="315" t="s">
        <v>369</v>
      </c>
      <c r="C128" s="331" t="s">
        <v>425</v>
      </c>
      <c r="D128" s="332">
        <v>0.25</v>
      </c>
      <c r="E128" s="331" t="s">
        <v>425</v>
      </c>
      <c r="F128" s="331" t="s">
        <v>425</v>
      </c>
      <c r="G128" s="331" t="s">
        <v>425</v>
      </c>
      <c r="H128" s="331" t="s">
        <v>425</v>
      </c>
      <c r="I128" s="329" t="str">
        <f t="shared" ref="I128:N128" si="105">iferror(C128*$B$11, "-")</f>
        <v>-</v>
      </c>
      <c r="J128" s="329">
        <f t="shared" si="105"/>
        <v>3.75</v>
      </c>
      <c r="K128" s="329" t="str">
        <f t="shared" si="105"/>
        <v>-</v>
      </c>
      <c r="L128" s="329" t="str">
        <f t="shared" si="105"/>
        <v>-</v>
      </c>
      <c r="M128" s="329" t="str">
        <f t="shared" si="105"/>
        <v>-</v>
      </c>
      <c r="N128" s="329" t="str">
        <f t="shared" si="105"/>
        <v>-</v>
      </c>
      <c r="O128" s="330">
        <f t="shared" si="3"/>
        <v>3.75</v>
      </c>
    </row>
    <row r="129" ht="12.75" customHeight="1">
      <c r="A129" s="320" t="s">
        <v>430</v>
      </c>
      <c r="B129" s="315" t="s">
        <v>407</v>
      </c>
      <c r="C129" s="331" t="s">
        <v>425</v>
      </c>
      <c r="D129" s="332">
        <v>0.25</v>
      </c>
      <c r="E129" s="331" t="s">
        <v>425</v>
      </c>
      <c r="F129" s="331" t="s">
        <v>425</v>
      </c>
      <c r="G129" s="331" t="s">
        <v>425</v>
      </c>
      <c r="H129" s="331" t="s">
        <v>425</v>
      </c>
      <c r="I129" s="329" t="str">
        <f t="shared" ref="I129:N129" si="106">iferror(C129*$B$12, "-")</f>
        <v>-</v>
      </c>
      <c r="J129" s="329">
        <f t="shared" si="106"/>
        <v>4</v>
      </c>
      <c r="K129" s="329" t="str">
        <f t="shared" si="106"/>
        <v>-</v>
      </c>
      <c r="L129" s="329" t="str">
        <f t="shared" si="106"/>
        <v>-</v>
      </c>
      <c r="M129" s="329" t="str">
        <f t="shared" si="106"/>
        <v>-</v>
      </c>
      <c r="N129" s="329" t="str">
        <f t="shared" si="106"/>
        <v>-</v>
      </c>
      <c r="O129" s="330">
        <f t="shared" si="3"/>
        <v>4</v>
      </c>
    </row>
    <row r="130" ht="12.75" customHeight="1">
      <c r="A130" s="320" t="s">
        <v>430</v>
      </c>
      <c r="B130" s="315" t="s">
        <v>43</v>
      </c>
      <c r="C130" s="331" t="s">
        <v>425</v>
      </c>
      <c r="D130" s="331" t="s">
        <v>425</v>
      </c>
      <c r="E130" s="331" t="s">
        <v>425</v>
      </c>
      <c r="F130" s="331" t="s">
        <v>425</v>
      </c>
      <c r="G130" s="331" t="s">
        <v>425</v>
      </c>
      <c r="H130" s="331" t="s">
        <v>425</v>
      </c>
      <c r="I130" s="329" t="str">
        <f t="shared" ref="I130:N130" si="107">iferror(C130*$B$13, "-")</f>
        <v>-</v>
      </c>
      <c r="J130" s="329" t="str">
        <f t="shared" si="107"/>
        <v>-</v>
      </c>
      <c r="K130" s="329" t="str">
        <f t="shared" si="107"/>
        <v>-</v>
      </c>
      <c r="L130" s="329" t="str">
        <f t="shared" si="107"/>
        <v>-</v>
      </c>
      <c r="M130" s="329" t="str">
        <f t="shared" si="107"/>
        <v>-</v>
      </c>
      <c r="N130" s="329" t="str">
        <f t="shared" si="107"/>
        <v>-</v>
      </c>
      <c r="O130" s="330">
        <f t="shared" si="3"/>
        <v>0</v>
      </c>
    </row>
    <row r="131" ht="12.75" customHeight="1">
      <c r="A131" s="320" t="s">
        <v>430</v>
      </c>
      <c r="B131" s="315" t="s">
        <v>368</v>
      </c>
      <c r="C131" s="331" t="s">
        <v>425</v>
      </c>
      <c r="D131" s="331" t="s">
        <v>425</v>
      </c>
      <c r="E131" s="331" t="s">
        <v>425</v>
      </c>
      <c r="F131" s="331" t="s">
        <v>425</v>
      </c>
      <c r="G131" s="331" t="s">
        <v>425</v>
      </c>
      <c r="H131" s="331" t="s">
        <v>425</v>
      </c>
      <c r="I131" s="329" t="str">
        <f t="shared" ref="I131:N131" si="108">iferror(C131*$B$14, "-")</f>
        <v>-</v>
      </c>
      <c r="J131" s="329" t="str">
        <f t="shared" si="108"/>
        <v>-</v>
      </c>
      <c r="K131" s="329" t="str">
        <f t="shared" si="108"/>
        <v>-</v>
      </c>
      <c r="L131" s="329" t="str">
        <f t="shared" si="108"/>
        <v>-</v>
      </c>
      <c r="M131" s="329" t="str">
        <f t="shared" si="108"/>
        <v>-</v>
      </c>
      <c r="N131" s="329" t="str">
        <f t="shared" si="108"/>
        <v>-</v>
      </c>
      <c r="O131" s="330">
        <f t="shared" si="3"/>
        <v>0</v>
      </c>
    </row>
    <row r="132" ht="12.75" customHeight="1">
      <c r="A132" s="320" t="s">
        <v>430</v>
      </c>
      <c r="B132" s="320" t="s">
        <v>32</v>
      </c>
      <c r="C132" s="331" t="s">
        <v>425</v>
      </c>
      <c r="D132" s="332">
        <v>0.25</v>
      </c>
      <c r="E132" s="331" t="s">
        <v>425</v>
      </c>
      <c r="F132" s="331" t="s">
        <v>425</v>
      </c>
      <c r="G132" s="331" t="s">
        <v>425</v>
      </c>
      <c r="H132" s="331" t="s">
        <v>425</v>
      </c>
      <c r="I132" s="329" t="str">
        <f t="shared" ref="I132:N132" si="109">iferror(C132*$B$15, "-")</f>
        <v>-</v>
      </c>
      <c r="J132" s="329">
        <f t="shared" si="109"/>
        <v>0.75</v>
      </c>
      <c r="K132" s="329" t="str">
        <f t="shared" si="109"/>
        <v>-</v>
      </c>
      <c r="L132" s="329" t="str">
        <f t="shared" si="109"/>
        <v>-</v>
      </c>
      <c r="M132" s="329" t="str">
        <f t="shared" si="109"/>
        <v>-</v>
      </c>
      <c r="N132" s="329" t="str">
        <f t="shared" si="109"/>
        <v>-</v>
      </c>
      <c r="O132" s="330">
        <f t="shared" si="3"/>
        <v>0.75</v>
      </c>
    </row>
    <row r="133" ht="12.75" customHeight="1">
      <c r="A133" s="320" t="s">
        <v>430</v>
      </c>
      <c r="B133" s="315" t="s">
        <v>134</v>
      </c>
      <c r="C133" s="331" t="s">
        <v>425</v>
      </c>
      <c r="D133" s="331" t="s">
        <v>425</v>
      </c>
      <c r="E133" s="331" t="s">
        <v>425</v>
      </c>
      <c r="F133" s="331" t="s">
        <v>425</v>
      </c>
      <c r="G133" s="331" t="s">
        <v>425</v>
      </c>
      <c r="H133" s="331" t="s">
        <v>425</v>
      </c>
      <c r="I133" s="329" t="str">
        <f t="shared" ref="I133:N133" si="110">iferror(C133*$B$16, "-")</f>
        <v>-</v>
      </c>
      <c r="J133" s="329" t="str">
        <f t="shared" si="110"/>
        <v>-</v>
      </c>
      <c r="K133" s="329" t="str">
        <f t="shared" si="110"/>
        <v>-</v>
      </c>
      <c r="L133" s="329" t="str">
        <f t="shared" si="110"/>
        <v>-</v>
      </c>
      <c r="M133" s="329" t="str">
        <f t="shared" si="110"/>
        <v>-</v>
      </c>
      <c r="N133" s="329" t="str">
        <f t="shared" si="110"/>
        <v>-</v>
      </c>
      <c r="O133" s="330">
        <f t="shared" si="3"/>
        <v>0</v>
      </c>
    </row>
    <row r="134" ht="12.75" customHeight="1">
      <c r="A134" s="320" t="s">
        <v>430</v>
      </c>
      <c r="B134" s="315" t="s">
        <v>412</v>
      </c>
      <c r="C134" s="331" t="s">
        <v>425</v>
      </c>
      <c r="D134" s="331" t="s">
        <v>425</v>
      </c>
      <c r="E134" s="331" t="s">
        <v>425</v>
      </c>
      <c r="F134" s="331" t="s">
        <v>425</v>
      </c>
      <c r="G134" s="331" t="s">
        <v>425</v>
      </c>
      <c r="H134" s="331" t="s">
        <v>425</v>
      </c>
      <c r="I134" s="329" t="str">
        <f t="shared" ref="I134:N134" si="111">iferror(C134*$B$17, "-")</f>
        <v>-</v>
      </c>
      <c r="J134" s="329" t="str">
        <f t="shared" si="111"/>
        <v>-</v>
      </c>
      <c r="K134" s="329" t="str">
        <f t="shared" si="111"/>
        <v>-</v>
      </c>
      <c r="L134" s="329" t="str">
        <f t="shared" si="111"/>
        <v>-</v>
      </c>
      <c r="M134" s="329" t="str">
        <f t="shared" si="111"/>
        <v>-</v>
      </c>
      <c r="N134" s="329" t="str">
        <f t="shared" si="111"/>
        <v>-</v>
      </c>
      <c r="O134" s="330">
        <f t="shared" si="3"/>
        <v>0</v>
      </c>
    </row>
    <row r="135" ht="12.75" customHeight="1">
      <c r="A135" s="320" t="s">
        <v>430</v>
      </c>
      <c r="B135" s="333" t="s">
        <v>49</v>
      </c>
      <c r="C135" s="332">
        <v>0.25</v>
      </c>
      <c r="D135" s="334" t="s">
        <v>425</v>
      </c>
      <c r="E135" s="334" t="s">
        <v>425</v>
      </c>
      <c r="F135" s="334" t="s">
        <v>425</v>
      </c>
      <c r="G135" s="334" t="s">
        <v>425</v>
      </c>
      <c r="H135" s="334" t="s">
        <v>425</v>
      </c>
      <c r="I135" s="329">
        <f t="shared" ref="I135:N135" si="112">iferror(C135*$B$18, "-")</f>
        <v>6</v>
      </c>
      <c r="J135" s="329" t="str">
        <f t="shared" si="112"/>
        <v>-</v>
      </c>
      <c r="K135" s="329" t="str">
        <f t="shared" si="112"/>
        <v>-</v>
      </c>
      <c r="L135" s="329" t="str">
        <f t="shared" si="112"/>
        <v>-</v>
      </c>
      <c r="M135" s="329" t="str">
        <f t="shared" si="112"/>
        <v>-</v>
      </c>
      <c r="N135" s="329" t="str">
        <f t="shared" si="112"/>
        <v>-</v>
      </c>
      <c r="O135" s="329">
        <f t="shared" si="3"/>
        <v>6</v>
      </c>
    </row>
    <row r="136" ht="12.75" customHeight="1">
      <c r="A136" s="320" t="s">
        <v>430</v>
      </c>
      <c r="B136" s="320" t="s">
        <v>40</v>
      </c>
      <c r="C136" s="332">
        <v>0.25</v>
      </c>
      <c r="D136" s="334" t="s">
        <v>425</v>
      </c>
      <c r="E136" s="332">
        <v>0.25</v>
      </c>
      <c r="F136" s="334" t="s">
        <v>425</v>
      </c>
      <c r="G136" s="334" t="s">
        <v>425</v>
      </c>
      <c r="H136" s="334" t="s">
        <v>425</v>
      </c>
      <c r="I136" s="329">
        <f t="shared" ref="I136:N136" si="113">iferror(C136*$B$19, "-")</f>
        <v>12.25</v>
      </c>
      <c r="J136" s="329" t="str">
        <f t="shared" si="113"/>
        <v>-</v>
      </c>
      <c r="K136" s="329">
        <f t="shared" si="113"/>
        <v>12.25</v>
      </c>
      <c r="L136" s="329" t="str">
        <f t="shared" si="113"/>
        <v>-</v>
      </c>
      <c r="M136" s="329" t="str">
        <f t="shared" si="113"/>
        <v>-</v>
      </c>
      <c r="N136" s="329" t="str">
        <f t="shared" si="113"/>
        <v>-</v>
      </c>
      <c r="O136" s="329">
        <f t="shared" si="3"/>
        <v>24.5</v>
      </c>
    </row>
    <row r="137" ht="12.75" customHeight="1">
      <c r="A137" s="320" t="s">
        <v>430</v>
      </c>
      <c r="B137" s="320" t="s">
        <v>42</v>
      </c>
      <c r="C137" s="332">
        <v>0.25</v>
      </c>
      <c r="D137" s="334" t="s">
        <v>425</v>
      </c>
      <c r="E137" s="332">
        <v>0.25</v>
      </c>
      <c r="F137" s="334" t="s">
        <v>425</v>
      </c>
      <c r="G137" s="334" t="s">
        <v>425</v>
      </c>
      <c r="H137" s="334" t="s">
        <v>425</v>
      </c>
      <c r="I137" s="329">
        <f t="shared" ref="I137:N137" si="114">iferror(C137*$B$20, "-")</f>
        <v>12.25</v>
      </c>
      <c r="J137" s="329" t="str">
        <f t="shared" si="114"/>
        <v>-</v>
      </c>
      <c r="K137" s="329">
        <f t="shared" si="114"/>
        <v>12.25</v>
      </c>
      <c r="L137" s="329" t="str">
        <f t="shared" si="114"/>
        <v>-</v>
      </c>
      <c r="M137" s="329" t="str">
        <f t="shared" si="114"/>
        <v>-</v>
      </c>
      <c r="N137" s="329" t="str">
        <f t="shared" si="114"/>
        <v>-</v>
      </c>
      <c r="O137" s="329">
        <f t="shared" si="3"/>
        <v>24.5</v>
      </c>
    </row>
    <row r="138" ht="12.75" customHeight="1">
      <c r="A138" s="320" t="s">
        <v>430</v>
      </c>
      <c r="B138" s="320" t="s">
        <v>367</v>
      </c>
      <c r="C138" s="337" t="s">
        <v>425</v>
      </c>
      <c r="D138" s="337" t="s">
        <v>425</v>
      </c>
      <c r="E138" s="337" t="s">
        <v>425</v>
      </c>
      <c r="F138" s="337" t="s">
        <v>425</v>
      </c>
      <c r="G138" s="337" t="s">
        <v>425</v>
      </c>
      <c r="H138" s="337" t="s">
        <v>425</v>
      </c>
      <c r="I138" s="338" t="str">
        <f t="shared" ref="I138:N138" si="115">iferror(C138*$B$21, "-")</f>
        <v>-</v>
      </c>
      <c r="J138" s="338" t="str">
        <f t="shared" si="115"/>
        <v>-</v>
      </c>
      <c r="K138" s="338" t="str">
        <f t="shared" si="115"/>
        <v>-</v>
      </c>
      <c r="L138" s="338" t="str">
        <f t="shared" si="115"/>
        <v>-</v>
      </c>
      <c r="M138" s="338" t="str">
        <f t="shared" si="115"/>
        <v>-</v>
      </c>
      <c r="N138" s="338" t="str">
        <f t="shared" si="115"/>
        <v>-</v>
      </c>
      <c r="O138" s="330">
        <f t="shared" si="3"/>
        <v>0</v>
      </c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</sheetData>
  <mergeCells count="1">
    <mergeCell ref="A1:N1"/>
  </mergeCells>
  <conditionalFormatting sqref="A25:A138 B25:B40 C25:N138 B43:B138">
    <cfRule type="cellIs" dxfId="8" priority="1" operator="equal">
      <formula>"-"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19.75"/>
    <col customWidth="1" min="3" max="8" width="14.38"/>
    <col customWidth="1" min="9" max="9" width="19.75"/>
    <col customWidth="1" min="10" max="26" width="8.63"/>
  </cols>
  <sheetData>
    <row r="1" ht="12.75" customHeight="1">
      <c r="A1" s="309" t="s">
        <v>431</v>
      </c>
    </row>
    <row r="2" ht="12.75" customHeight="1">
      <c r="A2" s="312" t="s">
        <v>432</v>
      </c>
      <c r="B2" s="313" t="s">
        <v>433</v>
      </c>
    </row>
    <row r="3" ht="12.75" customHeight="1">
      <c r="A3" s="315" t="s">
        <v>434</v>
      </c>
      <c r="B3" s="341">
        <v>72.0</v>
      </c>
      <c r="C3" s="342" t="s">
        <v>435</v>
      </c>
    </row>
    <row r="4" ht="12.75" customHeight="1">
      <c r="A4" s="315" t="s">
        <v>436</v>
      </c>
      <c r="B4" s="341">
        <v>8.0</v>
      </c>
      <c r="C4" s="342" t="s">
        <v>435</v>
      </c>
    </row>
    <row r="5" ht="12.75" customHeight="1">
      <c r="A5" s="315" t="s">
        <v>437</v>
      </c>
      <c r="B5" s="341">
        <v>9.0</v>
      </c>
      <c r="C5" s="342" t="s">
        <v>435</v>
      </c>
    </row>
    <row r="6" ht="12.75" customHeight="1">
      <c r="A6" s="315" t="s">
        <v>438</v>
      </c>
      <c r="B6" s="316">
        <v>29.0</v>
      </c>
      <c r="C6" s="342" t="s">
        <v>435</v>
      </c>
    </row>
    <row r="7" ht="12.75" customHeight="1">
      <c r="A7" s="315" t="s">
        <v>439</v>
      </c>
      <c r="B7" s="341">
        <v>3.0</v>
      </c>
      <c r="C7" s="342" t="s">
        <v>435</v>
      </c>
    </row>
    <row r="8" ht="12.75" customHeight="1"/>
    <row r="9" ht="12.75" customHeight="1">
      <c r="A9" s="309" t="s">
        <v>440</v>
      </c>
    </row>
    <row r="10" ht="12.75" customHeight="1">
      <c r="A10" s="312" t="s">
        <v>441</v>
      </c>
      <c r="B10" s="313" t="s">
        <v>442</v>
      </c>
    </row>
    <row r="11" ht="12.75" customHeight="1">
      <c r="A11" s="315" t="s">
        <v>443</v>
      </c>
      <c r="B11" s="341">
        <v>1.0</v>
      </c>
    </row>
    <row r="12" ht="12.75" customHeight="1">
      <c r="A12" s="315" t="s">
        <v>444</v>
      </c>
      <c r="B12" s="341">
        <v>2.0</v>
      </c>
    </row>
    <row r="13" ht="12.75" customHeight="1">
      <c r="A13" s="315" t="s">
        <v>445</v>
      </c>
      <c r="B13" s="341">
        <v>3.0</v>
      </c>
    </row>
    <row r="14" ht="12.75" customHeight="1">
      <c r="A14" s="315" t="s">
        <v>446</v>
      </c>
      <c r="B14" s="341">
        <v>4.0</v>
      </c>
    </row>
    <row r="15" ht="12.75" customHeight="1">
      <c r="A15" s="315" t="s">
        <v>447</v>
      </c>
      <c r="B15" s="341">
        <v>5.0</v>
      </c>
    </row>
    <row r="16" ht="12.75" customHeight="1">
      <c r="A16" s="315" t="s">
        <v>448</v>
      </c>
      <c r="B16" s="341">
        <v>6.0</v>
      </c>
    </row>
    <row r="17" ht="12.75" customHeight="1"/>
    <row r="18" ht="12.75" customHeight="1">
      <c r="A18" s="309" t="s">
        <v>449</v>
      </c>
    </row>
    <row r="19" ht="12.75" customHeight="1">
      <c r="A19" s="312" t="s">
        <v>450</v>
      </c>
      <c r="B19" s="313" t="s">
        <v>451</v>
      </c>
      <c r="C19" s="313" t="s">
        <v>443</v>
      </c>
      <c r="D19" s="313" t="s">
        <v>444</v>
      </c>
      <c r="E19" s="313" t="s">
        <v>445</v>
      </c>
      <c r="F19" s="313" t="s">
        <v>446</v>
      </c>
      <c r="G19" s="313" t="s">
        <v>447</v>
      </c>
      <c r="H19" s="313" t="s">
        <v>448</v>
      </c>
      <c r="I19" s="313" t="s">
        <v>452</v>
      </c>
    </row>
    <row r="20" ht="12.75" customHeight="1">
      <c r="A20" s="315" t="s">
        <v>453</v>
      </c>
      <c r="B20" s="341">
        <v>2.0</v>
      </c>
      <c r="C20" s="343">
        <v>0.37</v>
      </c>
      <c r="D20" s="344">
        <v>0.29</v>
      </c>
      <c r="E20" s="344">
        <v>0.2</v>
      </c>
      <c r="F20" s="344">
        <v>0.1</v>
      </c>
      <c r="G20" s="344">
        <v>0.04</v>
      </c>
      <c r="H20" s="343">
        <v>0.0</v>
      </c>
      <c r="I20" s="345">
        <f t="shared" ref="I20:I25" si="1">SUM(C20:H20)</f>
        <v>1</v>
      </c>
    </row>
    <row r="21" ht="12.75" customHeight="1">
      <c r="A21" s="315" t="s">
        <v>454</v>
      </c>
      <c r="B21" s="341">
        <v>3.0</v>
      </c>
      <c r="C21" s="343">
        <v>0.34</v>
      </c>
      <c r="D21" s="344">
        <v>0.26</v>
      </c>
      <c r="E21" s="344">
        <v>0.19</v>
      </c>
      <c r="F21" s="344">
        <v>0.14</v>
      </c>
      <c r="G21" s="344">
        <v>0.07</v>
      </c>
      <c r="H21" s="343">
        <v>0.0</v>
      </c>
      <c r="I21" s="345">
        <f t="shared" si="1"/>
        <v>1</v>
      </c>
    </row>
    <row r="22" ht="12.75" customHeight="1">
      <c r="A22" s="315" t="s">
        <v>455</v>
      </c>
      <c r="B22" s="341">
        <v>4.0</v>
      </c>
      <c r="C22" s="343">
        <v>0.32</v>
      </c>
      <c r="D22" s="344">
        <v>0.24</v>
      </c>
      <c r="E22" s="344">
        <v>0.18</v>
      </c>
      <c r="F22" s="344">
        <v>0.16</v>
      </c>
      <c r="G22" s="344">
        <v>0.1</v>
      </c>
      <c r="H22" s="343">
        <v>0.0</v>
      </c>
      <c r="I22" s="345">
        <f t="shared" si="1"/>
        <v>1</v>
      </c>
    </row>
    <row r="23" ht="12.75" customHeight="1">
      <c r="A23" s="315" t="s">
        <v>456</v>
      </c>
      <c r="B23" s="341">
        <v>5.0</v>
      </c>
      <c r="C23" s="343">
        <v>0.31</v>
      </c>
      <c r="D23" s="344">
        <v>0.22</v>
      </c>
      <c r="E23" s="344">
        <v>0.17</v>
      </c>
      <c r="F23" s="344">
        <v>0.18</v>
      </c>
      <c r="G23" s="343">
        <v>0.12</v>
      </c>
      <c r="H23" s="343">
        <v>0.0</v>
      </c>
      <c r="I23" s="345">
        <f t="shared" si="1"/>
        <v>1</v>
      </c>
    </row>
    <row r="24" ht="12.75" customHeight="1">
      <c r="A24" s="315" t="s">
        <v>457</v>
      </c>
      <c r="B24" s="341">
        <v>6.0</v>
      </c>
      <c r="C24" s="343">
        <v>0.285</v>
      </c>
      <c r="D24" s="344">
        <v>0.2</v>
      </c>
      <c r="E24" s="344">
        <v>0.16</v>
      </c>
      <c r="F24" s="344">
        <v>0.2</v>
      </c>
      <c r="G24" s="343">
        <v>0.155</v>
      </c>
      <c r="H24" s="343">
        <v>0.0</v>
      </c>
      <c r="I24" s="345">
        <f t="shared" si="1"/>
        <v>1</v>
      </c>
    </row>
    <row r="25" ht="12.75" customHeight="1">
      <c r="A25" s="320" t="s">
        <v>458</v>
      </c>
      <c r="B25" s="316">
        <v>7.0</v>
      </c>
      <c r="C25" s="343">
        <v>0.26</v>
      </c>
      <c r="D25" s="344">
        <v>0.18</v>
      </c>
      <c r="E25" s="344">
        <v>0.15</v>
      </c>
      <c r="F25" s="344">
        <v>0.22</v>
      </c>
      <c r="G25" s="344">
        <v>0.19</v>
      </c>
      <c r="H25" s="343">
        <v>0.0</v>
      </c>
      <c r="I25" s="345">
        <f t="shared" si="1"/>
        <v>1</v>
      </c>
    </row>
    <row r="26" ht="12.75" customHeight="1">
      <c r="A26" s="346" t="s">
        <v>459</v>
      </c>
    </row>
    <row r="27" ht="12.75" customHeight="1"/>
    <row r="28" ht="12.75" customHeight="1">
      <c r="A28" s="347" t="s">
        <v>460</v>
      </c>
    </row>
    <row r="29" ht="12.75" customHeight="1">
      <c r="A29" s="312" t="s">
        <v>450</v>
      </c>
      <c r="B29" s="314" t="s">
        <v>461</v>
      </c>
      <c r="C29" s="314" t="s">
        <v>462</v>
      </c>
    </row>
    <row r="30" ht="12.75" customHeight="1">
      <c r="A30" s="315" t="s">
        <v>453</v>
      </c>
      <c r="B30" s="341" t="s">
        <v>463</v>
      </c>
      <c r="C30" s="341" t="b">
        <v>0</v>
      </c>
    </row>
    <row r="31" ht="12.75" customHeight="1">
      <c r="A31" s="315" t="s">
        <v>454</v>
      </c>
      <c r="B31" s="341" t="s">
        <v>463</v>
      </c>
      <c r="C31" s="341" t="b">
        <v>0</v>
      </c>
    </row>
    <row r="32" ht="12.75" customHeight="1">
      <c r="A32" s="315" t="s">
        <v>455</v>
      </c>
      <c r="B32" s="341" t="s">
        <v>463</v>
      </c>
      <c r="C32" s="341" t="b">
        <v>0</v>
      </c>
    </row>
    <row r="33" ht="12.75" customHeight="1">
      <c r="A33" s="315" t="s">
        <v>456</v>
      </c>
      <c r="B33" s="341" t="s">
        <v>463</v>
      </c>
      <c r="C33" s="341" t="b">
        <v>0</v>
      </c>
    </row>
    <row r="34" ht="12.75" customHeight="1">
      <c r="A34" s="315" t="s">
        <v>457</v>
      </c>
      <c r="B34" s="341" t="s">
        <v>464</v>
      </c>
      <c r="C34" s="341" t="b">
        <v>0</v>
      </c>
    </row>
    <row r="35" ht="12.75" customHeight="1">
      <c r="A35" s="320" t="s">
        <v>458</v>
      </c>
      <c r="B35" s="341" t="s">
        <v>465</v>
      </c>
      <c r="C35" s="341" t="b">
        <v>1</v>
      </c>
    </row>
    <row r="36" ht="12.75" customHeight="1"/>
    <row r="37" ht="12.75" customHeight="1"/>
    <row r="38" ht="12.75" customHeight="1">
      <c r="A38" s="309" t="s">
        <v>466</v>
      </c>
    </row>
    <row r="39" ht="12.75" customHeight="1">
      <c r="A39" s="312" t="s">
        <v>467</v>
      </c>
      <c r="B39" s="313" t="s">
        <v>468</v>
      </c>
      <c r="C39" s="313" t="s">
        <v>469</v>
      </c>
    </row>
    <row r="40" ht="12.75" customHeight="1">
      <c r="A40" s="315" t="s">
        <v>470</v>
      </c>
      <c r="B40" s="341">
        <v>250.0</v>
      </c>
      <c r="C40" s="316" t="s">
        <v>453</v>
      </c>
    </row>
    <row r="41" ht="12.75" customHeight="1">
      <c r="A41" s="315" t="s">
        <v>471</v>
      </c>
      <c r="B41" s="341">
        <v>500.0</v>
      </c>
      <c r="C41" s="341" t="s">
        <v>456</v>
      </c>
    </row>
    <row r="42" ht="12.75" customHeight="1">
      <c r="A42" s="315" t="s">
        <v>448</v>
      </c>
      <c r="B42" s="341">
        <v>1000.0</v>
      </c>
      <c r="C42" s="341" t="s">
        <v>457</v>
      </c>
    </row>
    <row r="43" ht="12.75" customHeight="1"/>
    <row r="44" ht="12.75" customHeight="1">
      <c r="A44" s="347" t="s">
        <v>472</v>
      </c>
    </row>
    <row r="45" ht="12.75" customHeight="1">
      <c r="A45" s="312" t="s">
        <v>473</v>
      </c>
      <c r="B45" s="312" t="s">
        <v>474</v>
      </c>
    </row>
    <row r="46" ht="14.25" customHeight="1">
      <c r="A46" s="348" t="s">
        <v>443</v>
      </c>
      <c r="B46" s="341">
        <v>281.0</v>
      </c>
    </row>
    <row r="47" ht="12.75" customHeight="1">
      <c r="A47" s="348" t="s">
        <v>444</v>
      </c>
      <c r="B47" s="341">
        <v>215.0</v>
      </c>
    </row>
    <row r="48" ht="12.75" customHeight="1">
      <c r="A48" s="348" t="s">
        <v>445</v>
      </c>
      <c r="B48" s="341">
        <v>143.0</v>
      </c>
    </row>
    <row r="49" ht="12.75" customHeight="1">
      <c r="A49" s="348" t="s">
        <v>446</v>
      </c>
      <c r="B49" s="341">
        <v>112.0</v>
      </c>
    </row>
    <row r="50" ht="12.75" customHeight="1">
      <c r="A50" s="348" t="s">
        <v>447</v>
      </c>
      <c r="B50" s="341">
        <v>66.0</v>
      </c>
    </row>
    <row r="51" ht="12.75" customHeight="1">
      <c r="A51" s="348" t="s">
        <v>448</v>
      </c>
      <c r="B51" s="341">
        <v>0.0</v>
      </c>
    </row>
    <row r="52" ht="12.75" customHeight="1"/>
    <row r="53" ht="12.75" customHeight="1">
      <c r="A53" s="349" t="s">
        <v>475</v>
      </c>
    </row>
    <row r="54" ht="12.75" customHeight="1"/>
    <row r="55" ht="12.75" customHeight="1">
      <c r="A55" s="347" t="s">
        <v>476</v>
      </c>
      <c r="B55" s="350" t="s">
        <v>477</v>
      </c>
    </row>
    <row r="56" ht="34.5" customHeight="1">
      <c r="A56" s="326" t="s">
        <v>478</v>
      </c>
      <c r="B56" s="312" t="s">
        <v>82</v>
      </c>
      <c r="C56" s="312" t="s">
        <v>68</v>
      </c>
      <c r="D56" s="312" t="s">
        <v>103</v>
      </c>
      <c r="E56" s="312" t="s">
        <v>69</v>
      </c>
      <c r="F56" s="312" t="s">
        <v>70</v>
      </c>
      <c r="G56" s="312" t="s">
        <v>71</v>
      </c>
      <c r="H56" s="312" t="s">
        <v>72</v>
      </c>
      <c r="I56" s="312" t="s">
        <v>73</v>
      </c>
      <c r="J56" s="312" t="s">
        <v>74</v>
      </c>
      <c r="K56" s="312" t="s">
        <v>75</v>
      </c>
      <c r="L56" s="312" t="s">
        <v>76</v>
      </c>
      <c r="M56" s="312" t="s">
        <v>77</v>
      </c>
      <c r="N56" s="312" t="s">
        <v>78</v>
      </c>
      <c r="O56" s="312" t="s">
        <v>118</v>
      </c>
      <c r="P56" s="312" t="s">
        <v>104</v>
      </c>
      <c r="Q56" s="312" t="s">
        <v>105</v>
      </c>
      <c r="R56" s="312" t="s">
        <v>106</v>
      </c>
      <c r="S56" s="312" t="s">
        <v>107</v>
      </c>
      <c r="T56" s="312" t="s">
        <v>108</v>
      </c>
      <c r="U56" s="312" t="s">
        <v>109</v>
      </c>
      <c r="V56" s="312" t="s">
        <v>110</v>
      </c>
    </row>
    <row r="57" ht="12.75" customHeight="1">
      <c r="A57" s="348" t="str">
        <f t="array" ref="A57:A64">"Set "&amp;SEQUENCE($B$4,1)</f>
        <v>Set 1</v>
      </c>
      <c r="B57" s="316">
        <v>300.0</v>
      </c>
      <c r="C57" s="341">
        <v>0.0</v>
      </c>
      <c r="D57" s="341">
        <v>0.0</v>
      </c>
      <c r="E57" s="316">
        <v>2.0</v>
      </c>
      <c r="F57" s="341">
        <v>0.0</v>
      </c>
      <c r="G57" s="341">
        <v>0.0</v>
      </c>
      <c r="H57" s="341">
        <v>0.0</v>
      </c>
      <c r="I57" s="341">
        <v>0.0</v>
      </c>
      <c r="J57" s="341">
        <v>0.0</v>
      </c>
      <c r="K57" s="316">
        <v>30.0</v>
      </c>
      <c r="L57" s="341">
        <v>0.0</v>
      </c>
      <c r="M57" s="341">
        <v>0.0</v>
      </c>
      <c r="N57" s="341">
        <v>0.0</v>
      </c>
      <c r="O57" s="341">
        <v>0.0</v>
      </c>
      <c r="P57" s="341">
        <v>0.0</v>
      </c>
      <c r="Q57" s="341">
        <v>0.0</v>
      </c>
      <c r="R57" s="341">
        <v>0.0</v>
      </c>
      <c r="S57" s="341">
        <v>0.0</v>
      </c>
      <c r="T57" s="341">
        <v>0.0</v>
      </c>
      <c r="U57" s="341">
        <v>0.0</v>
      </c>
      <c r="V57" s="341">
        <v>0.0</v>
      </c>
    </row>
    <row r="58" ht="12.75" customHeight="1">
      <c r="A58" s="348" t="s">
        <v>479</v>
      </c>
      <c r="B58" s="316">
        <v>200.0</v>
      </c>
      <c r="C58" s="341">
        <v>0.0</v>
      </c>
      <c r="D58" s="341">
        <v>0.0</v>
      </c>
      <c r="E58" s="341">
        <v>0.0</v>
      </c>
      <c r="F58" s="316">
        <v>2.0</v>
      </c>
      <c r="G58" s="341">
        <v>0.0</v>
      </c>
      <c r="H58" s="341">
        <v>0.0</v>
      </c>
      <c r="I58" s="341">
        <v>0.0</v>
      </c>
      <c r="J58" s="341">
        <v>0.0</v>
      </c>
      <c r="K58" s="341">
        <v>0.0</v>
      </c>
      <c r="L58" s="341">
        <v>0.0</v>
      </c>
      <c r="M58" s="341">
        <v>0.0</v>
      </c>
      <c r="N58" s="341">
        <v>0.0</v>
      </c>
      <c r="O58" s="341">
        <v>0.0</v>
      </c>
      <c r="P58" s="341">
        <v>0.0</v>
      </c>
      <c r="Q58" s="341">
        <v>0.0</v>
      </c>
      <c r="R58" s="341">
        <v>0.0</v>
      </c>
      <c r="S58" s="341">
        <v>0.0</v>
      </c>
      <c r="T58" s="341">
        <v>0.0</v>
      </c>
      <c r="U58" s="341">
        <v>0.0</v>
      </c>
      <c r="V58" s="341">
        <v>0.0</v>
      </c>
    </row>
    <row r="59" ht="12.75" customHeight="1">
      <c r="A59" s="348" t="s">
        <v>480</v>
      </c>
      <c r="B59" s="316">
        <v>100.0</v>
      </c>
      <c r="C59" s="341">
        <v>0.0</v>
      </c>
      <c r="D59" s="341">
        <v>0.0</v>
      </c>
      <c r="E59" s="341">
        <v>0.0</v>
      </c>
      <c r="F59" s="341">
        <v>0.0</v>
      </c>
      <c r="G59" s="316">
        <v>2.0</v>
      </c>
      <c r="H59" s="341">
        <v>0.0</v>
      </c>
      <c r="I59" s="341">
        <v>0.0</v>
      </c>
      <c r="J59" s="341">
        <v>0.0</v>
      </c>
      <c r="K59" s="341">
        <v>0.0</v>
      </c>
      <c r="L59" s="341">
        <v>0.0</v>
      </c>
      <c r="M59" s="341">
        <v>0.0</v>
      </c>
      <c r="N59" s="341">
        <v>0.0</v>
      </c>
      <c r="O59" s="341">
        <v>0.0</v>
      </c>
      <c r="P59" s="341">
        <v>0.0</v>
      </c>
      <c r="Q59" s="341">
        <v>0.0</v>
      </c>
      <c r="R59" s="341">
        <v>0.0</v>
      </c>
      <c r="S59" s="341">
        <v>0.0</v>
      </c>
      <c r="T59" s="341">
        <v>0.0</v>
      </c>
      <c r="U59" s="341">
        <v>0.0</v>
      </c>
      <c r="V59" s="341">
        <v>0.0</v>
      </c>
    </row>
    <row r="60" ht="12.75" customHeight="1">
      <c r="A60" s="348" t="s">
        <v>481</v>
      </c>
      <c r="B60" s="341">
        <v>0.0</v>
      </c>
      <c r="C60" s="341">
        <v>0.0</v>
      </c>
      <c r="D60" s="341">
        <v>0.0</v>
      </c>
      <c r="E60" s="316">
        <v>1.0</v>
      </c>
      <c r="F60" s="341">
        <v>0.0</v>
      </c>
      <c r="G60" s="341">
        <v>0.0</v>
      </c>
      <c r="H60" s="341">
        <v>0.0</v>
      </c>
      <c r="I60" s="341">
        <v>0.0</v>
      </c>
      <c r="J60" s="341">
        <v>0.0</v>
      </c>
      <c r="K60" s="341">
        <v>0.0</v>
      </c>
      <c r="L60" s="341">
        <v>0.0</v>
      </c>
      <c r="M60" s="341">
        <v>0.0</v>
      </c>
      <c r="N60" s="341">
        <v>0.0</v>
      </c>
      <c r="O60" s="341">
        <v>0.0</v>
      </c>
      <c r="P60" s="341">
        <v>0.0</v>
      </c>
      <c r="Q60" s="341">
        <v>0.0</v>
      </c>
      <c r="R60" s="341">
        <v>0.0</v>
      </c>
      <c r="S60" s="341">
        <v>0.0</v>
      </c>
      <c r="T60" s="341">
        <v>0.0</v>
      </c>
      <c r="U60" s="341">
        <v>0.0</v>
      </c>
      <c r="V60" s="341">
        <v>0.0</v>
      </c>
    </row>
    <row r="61" ht="12.75" customHeight="1">
      <c r="A61" s="348" t="s">
        <v>482</v>
      </c>
      <c r="B61" s="341">
        <v>0.0</v>
      </c>
      <c r="C61" s="341">
        <v>0.0</v>
      </c>
      <c r="D61" s="341">
        <v>0.0</v>
      </c>
      <c r="E61" s="341">
        <v>0.0</v>
      </c>
      <c r="F61" s="316">
        <v>1.0</v>
      </c>
      <c r="G61" s="341">
        <v>0.0</v>
      </c>
      <c r="H61" s="341">
        <v>0.0</v>
      </c>
      <c r="I61" s="341">
        <v>0.0</v>
      </c>
      <c r="J61" s="341">
        <v>0.0</v>
      </c>
      <c r="K61" s="341">
        <v>0.0</v>
      </c>
      <c r="L61" s="341">
        <v>0.0</v>
      </c>
      <c r="M61" s="341">
        <v>0.0</v>
      </c>
      <c r="N61" s="341">
        <v>0.0</v>
      </c>
      <c r="O61" s="341">
        <v>0.0</v>
      </c>
      <c r="P61" s="341">
        <v>0.0</v>
      </c>
      <c r="Q61" s="341">
        <v>0.0</v>
      </c>
      <c r="R61" s="341">
        <v>0.0</v>
      </c>
      <c r="S61" s="341">
        <v>0.0</v>
      </c>
      <c r="T61" s="341">
        <v>0.0</v>
      </c>
      <c r="U61" s="341">
        <v>0.0</v>
      </c>
      <c r="V61" s="341">
        <v>0.0</v>
      </c>
    </row>
    <row r="62" ht="12.75" customHeight="1">
      <c r="A62" s="348" t="s">
        <v>483</v>
      </c>
      <c r="B62" s="341">
        <v>0.0</v>
      </c>
      <c r="C62" s="341">
        <v>0.0</v>
      </c>
      <c r="D62" s="341">
        <v>0.0</v>
      </c>
      <c r="E62" s="341">
        <v>0.0</v>
      </c>
      <c r="F62" s="341">
        <v>0.0</v>
      </c>
      <c r="G62" s="316">
        <v>1.0</v>
      </c>
      <c r="H62" s="341">
        <v>0.0</v>
      </c>
      <c r="I62" s="341">
        <v>0.0</v>
      </c>
      <c r="J62" s="341">
        <v>0.0</v>
      </c>
      <c r="K62" s="341">
        <v>0.0</v>
      </c>
      <c r="L62" s="341">
        <v>0.0</v>
      </c>
      <c r="M62" s="341">
        <v>0.0</v>
      </c>
      <c r="N62" s="341">
        <v>0.0</v>
      </c>
      <c r="O62" s="341">
        <v>0.0</v>
      </c>
      <c r="P62" s="341">
        <v>0.0</v>
      </c>
      <c r="Q62" s="341">
        <v>0.0</v>
      </c>
      <c r="R62" s="341">
        <v>0.0</v>
      </c>
      <c r="S62" s="341">
        <v>0.0</v>
      </c>
      <c r="T62" s="341">
        <v>0.0</v>
      </c>
      <c r="U62" s="341">
        <v>0.0</v>
      </c>
      <c r="V62" s="341">
        <v>0.0</v>
      </c>
    </row>
    <row r="63" ht="12.75" customHeight="1">
      <c r="A63" s="348" t="s">
        <v>484</v>
      </c>
      <c r="B63" s="341">
        <v>0.0</v>
      </c>
      <c r="C63" s="341">
        <v>0.0</v>
      </c>
      <c r="D63" s="341">
        <v>0.0</v>
      </c>
      <c r="E63" s="341">
        <v>0.0</v>
      </c>
      <c r="F63" s="341">
        <v>0.0</v>
      </c>
      <c r="G63" s="341">
        <v>0.0</v>
      </c>
      <c r="H63" s="316">
        <v>1.0</v>
      </c>
      <c r="I63" s="341">
        <v>0.0</v>
      </c>
      <c r="J63" s="341">
        <v>0.0</v>
      </c>
      <c r="K63" s="341">
        <v>0.0</v>
      </c>
      <c r="L63" s="341">
        <v>0.0</v>
      </c>
      <c r="M63" s="341">
        <v>0.0</v>
      </c>
      <c r="N63" s="341">
        <v>0.0</v>
      </c>
      <c r="O63" s="341">
        <v>0.0</v>
      </c>
      <c r="P63" s="341">
        <v>0.0</v>
      </c>
      <c r="Q63" s="341">
        <v>0.0</v>
      </c>
      <c r="R63" s="341">
        <v>0.0</v>
      </c>
      <c r="S63" s="341">
        <v>0.0</v>
      </c>
      <c r="T63" s="341">
        <v>0.0</v>
      </c>
      <c r="U63" s="341">
        <v>0.0</v>
      </c>
      <c r="V63" s="341">
        <v>0.0</v>
      </c>
    </row>
    <row r="64" ht="12.75" customHeight="1">
      <c r="A64" s="348" t="s">
        <v>485</v>
      </c>
      <c r="B64" s="341">
        <v>0.0</v>
      </c>
      <c r="C64" s="341">
        <v>0.0</v>
      </c>
      <c r="D64" s="341">
        <v>0.0</v>
      </c>
      <c r="E64" s="341">
        <v>0.0</v>
      </c>
      <c r="F64" s="341">
        <v>0.0</v>
      </c>
      <c r="G64" s="341">
        <v>0.0</v>
      </c>
      <c r="H64" s="341">
        <v>0.0</v>
      </c>
      <c r="I64" s="316">
        <v>1.0</v>
      </c>
      <c r="J64" s="341">
        <v>0.0</v>
      </c>
      <c r="K64" s="341">
        <v>0.0</v>
      </c>
      <c r="L64" s="341">
        <v>0.0</v>
      </c>
      <c r="M64" s="341">
        <v>0.0</v>
      </c>
      <c r="N64" s="341">
        <v>0.0</v>
      </c>
      <c r="O64" s="341">
        <v>0.0</v>
      </c>
      <c r="P64" s="341">
        <v>0.0</v>
      </c>
      <c r="Q64" s="341">
        <v>0.0</v>
      </c>
      <c r="R64" s="341">
        <v>0.0</v>
      </c>
      <c r="S64" s="341">
        <v>0.0</v>
      </c>
      <c r="T64" s="341">
        <v>0.0</v>
      </c>
      <c r="U64" s="341">
        <v>0.0</v>
      </c>
      <c r="V64" s="341">
        <v>0.0</v>
      </c>
    </row>
    <row r="65" ht="12.75" customHeight="1"/>
    <row r="66" ht="12.75" customHeight="1"/>
    <row r="67" ht="12.75" customHeight="1">
      <c r="A67" s="347" t="s">
        <v>486</v>
      </c>
    </row>
    <row r="68" ht="12.75" customHeight="1">
      <c r="A68" s="326" t="s">
        <v>487</v>
      </c>
      <c r="B68" s="312" t="s">
        <v>82</v>
      </c>
      <c r="C68" s="312" t="s">
        <v>68</v>
      </c>
      <c r="D68" s="312" t="s">
        <v>103</v>
      </c>
      <c r="E68" s="312" t="s">
        <v>69</v>
      </c>
      <c r="F68" s="312" t="s">
        <v>70</v>
      </c>
      <c r="G68" s="312" t="s">
        <v>71</v>
      </c>
      <c r="H68" s="312" t="s">
        <v>72</v>
      </c>
      <c r="I68" s="312" t="s">
        <v>73</v>
      </c>
      <c r="J68" s="312" t="s">
        <v>74</v>
      </c>
      <c r="K68" s="312" t="s">
        <v>75</v>
      </c>
      <c r="L68" s="312" t="s">
        <v>76</v>
      </c>
      <c r="M68" s="312" t="s">
        <v>77</v>
      </c>
      <c r="N68" s="312" t="s">
        <v>78</v>
      </c>
      <c r="O68" s="312" t="s">
        <v>118</v>
      </c>
      <c r="P68" s="312" t="s">
        <v>104</v>
      </c>
      <c r="Q68" s="312" t="s">
        <v>105</v>
      </c>
      <c r="R68" s="312" t="s">
        <v>106</v>
      </c>
      <c r="S68" s="312" t="s">
        <v>107</v>
      </c>
      <c r="T68" s="312" t="s">
        <v>108</v>
      </c>
      <c r="U68" s="312" t="s">
        <v>109</v>
      </c>
      <c r="V68" s="312" t="s">
        <v>110</v>
      </c>
    </row>
    <row r="69" ht="12.75" customHeight="1">
      <c r="A69" s="348" t="str">
        <f t="array" ref="A69:A71">"Album "&amp;SEQUENCE($B$7,1)</f>
        <v>Album 1</v>
      </c>
      <c r="B69" s="316">
        <v>500.0</v>
      </c>
      <c r="C69" s="341">
        <v>0.0</v>
      </c>
      <c r="D69" s="341">
        <v>0.0</v>
      </c>
      <c r="E69" s="316">
        <v>1.0</v>
      </c>
      <c r="F69" s="341">
        <v>0.0</v>
      </c>
      <c r="G69" s="341">
        <v>0.0</v>
      </c>
      <c r="H69" s="341">
        <v>0.0</v>
      </c>
      <c r="I69" s="341">
        <v>0.0</v>
      </c>
      <c r="J69" s="341">
        <v>0.0</v>
      </c>
      <c r="K69" s="341">
        <v>0.0</v>
      </c>
      <c r="L69" s="341">
        <v>0.0</v>
      </c>
      <c r="M69" s="341">
        <v>0.0</v>
      </c>
      <c r="N69" s="341">
        <v>0.0</v>
      </c>
      <c r="O69" s="341">
        <v>0.0</v>
      </c>
      <c r="P69" s="341">
        <v>0.0</v>
      </c>
      <c r="Q69" s="341">
        <v>0.0</v>
      </c>
      <c r="R69" s="341">
        <v>0.0</v>
      </c>
      <c r="S69" s="341">
        <v>0.0</v>
      </c>
      <c r="T69" s="341">
        <v>0.0</v>
      </c>
      <c r="U69" s="341">
        <v>0.0</v>
      </c>
      <c r="V69" s="341">
        <v>0.0</v>
      </c>
    </row>
    <row r="70" ht="12.75" customHeight="1">
      <c r="A70" s="348" t="s">
        <v>488</v>
      </c>
      <c r="B70" s="341">
        <v>0.0</v>
      </c>
      <c r="C70" s="316">
        <v>20.0</v>
      </c>
      <c r="D70" s="341">
        <v>0.0</v>
      </c>
      <c r="E70" s="341">
        <v>0.0</v>
      </c>
      <c r="F70" s="316">
        <v>1.0</v>
      </c>
      <c r="G70" s="341">
        <v>0.0</v>
      </c>
      <c r="H70" s="341">
        <v>0.0</v>
      </c>
      <c r="I70" s="341">
        <v>0.0</v>
      </c>
      <c r="J70" s="341">
        <v>0.0</v>
      </c>
      <c r="K70" s="341">
        <v>0.0</v>
      </c>
      <c r="L70" s="341">
        <v>0.0</v>
      </c>
      <c r="M70" s="341">
        <v>0.0</v>
      </c>
      <c r="N70" s="341">
        <v>0.0</v>
      </c>
      <c r="O70" s="341">
        <v>0.0</v>
      </c>
      <c r="P70" s="341">
        <v>0.0</v>
      </c>
      <c r="Q70" s="341">
        <v>0.0</v>
      </c>
      <c r="R70" s="341">
        <v>0.0</v>
      </c>
      <c r="S70" s="341">
        <v>0.0</v>
      </c>
      <c r="T70" s="341">
        <v>0.0</v>
      </c>
      <c r="U70" s="341">
        <v>0.0</v>
      </c>
      <c r="V70" s="341">
        <v>0.0</v>
      </c>
    </row>
    <row r="71" ht="12.75" customHeight="1">
      <c r="A71" s="348" t="s">
        <v>489</v>
      </c>
      <c r="B71" s="341">
        <v>0.0</v>
      </c>
      <c r="C71" s="341">
        <v>0.0</v>
      </c>
      <c r="D71" s="341">
        <v>0.0</v>
      </c>
      <c r="E71" s="341">
        <v>0.0</v>
      </c>
      <c r="F71" s="341">
        <v>0.0</v>
      </c>
      <c r="G71" s="316">
        <v>1.0</v>
      </c>
      <c r="H71" s="341">
        <v>0.0</v>
      </c>
      <c r="I71" s="341">
        <v>0.0</v>
      </c>
      <c r="J71" s="341">
        <v>0.0</v>
      </c>
      <c r="K71" s="341">
        <v>0.0</v>
      </c>
      <c r="L71" s="341">
        <v>0.0</v>
      </c>
      <c r="M71" s="341">
        <v>0.0</v>
      </c>
      <c r="N71" s="341">
        <v>0.0</v>
      </c>
      <c r="O71" s="341">
        <v>0.0</v>
      </c>
      <c r="P71" s="341">
        <v>0.0</v>
      </c>
      <c r="Q71" s="341">
        <v>0.0</v>
      </c>
      <c r="R71" s="341">
        <v>0.0</v>
      </c>
      <c r="S71" s="341">
        <v>0.0</v>
      </c>
      <c r="T71" s="341">
        <v>0.0</v>
      </c>
      <c r="U71" s="341">
        <v>0.0</v>
      </c>
      <c r="V71" s="341">
        <v>0.0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hyperlinks>
    <hyperlink r:id="rId1" ref="A26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11" width="13.0"/>
    <col customWidth="1" min="12" max="12" width="3.75"/>
    <col customWidth="1" min="13" max="13" width="24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309" t="s">
        <v>490</v>
      </c>
      <c r="I1" s="351" t="s">
        <v>491</v>
      </c>
      <c r="M1" s="352" t="s">
        <v>492</v>
      </c>
      <c r="N1" s="296"/>
      <c r="O1" s="353"/>
      <c r="Q1" s="354"/>
      <c r="R1" s="355"/>
      <c r="T1" s="352" t="s">
        <v>493</v>
      </c>
      <c r="U1" s="296"/>
      <c r="V1" s="355"/>
    </row>
    <row r="2" ht="12.75" customHeight="1">
      <c r="A2" s="312" t="s">
        <v>494</v>
      </c>
      <c r="B2" s="312" t="s">
        <v>495</v>
      </c>
      <c r="C2" s="313" t="s">
        <v>245</v>
      </c>
      <c r="D2" s="313" t="s">
        <v>246</v>
      </c>
      <c r="E2" s="313" t="s">
        <v>473</v>
      </c>
      <c r="I2" s="351" t="s">
        <v>496</v>
      </c>
      <c r="J2" s="351" t="s">
        <v>497</v>
      </c>
      <c r="K2" s="351" t="s">
        <v>498</v>
      </c>
      <c r="L2" s="296"/>
      <c r="M2" s="352" t="s">
        <v>496</v>
      </c>
      <c r="N2" s="351" t="s">
        <v>497</v>
      </c>
      <c r="O2" s="356" t="s">
        <v>499</v>
      </c>
      <c r="P2" s="351"/>
      <c r="Q2" s="352" t="s">
        <v>500</v>
      </c>
      <c r="R2" s="355"/>
      <c r="T2" s="352" t="s">
        <v>496</v>
      </c>
      <c r="U2" s="351" t="s">
        <v>497</v>
      </c>
      <c r="V2" s="357" t="s">
        <v>499</v>
      </c>
    </row>
    <row r="3" ht="12.75" customHeight="1">
      <c r="A3" s="315" t="s">
        <v>501</v>
      </c>
      <c r="B3" s="358" t="s">
        <v>502</v>
      </c>
      <c r="C3" s="341">
        <v>1.0</v>
      </c>
      <c r="D3" s="359" t="s">
        <v>503</v>
      </c>
      <c r="E3" s="341" t="s">
        <v>443</v>
      </c>
      <c r="H3" s="296"/>
      <c r="I3" s="360" t="str">
        <f t="shared" ref="I3:I11" si="1">B3&amp;" "&amp;E3</f>
        <v>Skull Isle - Compass 1★</v>
      </c>
      <c r="J3" s="361">
        <v>50.0</v>
      </c>
      <c r="K3" s="361">
        <v>10.0</v>
      </c>
      <c r="M3" s="354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296">
        <v>50.0</v>
      </c>
      <c r="O3" s="353">
        <v>0.02710027100271003</v>
      </c>
      <c r="Q3" s="362" t="s">
        <v>504</v>
      </c>
      <c r="R3" s="363">
        <v>35.0</v>
      </c>
      <c r="T3" s="354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#F5F")</f>
        <v>Skull Isle - Compass 1★ #F5F</v>
      </c>
      <c r="U3" s="296">
        <f>IFERROR(__xludf.DUMMYFUNCTION("""COMPUTED_VALUE"""),50.0)</f>
        <v>50</v>
      </c>
      <c r="V3" s="353">
        <f>IFERROR(__xludf.DUMMYFUNCTION("if(U3="""", """", U3/sum(filter($U$3:$U$1000, $U$3:$U$1000&lt;&gt;"""")))"),0.14084507042253522)</f>
        <v>0.1408450704</v>
      </c>
    </row>
    <row r="4" ht="12.75" customHeight="1">
      <c r="A4" s="315" t="s">
        <v>505</v>
      </c>
      <c r="B4" s="358" t="s">
        <v>506</v>
      </c>
      <c r="C4" s="341">
        <v>1.0</v>
      </c>
      <c r="D4" s="359" t="s">
        <v>503</v>
      </c>
      <c r="E4" s="341" t="s">
        <v>443</v>
      </c>
      <c r="H4" s="296"/>
      <c r="I4" s="360" t="str">
        <f t="shared" si="1"/>
        <v>Skull Isle - Map 1★</v>
      </c>
      <c r="J4" s="361">
        <v>50.0</v>
      </c>
      <c r="K4" s="361">
        <v>10.0</v>
      </c>
      <c r="M4" s="354" t="s">
        <v>507</v>
      </c>
      <c r="N4" s="296">
        <v>50.0</v>
      </c>
      <c r="O4" s="353">
        <v>0.02710027100271003</v>
      </c>
      <c r="Q4" s="354"/>
      <c r="R4" s="355"/>
      <c r="T4" s="354" t="str">
        <f>IFERROR(__xludf.DUMMYFUNCTION("""COMPUTED_VALUE"""),"Skull Isle - Spyglass 1★ #AED")</f>
        <v>Skull Isle - Spyglass 1★ #AED</v>
      </c>
      <c r="U4" s="296">
        <f>IFERROR(__xludf.DUMMYFUNCTION("""COMPUTED_VALUE"""),50.0)</f>
        <v>50</v>
      </c>
      <c r="V4" s="353">
        <f>IFERROR(__xludf.DUMMYFUNCTION("if(U4="""", """", U4/sum(filter($U$3:$U$1000, $U$3:$U$1000&lt;&gt;"""")))"),0.14084507042253522)</f>
        <v>0.1408450704</v>
      </c>
    </row>
    <row r="5" ht="12.75" customHeight="1">
      <c r="A5" s="315" t="s">
        <v>508</v>
      </c>
      <c r="B5" s="358" t="s">
        <v>509</v>
      </c>
      <c r="C5" s="341">
        <v>1.0</v>
      </c>
      <c r="D5" s="359" t="s">
        <v>503</v>
      </c>
      <c r="E5" s="341" t="s">
        <v>443</v>
      </c>
      <c r="H5" s="296"/>
      <c r="I5" s="360" t="str">
        <f t="shared" si="1"/>
        <v>Skull Isle - Spyglass 1★</v>
      </c>
      <c r="J5" s="361">
        <v>50.0</v>
      </c>
      <c r="K5" s="361">
        <v>10.0</v>
      </c>
      <c r="M5" s="354" t="s">
        <v>510</v>
      </c>
      <c r="N5" s="296">
        <v>50.0</v>
      </c>
      <c r="O5" s="353">
        <v>0.02710027100271003</v>
      </c>
      <c r="Q5" s="364" t="s">
        <v>511</v>
      </c>
      <c r="R5" s="355"/>
      <c r="T5" s="354" t="str">
        <f>IFERROR(__xludf.DUMMYFUNCTION("""COMPUTED_VALUE"""),"Skull Isle - Spyglass 1★ #5C1")</f>
        <v>Skull Isle - Spyglass 1★ #5C1</v>
      </c>
      <c r="U5" s="296">
        <f>IFERROR(__xludf.DUMMYFUNCTION("""COMPUTED_VALUE"""),50.0)</f>
        <v>50</v>
      </c>
      <c r="V5" s="353">
        <f>IFERROR(__xludf.DUMMYFUNCTION("if(U5="""", """", U5/sum(filter($U$3:$U$1000, $U$3:$U$1000&lt;&gt;"""")))"),0.14084507042253522)</f>
        <v>0.1408450704</v>
      </c>
    </row>
    <row r="6" ht="12.75" customHeight="1">
      <c r="A6" s="315" t="s">
        <v>512</v>
      </c>
      <c r="B6" s="358" t="s">
        <v>513</v>
      </c>
      <c r="C6" s="341">
        <v>1.0</v>
      </c>
      <c r="D6" s="359" t="s">
        <v>503</v>
      </c>
      <c r="E6" s="341" t="s">
        <v>443</v>
      </c>
      <c r="H6" s="296"/>
      <c r="I6" s="360" t="str">
        <f t="shared" si="1"/>
        <v>Skull Isle - Anchor 1★</v>
      </c>
      <c r="J6" s="361">
        <v>20.0</v>
      </c>
      <c r="K6" s="361">
        <v>5.0</v>
      </c>
      <c r="M6" s="354" t="s">
        <v>514</v>
      </c>
      <c r="N6" s="296">
        <v>50.0</v>
      </c>
      <c r="O6" s="353">
        <v>0.02710027100271003</v>
      </c>
      <c r="Q6" s="365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355">
        <f>IFERROR(__xludf.DUMMYFUNCTION("""COMPUTED_VALUE"""),30.0)</f>
        <v>30</v>
      </c>
      <c r="T6" s="354" t="str">
        <f>IFERROR(__xludf.DUMMYFUNCTION("""COMPUTED_VALUE"""),"Skull Isle - Anchor 1★ #076")</f>
        <v>Skull Isle - Anchor 1★ #076</v>
      </c>
      <c r="U6" s="296">
        <f>IFERROR(__xludf.DUMMYFUNCTION("""COMPUTED_VALUE"""),20.0)</f>
        <v>20</v>
      </c>
      <c r="V6" s="353">
        <f>IFERROR(__xludf.DUMMYFUNCTION("if(U6="""", """", U6/sum(filter($U$3:$U$1000, $U$3:$U$1000&lt;&gt;"""")))"),0.056338028169014086)</f>
        <v>0.05633802817</v>
      </c>
    </row>
    <row r="7" ht="12.75" customHeight="1">
      <c r="A7" s="315" t="s">
        <v>515</v>
      </c>
      <c r="B7" s="358" t="s">
        <v>516</v>
      </c>
      <c r="C7" s="341">
        <v>1.0</v>
      </c>
      <c r="D7" s="359" t="s">
        <v>503</v>
      </c>
      <c r="E7" s="341" t="s">
        <v>444</v>
      </c>
      <c r="H7" s="296"/>
      <c r="I7" s="360" t="str">
        <f t="shared" si="1"/>
        <v>Skull Isle - Helm 2★</v>
      </c>
      <c r="J7" s="361">
        <v>20.0</v>
      </c>
      <c r="K7" s="361">
        <v>5.0</v>
      </c>
      <c r="M7" s="354" t="s">
        <v>517</v>
      </c>
      <c r="N7" s="296">
        <v>50.0</v>
      </c>
      <c r="O7" s="353">
        <v>0.02710027100271003</v>
      </c>
      <c r="Q7" s="362" t="str">
        <f>IFERROR(__xludf.DUMMYFUNCTION("""COMPUTED_VALUE"""),"2★")</f>
        <v>2★</v>
      </c>
      <c r="R7" s="355">
        <f>IFERROR(__xludf.DUMMYFUNCTION("""COMPUTED_VALUE"""),5.0)</f>
        <v>5</v>
      </c>
      <c r="T7" s="354" t="str">
        <f>IFERROR(__xludf.DUMMYFUNCTION("""COMPUTED_VALUE"""),"Skull Isle - Anchor 1★ #5E0")</f>
        <v>Skull Isle - Anchor 1★ #5E0</v>
      </c>
      <c r="U7" s="296">
        <f>IFERROR(__xludf.DUMMYFUNCTION("""COMPUTED_VALUE"""),20.0)</f>
        <v>20</v>
      </c>
      <c r="V7" s="353">
        <f>IFERROR(__xludf.DUMMYFUNCTION("if(U7="""", """", U7/sum(filter($U$3:$U$1000, $U$3:$U$1000&lt;&gt;"""")))"),0.056338028169014086)</f>
        <v>0.05633802817</v>
      </c>
    </row>
    <row r="8" ht="12.75" customHeight="1">
      <c r="A8" s="315" t="s">
        <v>518</v>
      </c>
      <c r="B8" s="358" t="s">
        <v>519</v>
      </c>
      <c r="C8" s="341">
        <v>1.0</v>
      </c>
      <c r="D8" s="359" t="s">
        <v>503</v>
      </c>
      <c r="E8" s="341" t="s">
        <v>444</v>
      </c>
      <c r="H8" s="296"/>
      <c r="I8" s="360" t="str">
        <f t="shared" si="1"/>
        <v>Skull Isle - Cutlass 2★</v>
      </c>
      <c r="J8" s="361">
        <v>20.0</v>
      </c>
      <c r="K8" s="361">
        <v>5.0</v>
      </c>
      <c r="M8" s="354" t="s">
        <v>520</v>
      </c>
      <c r="N8" s="296">
        <v>50.0</v>
      </c>
      <c r="O8" s="353">
        <v>0.02710027100271003</v>
      </c>
      <c r="Q8" s="362"/>
      <c r="R8" s="355"/>
      <c r="T8" s="354" t="str">
        <f>IFERROR(__xludf.DUMMYFUNCTION("""COMPUTED_VALUE"""),"Skull Isle - Helm 2★ #5FF")</f>
        <v>Skull Isle - Helm 2★ #5FF</v>
      </c>
      <c r="U8" s="296">
        <f>IFERROR(__xludf.DUMMYFUNCTION("""COMPUTED_VALUE"""),20.0)</f>
        <v>20</v>
      </c>
      <c r="V8" s="353">
        <f>IFERROR(__xludf.DUMMYFUNCTION("if(U8="""", """", U8/sum(filter($U$3:$U$1000, $U$3:$U$1000&lt;&gt;"""")))"),0.056338028169014086)</f>
        <v>0.05633802817</v>
      </c>
    </row>
    <row r="9" ht="12.75" customHeight="1">
      <c r="A9" s="315" t="s">
        <v>521</v>
      </c>
      <c r="B9" s="358" t="s">
        <v>522</v>
      </c>
      <c r="C9" s="341">
        <v>1.0</v>
      </c>
      <c r="D9" s="359" t="s">
        <v>503</v>
      </c>
      <c r="E9" s="341" t="s">
        <v>444</v>
      </c>
      <c r="I9" s="360" t="str">
        <f t="shared" si="1"/>
        <v>Skull Isle - Parrot 2★</v>
      </c>
      <c r="J9" s="361">
        <v>10.0</v>
      </c>
      <c r="K9" s="361">
        <v>2.0</v>
      </c>
      <c r="M9" s="354" t="s">
        <v>523</v>
      </c>
      <c r="N9" s="296">
        <v>50.0</v>
      </c>
      <c r="O9" s="353">
        <v>0.02710027100271003</v>
      </c>
      <c r="Q9" s="362"/>
      <c r="R9" s="355"/>
      <c r="T9" s="354" t="str">
        <f>IFERROR(__xludf.DUMMYFUNCTION("""COMPUTED_VALUE"""),"Skull Isle - Helm 2★ #B69")</f>
        <v>Skull Isle - Helm 2★ #B69</v>
      </c>
      <c r="U9" s="296">
        <f>IFERROR(__xludf.DUMMYFUNCTION("""COMPUTED_VALUE"""),20.0)</f>
        <v>20</v>
      </c>
      <c r="V9" s="353">
        <f>IFERROR(__xludf.DUMMYFUNCTION("if(U9="""", """", U9/sum(filter($U$3:$U$1000, $U$3:$U$1000&lt;&gt;"""")))"),0.056338028169014086)</f>
        <v>0.05633802817</v>
      </c>
    </row>
    <row r="10" ht="12.75" customHeight="1">
      <c r="A10" s="315" t="s">
        <v>524</v>
      </c>
      <c r="B10" s="358" t="s">
        <v>525</v>
      </c>
      <c r="C10" s="341">
        <v>1.0</v>
      </c>
      <c r="D10" s="359" t="s">
        <v>503</v>
      </c>
      <c r="E10" s="341" t="s">
        <v>445</v>
      </c>
      <c r="I10" s="360" t="str">
        <f t="shared" si="1"/>
        <v>Skull Isle - Chest 3★</v>
      </c>
      <c r="J10" s="361">
        <v>10.0</v>
      </c>
      <c r="K10" s="361">
        <v>2.0</v>
      </c>
      <c r="M10" s="354" t="s">
        <v>526</v>
      </c>
      <c r="N10" s="296">
        <v>50.0</v>
      </c>
      <c r="O10" s="353">
        <v>0.02710027100271003</v>
      </c>
      <c r="Q10" s="362"/>
      <c r="R10" s="355"/>
      <c r="T10" s="354" t="str">
        <f>IFERROR(__xludf.DUMMYFUNCTION("""COMPUTED_VALUE"""),"Skull Isle - Helm 2★ #61E")</f>
        <v>Skull Isle - Helm 2★ #61E</v>
      </c>
      <c r="U10" s="296">
        <f>IFERROR(__xludf.DUMMYFUNCTION("""COMPUTED_VALUE"""),20.0)</f>
        <v>20</v>
      </c>
      <c r="V10" s="353">
        <f>IFERROR(__xludf.DUMMYFUNCTION("if(U10="""", """", U10/sum(filter($U$3:$U$1000, $U$3:$U$1000&lt;&gt;"""")))"),0.056338028169014086)</f>
        <v>0.05633802817</v>
      </c>
    </row>
    <row r="11" ht="12.75" customHeight="1">
      <c r="A11" s="315" t="s">
        <v>527</v>
      </c>
      <c r="B11" s="358" t="s">
        <v>528</v>
      </c>
      <c r="C11" s="341">
        <v>1.0</v>
      </c>
      <c r="D11" s="359" t="s">
        <v>503</v>
      </c>
      <c r="E11" s="341" t="s">
        <v>445</v>
      </c>
      <c r="I11" s="360" t="str">
        <f t="shared" si="1"/>
        <v>Skull Isle - Skull 3★</v>
      </c>
      <c r="J11" s="361">
        <v>5.0</v>
      </c>
      <c r="K11" s="361">
        <v>1.0</v>
      </c>
      <c r="M11" s="354" t="s">
        <v>529</v>
      </c>
      <c r="N11" s="296">
        <v>50.0</v>
      </c>
      <c r="O11" s="353">
        <v>0.02710027100271003</v>
      </c>
      <c r="Q11" s="364" t="s">
        <v>530</v>
      </c>
      <c r="R11" s="355"/>
      <c r="T11" s="354" t="str">
        <f>IFERROR(__xludf.DUMMYFUNCTION("""COMPUTED_VALUE"""),"Skull Isle - Helm 2★ #0D3")</f>
        <v>Skull Isle - Helm 2★ #0D3</v>
      </c>
      <c r="U11" s="296">
        <f>IFERROR(__xludf.DUMMYFUNCTION("""COMPUTED_VALUE"""),20.0)</f>
        <v>20</v>
      </c>
      <c r="V11" s="353">
        <f>IFERROR(__xludf.DUMMYFUNCTION("if(U11="""", """", U11/sum(filter($U$3:$U$1000, $U$3:$U$1000&lt;&gt;"""")))"),0.056338028169014086)</f>
        <v>0.05633802817</v>
      </c>
    </row>
    <row r="12" ht="12.75" customHeight="1">
      <c r="A12" s="315" t="s">
        <v>531</v>
      </c>
      <c r="B12" s="358" t="s">
        <v>532</v>
      </c>
      <c r="C12" s="341">
        <v>2.0</v>
      </c>
      <c r="D12" s="359" t="s">
        <v>533</v>
      </c>
      <c r="E12" s="341" t="s">
        <v>443</v>
      </c>
      <c r="M12" s="354" t="s">
        <v>534</v>
      </c>
      <c r="N12" s="296">
        <v>50.0</v>
      </c>
      <c r="O12" s="353">
        <v>0.02710027100271003</v>
      </c>
      <c r="Q12" s="354" t="str">
        <f t="shared" ref="Q12:Q15" si="2">Q6</f>
        <v>1★</v>
      </c>
      <c r="R12" s="366">
        <f t="shared" ref="R12:R15" si="3">if(Q12="", "", R6/sum($R$6:$R$10))</f>
        <v>0.8571428571</v>
      </c>
      <c r="T12" s="354" t="str">
        <f>IFERROR(__xludf.DUMMYFUNCTION("""COMPUTED_VALUE"""),"Skull Isle - Cutlass 2★ #B88")</f>
        <v>Skull Isle - Cutlass 2★ #B88</v>
      </c>
      <c r="U12" s="296">
        <f>IFERROR(__xludf.DUMMYFUNCTION("""COMPUTED_VALUE"""),20.0)</f>
        <v>20</v>
      </c>
      <c r="V12" s="353">
        <f>IFERROR(__xludf.DUMMYFUNCTION("if(U12="""", """", U12/sum(filter($U$3:$U$1000, $U$3:$U$1000&lt;&gt;"""")))"),0.056338028169014086)</f>
        <v>0.05633802817</v>
      </c>
    </row>
    <row r="13" ht="12.75" customHeight="1">
      <c r="A13" s="315" t="s">
        <v>535</v>
      </c>
      <c r="B13" s="358" t="s">
        <v>536</v>
      </c>
      <c r="C13" s="341">
        <v>2.0</v>
      </c>
      <c r="D13" s="359" t="s">
        <v>533</v>
      </c>
      <c r="E13" s="341" t="s">
        <v>443</v>
      </c>
      <c r="M13" s="354" t="s">
        <v>537</v>
      </c>
      <c r="N13" s="296">
        <v>50.0</v>
      </c>
      <c r="O13" s="353">
        <v>0.02710027100271003</v>
      </c>
      <c r="Q13" s="354" t="str">
        <f t="shared" si="2"/>
        <v>2★</v>
      </c>
      <c r="R13" s="366">
        <f t="shared" si="3"/>
        <v>0.1428571429</v>
      </c>
      <c r="T13" s="354" t="str">
        <f>IFERROR(__xludf.DUMMYFUNCTION("""COMPUTED_VALUE"""),"Skull Isle - Cutlass 2★ #63D")</f>
        <v>Skull Isle - Cutlass 2★ #63D</v>
      </c>
      <c r="U13" s="296">
        <f>IFERROR(__xludf.DUMMYFUNCTION("""COMPUTED_VALUE"""),20.0)</f>
        <v>20</v>
      </c>
      <c r="V13" s="353">
        <f>IFERROR(__xludf.DUMMYFUNCTION("if(U13="""", """", U13/sum(filter($U$3:$U$1000, $U$3:$U$1000&lt;&gt;"""")))"),0.056338028169014086)</f>
        <v>0.05633802817</v>
      </c>
    </row>
    <row r="14" ht="12.75" customHeight="1">
      <c r="A14" s="315" t="s">
        <v>538</v>
      </c>
      <c r="B14" s="358" t="s">
        <v>539</v>
      </c>
      <c r="C14" s="341">
        <v>2.0</v>
      </c>
      <c r="D14" s="359" t="s">
        <v>533</v>
      </c>
      <c r="E14" s="341" t="s">
        <v>443</v>
      </c>
      <c r="M14" s="354" t="s">
        <v>540</v>
      </c>
      <c r="N14" s="296">
        <v>50.0</v>
      </c>
      <c r="O14" s="353">
        <v>0.02710027100271003</v>
      </c>
      <c r="Q14" s="354" t="str">
        <f t="shared" si="2"/>
        <v/>
      </c>
      <c r="R14" s="366" t="str">
        <f t="shared" si="3"/>
        <v/>
      </c>
      <c r="T14" s="354" t="str">
        <f>IFERROR(__xludf.DUMMYFUNCTION("""COMPUTED_VALUE"""),"Skull Isle - Cutlass 2★ #0F2")</f>
        <v>Skull Isle - Cutlass 2★ #0F2</v>
      </c>
      <c r="U14" s="296">
        <f>IFERROR(__xludf.DUMMYFUNCTION("""COMPUTED_VALUE"""),20.0)</f>
        <v>20</v>
      </c>
      <c r="V14" s="353">
        <f>IFERROR(__xludf.DUMMYFUNCTION("if(U14="""", """", U14/sum(filter($U$3:$U$1000, $U$3:$U$1000&lt;&gt;"""")))"),0.056338028169014086)</f>
        <v>0.05633802817</v>
      </c>
    </row>
    <row r="15" ht="12.75" customHeight="1">
      <c r="A15" s="315" t="s">
        <v>541</v>
      </c>
      <c r="B15" s="358" t="s">
        <v>542</v>
      </c>
      <c r="C15" s="341">
        <v>2.0</v>
      </c>
      <c r="D15" s="359" t="s">
        <v>533</v>
      </c>
      <c r="E15" s="341" t="s">
        <v>443</v>
      </c>
      <c r="M15" s="354" t="s">
        <v>543</v>
      </c>
      <c r="N15" s="296">
        <v>50.0</v>
      </c>
      <c r="O15" s="353">
        <v>0.02710027100271003</v>
      </c>
      <c r="Q15" s="354" t="str">
        <f t="shared" si="2"/>
        <v/>
      </c>
      <c r="R15" s="366" t="str">
        <f t="shared" si="3"/>
        <v/>
      </c>
      <c r="T15" s="354" t="str">
        <f>IFERROR(__xludf.DUMMYFUNCTION("""COMPUTED_VALUE"""),"Skull Isle - Chest 3★ #67B")</f>
        <v>Skull Isle - Chest 3★ #67B</v>
      </c>
      <c r="U15" s="296">
        <f>IFERROR(__xludf.DUMMYFUNCTION("""COMPUTED_VALUE"""),10.0)</f>
        <v>10</v>
      </c>
      <c r="V15" s="353">
        <f>IFERROR(__xludf.DUMMYFUNCTION("if(U15="""", """", U15/sum(filter($U$3:$U$1000, $U$3:$U$1000&lt;&gt;"""")))"),0.028169014084507043)</f>
        <v>0.02816901408</v>
      </c>
    </row>
    <row r="16" ht="12.75" customHeight="1">
      <c r="A16" s="315" t="s">
        <v>544</v>
      </c>
      <c r="B16" s="358" t="s">
        <v>545</v>
      </c>
      <c r="C16" s="341">
        <v>2.0</v>
      </c>
      <c r="D16" s="359" t="s">
        <v>533</v>
      </c>
      <c r="E16" s="341" t="s">
        <v>444</v>
      </c>
      <c r="M16" s="354" t="s">
        <v>546</v>
      </c>
      <c r="N16" s="296">
        <v>50.0</v>
      </c>
      <c r="O16" s="353">
        <v>0.02710027100271003</v>
      </c>
      <c r="Q16" s="367"/>
      <c r="R16" s="355"/>
      <c r="T16" s="354" t="str">
        <f>IFERROR(__xludf.DUMMYFUNCTION("""COMPUTED_VALUE"""),"Skull Isle - Chest 3★ #130")</f>
        <v>Skull Isle - Chest 3★ #130</v>
      </c>
      <c r="U16" s="296">
        <f>IFERROR(__xludf.DUMMYFUNCTION("""COMPUTED_VALUE"""),10.0)</f>
        <v>10</v>
      </c>
      <c r="V16" s="353">
        <f>IFERROR(__xludf.DUMMYFUNCTION("if(U16="""", """", U16/sum(filter($U$3:$U$1000, $U$3:$U$1000&lt;&gt;"""")))"),0.028169014084507043)</f>
        <v>0.02816901408</v>
      </c>
    </row>
    <row r="17" ht="12.75" customHeight="1">
      <c r="A17" s="315" t="s">
        <v>547</v>
      </c>
      <c r="B17" s="358" t="s">
        <v>548</v>
      </c>
      <c r="C17" s="341">
        <v>2.0</v>
      </c>
      <c r="D17" s="359" t="s">
        <v>533</v>
      </c>
      <c r="E17" s="341" t="s">
        <v>444</v>
      </c>
      <c r="M17" s="354" t="s">
        <v>549</v>
      </c>
      <c r="N17" s="296">
        <v>50.0</v>
      </c>
      <c r="O17" s="353">
        <v>0.02710027100271003</v>
      </c>
      <c r="Q17" s="367"/>
      <c r="R17" s="355"/>
      <c r="T17" s="354" t="str">
        <f>IFERROR(__xludf.DUMMYFUNCTION("""COMPUTED_VALUE"""),"Skull Isle - Skull 3★ #BE5")</f>
        <v>Skull Isle - Skull 3★ #BE5</v>
      </c>
      <c r="U17" s="296">
        <f>IFERROR(__xludf.DUMMYFUNCTION("""COMPUTED_VALUE"""),5.0)</f>
        <v>5</v>
      </c>
      <c r="V17" s="353">
        <f>IFERROR(__xludf.DUMMYFUNCTION("if(U17="""", """", U17/sum(filter($U$3:$U$1000, $U$3:$U$1000&lt;&gt;"""")))"),0.014084507042253521)</f>
        <v>0.01408450704</v>
      </c>
    </row>
    <row r="18" ht="12.75" customHeight="1">
      <c r="A18" s="315" t="s">
        <v>550</v>
      </c>
      <c r="B18" s="358" t="s">
        <v>551</v>
      </c>
      <c r="C18" s="341">
        <v>2.0</v>
      </c>
      <c r="D18" s="359" t="s">
        <v>533</v>
      </c>
      <c r="E18" s="341" t="s">
        <v>445</v>
      </c>
      <c r="M18" s="354" t="s">
        <v>552</v>
      </c>
      <c r="N18" s="296">
        <v>50.0</v>
      </c>
      <c r="O18" s="353">
        <v>0.02710027100271003</v>
      </c>
      <c r="Q18" s="354" t="str">
        <f>Q10</f>
        <v/>
      </c>
      <c r="R18" s="368" t="s">
        <v>553</v>
      </c>
      <c r="T18" s="354"/>
      <c r="U18" s="296"/>
      <c r="V18" s="353" t="str">
        <f>IFERROR(__xludf.DUMMYFUNCTION("if(U18="""", """", U18/sum(filter($U$3:$U$1000, $U$3:$U$1000&lt;&gt;"""")))"),"")</f>
        <v/>
      </c>
    </row>
    <row r="19" ht="12.75" customHeight="1">
      <c r="A19" s="315" t="s">
        <v>554</v>
      </c>
      <c r="B19" s="358" t="s">
        <v>555</v>
      </c>
      <c r="C19" s="341">
        <v>2.0</v>
      </c>
      <c r="D19" s="359" t="s">
        <v>533</v>
      </c>
      <c r="E19" s="341" t="s">
        <v>445</v>
      </c>
      <c r="M19" s="354" t="s">
        <v>556</v>
      </c>
      <c r="N19" s="296">
        <v>50.0</v>
      </c>
      <c r="O19" s="353">
        <v>0.02710027100271003</v>
      </c>
      <c r="Q19" s="367"/>
      <c r="R19" s="369">
        <f>IFERROR(__xludf.DUMMYFUNCTION("sum(arrayformula(right(index(split(filter($Q$22:$Q$35, $Q$22:$Q$35&lt;&gt;""""), ""★""), 0, 1), 1) * (filter($R$22:$R$35, $R$22:$R$35&lt;&gt;"""")-1)))"),30.0)</f>
        <v>30</v>
      </c>
      <c r="T19" s="354"/>
      <c r="U19" s="296"/>
      <c r="V19" s="353" t="str">
        <f>IFERROR(__xludf.DUMMYFUNCTION("if(U19="""", """", U19/sum(filter($U$3:$U$1000, $U$3:$U$1000&lt;&gt;"""")))"),"")</f>
        <v/>
      </c>
    </row>
    <row r="20" ht="12.75" customHeight="1">
      <c r="A20" s="315" t="s">
        <v>557</v>
      </c>
      <c r="B20" s="358" t="s">
        <v>558</v>
      </c>
      <c r="C20" s="341">
        <v>2.0</v>
      </c>
      <c r="D20" s="359" t="s">
        <v>533</v>
      </c>
      <c r="E20" s="341" t="s">
        <v>446</v>
      </c>
      <c r="M20" s="354" t="s">
        <v>559</v>
      </c>
      <c r="N20" s="296">
        <v>50.0</v>
      </c>
      <c r="O20" s="353">
        <v>0.02710027100271003</v>
      </c>
      <c r="Q20" s="354"/>
      <c r="R20" s="355"/>
      <c r="T20" s="354"/>
      <c r="U20" s="296"/>
      <c r="V20" s="353" t="str">
        <f>IFERROR(__xludf.DUMMYFUNCTION("if(U20="""", """", U20/sum(filter($U$3:$U$1000, $U$3:$U$1000&lt;&gt;"""")))"),"")</f>
        <v/>
      </c>
    </row>
    <row r="21" ht="12.75" customHeight="1">
      <c r="A21" s="315" t="s">
        <v>560</v>
      </c>
      <c r="B21" s="358" t="s">
        <v>561</v>
      </c>
      <c r="C21" s="341">
        <v>3.0</v>
      </c>
      <c r="D21" s="359" t="s">
        <v>562</v>
      </c>
      <c r="E21" s="341" t="s">
        <v>443</v>
      </c>
      <c r="M21" s="354" t="s">
        <v>563</v>
      </c>
      <c r="N21" s="296">
        <v>50.0</v>
      </c>
      <c r="O21" s="353">
        <v>0.02710027100271003</v>
      </c>
      <c r="Q21" s="352" t="s">
        <v>564</v>
      </c>
      <c r="R21" s="357" t="s">
        <v>565</v>
      </c>
      <c r="T21" s="354"/>
      <c r="U21" s="296"/>
      <c r="V21" s="353" t="str">
        <f>IFERROR(__xludf.DUMMYFUNCTION("if(U21="""", """", U21/sum(filter($U$3:$U$1000, $U$3:$U$1000&lt;&gt;"""")))"),"")</f>
        <v/>
      </c>
    </row>
    <row r="22" ht="12.75" customHeight="1">
      <c r="A22" s="315" t="s">
        <v>566</v>
      </c>
      <c r="B22" s="358" t="s">
        <v>567</v>
      </c>
      <c r="C22" s="341">
        <v>3.0</v>
      </c>
      <c r="D22" s="359" t="s">
        <v>562</v>
      </c>
      <c r="E22" s="341" t="s">
        <v>443</v>
      </c>
      <c r="M22" s="354" t="s">
        <v>568</v>
      </c>
      <c r="N22" s="296">
        <v>50.0</v>
      </c>
      <c r="O22" s="353">
        <v>0.02710027100271003</v>
      </c>
      <c r="Q22" s="370" t="str">
        <f>IFERROR(__xludf.DUMMYFUNCTION("unique(index(arrayformula(split(filter($Q$38:$Q$500, $Q$38:$Q$500&lt;&gt;""""), ""★"")&amp;""★""), 0, 1))"),"Skull Isle - Compass 1★")</f>
        <v>Skull Isle - Compass 1★</v>
      </c>
      <c r="R22" s="369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1)=Q22)))"),9.0)</f>
        <v>9</v>
      </c>
      <c r="T22" s="354"/>
      <c r="U22" s="296"/>
      <c r="V22" s="353" t="str">
        <f>IFERROR(__xludf.DUMMYFUNCTION("if(U22="""", """", U22/sum(filter($U$3:$U$1000, $U$3:$U$1000&lt;&gt;"""")))"),"")</f>
        <v/>
      </c>
    </row>
    <row r="23" ht="12.75" customHeight="1">
      <c r="A23" s="315" t="s">
        <v>569</v>
      </c>
      <c r="B23" s="358" t="s">
        <v>570</v>
      </c>
      <c r="C23" s="341">
        <v>3.0</v>
      </c>
      <c r="D23" s="359" t="s">
        <v>562</v>
      </c>
      <c r="E23" s="341" t="s">
        <v>443</v>
      </c>
      <c r="M23" s="354" t="s">
        <v>571</v>
      </c>
      <c r="N23" s="296">
        <v>50.0</v>
      </c>
      <c r="O23" s="353">
        <v>0.02710027100271003</v>
      </c>
      <c r="Q23" s="370" t="str">
        <f>IFERROR(__xludf.DUMMYFUNCTION("""COMPUTED_VALUE"""),"Skull Isle - Map 1★")</f>
        <v>Skull Isle - Map 1★</v>
      </c>
      <c r="R23" s="369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1)=Q23)))"),10.0)</f>
        <v>10</v>
      </c>
      <c r="T23" s="354"/>
      <c r="U23" s="296"/>
      <c r="V23" s="353" t="str">
        <f>IFERROR(__xludf.DUMMYFUNCTION("if(U23="""", """", U23/sum(filter($U$3:$U$1000, $U$3:$U$1000&lt;&gt;"""")))"),"")</f>
        <v/>
      </c>
    </row>
    <row r="24" ht="12.75" customHeight="1">
      <c r="A24" s="315" t="s">
        <v>572</v>
      </c>
      <c r="B24" s="358" t="s">
        <v>573</v>
      </c>
      <c r="C24" s="341">
        <v>3.0</v>
      </c>
      <c r="D24" s="359" t="s">
        <v>562</v>
      </c>
      <c r="E24" s="341" t="s">
        <v>444</v>
      </c>
      <c r="M24" s="354" t="s">
        <v>574</v>
      </c>
      <c r="N24" s="296">
        <v>50.0</v>
      </c>
      <c r="O24" s="353">
        <v>0.02710027100271003</v>
      </c>
      <c r="Q24" s="370" t="str">
        <f>IFERROR(__xludf.DUMMYFUNCTION("""COMPUTED_VALUE"""),"Skull Isle - Parrot 2★")</f>
        <v>Skull Isle - Parrot 2★</v>
      </c>
      <c r="R24" s="369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1)=Q24)))"),2.0)</f>
        <v>2</v>
      </c>
      <c r="T24" s="354"/>
      <c r="U24" s="296"/>
      <c r="V24" s="353" t="str">
        <f>IFERROR(__xludf.DUMMYFUNCTION("if(U24="""", """", U24/sum(filter($U$3:$U$1000, $U$3:$U$1000&lt;&gt;"""")))"),"")</f>
        <v/>
      </c>
    </row>
    <row r="25" ht="12.75" customHeight="1">
      <c r="A25" s="315" t="s">
        <v>575</v>
      </c>
      <c r="B25" s="358" t="s">
        <v>576</v>
      </c>
      <c r="C25" s="341">
        <v>3.0</v>
      </c>
      <c r="D25" s="359" t="s">
        <v>562</v>
      </c>
      <c r="E25" s="341" t="s">
        <v>444</v>
      </c>
      <c r="M25" s="354" t="s">
        <v>577</v>
      </c>
      <c r="N25" s="296">
        <v>50.0</v>
      </c>
      <c r="O25" s="353">
        <v>0.02710027100271003</v>
      </c>
      <c r="Q25" s="370" t="str">
        <f>IFERROR(__xludf.DUMMYFUNCTION("""COMPUTED_VALUE"""),"Skull Isle - Cutlass 2★")</f>
        <v>Skull Isle - Cutlass 2★</v>
      </c>
      <c r="R25" s="369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1)=Q25)))"),2.0)</f>
        <v>2</v>
      </c>
      <c r="T25" s="354"/>
      <c r="U25" s="296"/>
      <c r="V25" s="353" t="str">
        <f>IFERROR(__xludf.DUMMYFUNCTION("if(U25="""", """", U25/sum(filter($U$3:$U$1000, $U$3:$U$1000&lt;&gt;"""")))"),"")</f>
        <v/>
      </c>
    </row>
    <row r="26" ht="12.75" customHeight="1">
      <c r="A26" s="315" t="s">
        <v>578</v>
      </c>
      <c r="B26" s="358" t="s">
        <v>579</v>
      </c>
      <c r="C26" s="341">
        <v>3.0</v>
      </c>
      <c r="D26" s="359" t="s">
        <v>562</v>
      </c>
      <c r="E26" s="341" t="s">
        <v>445</v>
      </c>
      <c r="M26" s="354" t="s">
        <v>580</v>
      </c>
      <c r="N26" s="296">
        <v>50.0</v>
      </c>
      <c r="O26" s="353">
        <v>0.02710027100271003</v>
      </c>
      <c r="Q26" s="370" t="str">
        <f>IFERROR(__xludf.DUMMYFUNCTION("""COMPUTED_VALUE"""),"Skull Isle - Spyglass 1★")</f>
        <v>Skull Isle - Spyglass 1★</v>
      </c>
      <c r="R26" s="369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1)=Q26)))"),8.0)</f>
        <v>8</v>
      </c>
      <c r="T26" s="354"/>
      <c r="U26" s="296"/>
      <c r="V26" s="353" t="str">
        <f>IFERROR(__xludf.DUMMYFUNCTION("if(U26="""", """", U26/sum(filter($U$3:$U$1000, $U$3:$U$1000&lt;&gt;"""")))"),"")</f>
        <v/>
      </c>
    </row>
    <row r="27" ht="12.75" customHeight="1">
      <c r="A27" s="315" t="s">
        <v>581</v>
      </c>
      <c r="B27" s="358" t="s">
        <v>582</v>
      </c>
      <c r="C27" s="341">
        <v>3.0</v>
      </c>
      <c r="D27" s="359" t="s">
        <v>562</v>
      </c>
      <c r="E27" s="341" t="s">
        <v>446</v>
      </c>
      <c r="M27" s="354" t="s">
        <v>583</v>
      </c>
      <c r="N27" s="296">
        <v>50.0</v>
      </c>
      <c r="O27" s="353">
        <v>0.02710027100271003</v>
      </c>
      <c r="Q27" s="370" t="str">
        <f>IFERROR(__xludf.DUMMYFUNCTION("""COMPUTED_VALUE"""),"Skull Isle - Anchor 1★")</f>
        <v>Skull Isle - Anchor 1★</v>
      </c>
      <c r="R27" s="369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1)=Q27)))"),3.0)</f>
        <v>3</v>
      </c>
      <c r="T27" s="354"/>
      <c r="U27" s="296"/>
      <c r="V27" s="353" t="str">
        <f>IFERROR(__xludf.DUMMYFUNCTION("if(U27="""", """", U27/sum(filter($U$3:$U$1000, $U$3:$U$1000&lt;&gt;"""")))"),"")</f>
        <v/>
      </c>
    </row>
    <row r="28" ht="12.75" customHeight="1">
      <c r="A28" s="315" t="s">
        <v>584</v>
      </c>
      <c r="B28" s="358" t="s">
        <v>585</v>
      </c>
      <c r="C28" s="341">
        <v>3.0</v>
      </c>
      <c r="D28" s="359" t="s">
        <v>562</v>
      </c>
      <c r="E28" s="341" t="s">
        <v>446</v>
      </c>
      <c r="M28" s="354" t="s">
        <v>586</v>
      </c>
      <c r="N28" s="296">
        <v>50.0</v>
      </c>
      <c r="O28" s="353">
        <v>0.02710027100271003</v>
      </c>
      <c r="Q28" s="370" t="str">
        <f>IFERROR(__xludf.DUMMYFUNCTION("""COMPUTED_VALUE"""),"Skull Isle - Helm 2★")</f>
        <v>Skull Isle - Helm 2★</v>
      </c>
      <c r="R28" s="369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1)=Q28)))"),1.0)</f>
        <v>1</v>
      </c>
      <c r="T28" s="354"/>
      <c r="U28" s="296"/>
      <c r="V28" s="353" t="str">
        <f>IFERROR(__xludf.DUMMYFUNCTION("if(U28="""", """", U28/sum(filter($U$3:$U$1000, $U$3:$U$1000&lt;&gt;"""")))"),"")</f>
        <v/>
      </c>
    </row>
    <row r="29" ht="12.75" customHeight="1">
      <c r="A29" s="315" t="s">
        <v>587</v>
      </c>
      <c r="B29" s="358" t="s">
        <v>588</v>
      </c>
      <c r="C29" s="341">
        <v>3.0</v>
      </c>
      <c r="D29" s="359" t="s">
        <v>562</v>
      </c>
      <c r="E29" s="341" t="s">
        <v>447</v>
      </c>
      <c r="M29" s="354" t="s">
        <v>589</v>
      </c>
      <c r="N29" s="296">
        <v>50.0</v>
      </c>
      <c r="O29" s="353">
        <v>0.02710027100271003</v>
      </c>
      <c r="Q29" s="370"/>
      <c r="R29" s="369" t="str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1)=Q29)))"),"")</f>
        <v/>
      </c>
      <c r="T29" s="354"/>
      <c r="U29" s="296"/>
      <c r="V29" s="353" t="str">
        <f>IFERROR(__xludf.DUMMYFUNCTION("if(U29="""", """", U29/sum(filter($U$3:$U$1000, $U$3:$U$1000&lt;&gt;"""")))"),"")</f>
        <v/>
      </c>
    </row>
    <row r="30" ht="12.75" customHeight="1">
      <c r="A30" s="315" t="s">
        <v>590</v>
      </c>
      <c r="B30" s="358" t="s">
        <v>591</v>
      </c>
      <c r="C30" s="341">
        <v>4.0</v>
      </c>
      <c r="D30" s="359" t="s">
        <v>592</v>
      </c>
      <c r="E30" s="341" t="s">
        <v>443</v>
      </c>
      <c r="M30" s="354" t="s">
        <v>593</v>
      </c>
      <c r="N30" s="296">
        <v>50.0</v>
      </c>
      <c r="O30" s="353">
        <v>0.02710027100271003</v>
      </c>
      <c r="Q30" s="370"/>
      <c r="R30" s="369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354"/>
      <c r="U30" s="296"/>
      <c r="V30" s="353" t="str">
        <f>IFERROR(__xludf.DUMMYFUNCTION("if(U30="""", """", U30/sum(filter($U$3:$U$1000, $U$3:$U$1000&lt;&gt;"""")))"),"")</f>
        <v/>
      </c>
    </row>
    <row r="31" ht="12.75" customHeight="1">
      <c r="A31" s="315" t="s">
        <v>594</v>
      </c>
      <c r="B31" s="358" t="s">
        <v>595</v>
      </c>
      <c r="C31" s="341">
        <v>4.0</v>
      </c>
      <c r="D31" s="359" t="s">
        <v>592</v>
      </c>
      <c r="E31" s="341" t="s">
        <v>443</v>
      </c>
      <c r="M31" s="354" t="s">
        <v>596</v>
      </c>
      <c r="N31" s="296">
        <v>50.0</v>
      </c>
      <c r="O31" s="353">
        <v>0.02710027100271003</v>
      </c>
      <c r="Q31" s="370"/>
      <c r="R31" s="369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354"/>
      <c r="U31" s="296"/>
      <c r="V31" s="353" t="str">
        <f>IFERROR(__xludf.DUMMYFUNCTION("if(U31="""", """", U31/sum(filter($U$3:$U$1000, $U$3:$U$1000&lt;&gt;"""")))"),"")</f>
        <v/>
      </c>
    </row>
    <row r="32" ht="12.75" customHeight="1">
      <c r="A32" s="315" t="s">
        <v>597</v>
      </c>
      <c r="B32" s="358" t="s">
        <v>598</v>
      </c>
      <c r="C32" s="341">
        <v>4.0</v>
      </c>
      <c r="D32" s="359" t="s">
        <v>592</v>
      </c>
      <c r="E32" s="341" t="s">
        <v>444</v>
      </c>
      <c r="M32" s="354" t="s">
        <v>599</v>
      </c>
      <c r="N32" s="296">
        <v>50.0</v>
      </c>
      <c r="O32" s="353">
        <v>0.02710027100271003</v>
      </c>
      <c r="Q32" s="370"/>
      <c r="R32" s="369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354"/>
      <c r="U32" s="296"/>
      <c r="V32" s="353" t="str">
        <f>IFERROR(__xludf.DUMMYFUNCTION("if(U32="""", """", U32/sum(filter($U$3:$U$1000, $U$3:$U$1000&lt;&gt;"""")))"),"")</f>
        <v/>
      </c>
    </row>
    <row r="33" ht="12.75" customHeight="1">
      <c r="A33" s="315" t="s">
        <v>600</v>
      </c>
      <c r="B33" s="358" t="s">
        <v>601</v>
      </c>
      <c r="C33" s="341">
        <v>4.0</v>
      </c>
      <c r="D33" s="359" t="s">
        <v>592</v>
      </c>
      <c r="E33" s="341" t="s">
        <v>444</v>
      </c>
      <c r="M33" s="354" t="s">
        <v>602</v>
      </c>
      <c r="N33" s="296">
        <v>20.0</v>
      </c>
      <c r="O33" s="353">
        <v>0.01084010840108401</v>
      </c>
      <c r="Q33" s="370"/>
      <c r="R33" s="369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354"/>
      <c r="U33" s="296"/>
      <c r="V33" s="353" t="str">
        <f>IFERROR(__xludf.DUMMYFUNCTION("if(U33="""", """", U33/sum(filter($U$3:$U$1000, $U$3:$U$1000&lt;&gt;"""")))"),"")</f>
        <v/>
      </c>
    </row>
    <row r="34" ht="12.75" customHeight="1">
      <c r="A34" s="315" t="s">
        <v>603</v>
      </c>
      <c r="B34" s="358" t="s">
        <v>604</v>
      </c>
      <c r="C34" s="341">
        <v>4.0</v>
      </c>
      <c r="D34" s="359" t="s">
        <v>592</v>
      </c>
      <c r="E34" s="341" t="s">
        <v>445</v>
      </c>
      <c r="M34" s="354" t="s">
        <v>605</v>
      </c>
      <c r="N34" s="296">
        <v>20.0</v>
      </c>
      <c r="O34" s="353">
        <v>0.01084010840108401</v>
      </c>
      <c r="Q34" s="370"/>
      <c r="R34" s="369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354"/>
      <c r="U34" s="296"/>
      <c r="V34" s="353" t="str">
        <f>IFERROR(__xludf.DUMMYFUNCTION("if(U34="""", """", U34/sum(filter($U$3:$U$1000, $U$3:$U$1000&lt;&gt;"""")))"),"")</f>
        <v/>
      </c>
    </row>
    <row r="35" ht="12.75" customHeight="1">
      <c r="A35" s="315" t="s">
        <v>606</v>
      </c>
      <c r="B35" s="358" t="s">
        <v>607</v>
      </c>
      <c r="C35" s="341">
        <v>4.0</v>
      </c>
      <c r="D35" s="359" t="s">
        <v>592</v>
      </c>
      <c r="E35" s="341" t="s">
        <v>445</v>
      </c>
      <c r="M35" s="354" t="s">
        <v>608</v>
      </c>
      <c r="N35" s="296">
        <v>20.0</v>
      </c>
      <c r="O35" s="353">
        <v>0.01084010840108401</v>
      </c>
      <c r="Q35" s="354"/>
      <c r="R35" s="369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354"/>
      <c r="U35" s="296"/>
      <c r="V35" s="353" t="str">
        <f>IFERROR(__xludf.DUMMYFUNCTION("if(U35="""", """", U35/sum(filter($U$3:$U$1000, $U$3:$U$1000&lt;&gt;"""")))"),"")</f>
        <v/>
      </c>
    </row>
    <row r="36" ht="12.75" customHeight="1">
      <c r="A36" s="315" t="s">
        <v>609</v>
      </c>
      <c r="B36" s="358" t="s">
        <v>610</v>
      </c>
      <c r="C36" s="341">
        <v>4.0</v>
      </c>
      <c r="D36" s="359" t="s">
        <v>592</v>
      </c>
      <c r="E36" s="341" t="s">
        <v>446</v>
      </c>
      <c r="M36" s="354" t="s">
        <v>611</v>
      </c>
      <c r="N36" s="296">
        <v>20.0</v>
      </c>
      <c r="O36" s="353">
        <v>0.01084010840108401</v>
      </c>
      <c r="Q36" s="354"/>
      <c r="R36" s="355"/>
      <c r="T36" s="354"/>
      <c r="U36" s="296"/>
      <c r="V36" s="353" t="str">
        <f>IFERROR(__xludf.DUMMYFUNCTION("if(U36="""", """", U36/sum(filter($U$3:$U$1000, $U$3:$U$1000&lt;&gt;"""")))"),"")</f>
        <v/>
      </c>
    </row>
    <row r="37" ht="12.75" customHeight="1">
      <c r="A37" s="315" t="s">
        <v>612</v>
      </c>
      <c r="B37" s="358" t="s">
        <v>613</v>
      </c>
      <c r="C37" s="341">
        <v>4.0</v>
      </c>
      <c r="D37" s="359" t="s">
        <v>592</v>
      </c>
      <c r="E37" s="341" t="s">
        <v>446</v>
      </c>
      <c r="M37" s="354" t="s">
        <v>614</v>
      </c>
      <c r="N37" s="296">
        <v>20.0</v>
      </c>
      <c r="O37" s="353">
        <v>0.01084010840108401</v>
      </c>
      <c r="Q37" s="352" t="s">
        <v>615</v>
      </c>
      <c r="R37" s="355"/>
      <c r="T37" s="354"/>
      <c r="U37" s="296"/>
      <c r="V37" s="353" t="str">
        <f>IFERROR(__xludf.DUMMYFUNCTION("if(U37="""", """", U37/sum(filter($U$3:$U$1000, $U$3:$U$1000&lt;&gt;"""")))"),"")</f>
        <v/>
      </c>
    </row>
    <row r="38" ht="12.75" customHeight="1">
      <c r="A38" s="315" t="s">
        <v>616</v>
      </c>
      <c r="B38" s="358" t="s">
        <v>617</v>
      </c>
      <c r="C38" s="341">
        <v>4.0</v>
      </c>
      <c r="D38" s="359" t="s">
        <v>592</v>
      </c>
      <c r="E38" s="341" t="s">
        <v>447</v>
      </c>
      <c r="M38" s="354" t="s">
        <v>618</v>
      </c>
      <c r="N38" s="296">
        <v>20.0</v>
      </c>
      <c r="O38" s="353">
        <v>0.01084010840108401</v>
      </c>
      <c r="Q38" s="354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Compass 1★ #F7E")</f>
        <v>Skull Isle - Compass 1★ #F7E</v>
      </c>
      <c r="R38" s="355"/>
      <c r="T38" s="354"/>
      <c r="U38" s="296"/>
      <c r="V38" s="353" t="str">
        <f>IFERROR(__xludf.DUMMYFUNCTION("if(U38="""", """", U38/sum(filter($U$3:$U$1000, $U$3:$U$1000&lt;&gt;"""")))"),"")</f>
        <v/>
      </c>
    </row>
    <row r="39" ht="12.75" customHeight="1">
      <c r="A39" s="315" t="s">
        <v>619</v>
      </c>
      <c r="B39" s="358" t="s">
        <v>620</v>
      </c>
      <c r="C39" s="341">
        <v>5.0</v>
      </c>
      <c r="D39" s="359" t="s">
        <v>621</v>
      </c>
      <c r="E39" s="341" t="s">
        <v>443</v>
      </c>
      <c r="M39" s="354" t="s">
        <v>622</v>
      </c>
      <c r="N39" s="296">
        <v>20.0</v>
      </c>
      <c r="O39" s="353">
        <v>0.01084010840108401</v>
      </c>
      <c r="Q39" s="354" t="str">
        <f>IFERROR(__xludf.DUMMYFUNCTION("""COMPUTED_VALUE"""),"Skull Isle - Map 1★ #507")</f>
        <v>Skull Isle - Map 1★ #507</v>
      </c>
      <c r="R39" s="355"/>
      <c r="T39" s="354"/>
      <c r="U39" s="296"/>
      <c r="V39" s="353" t="str">
        <f>IFERROR(__xludf.DUMMYFUNCTION("if(U39="""", """", U39/sum(filter($U$3:$U$1000, $U$3:$U$1000&lt;&gt;"""")))"),"")</f>
        <v/>
      </c>
    </row>
    <row r="40" ht="12.75" customHeight="1">
      <c r="A40" s="315" t="s">
        <v>623</v>
      </c>
      <c r="B40" s="358" t="s">
        <v>624</v>
      </c>
      <c r="C40" s="341">
        <v>5.0</v>
      </c>
      <c r="D40" s="359" t="s">
        <v>621</v>
      </c>
      <c r="E40" s="341" t="s">
        <v>443</v>
      </c>
      <c r="M40" s="354" t="s">
        <v>625</v>
      </c>
      <c r="N40" s="296">
        <v>20.0</v>
      </c>
      <c r="O40" s="353">
        <v>0.01084010840108401</v>
      </c>
      <c r="Q40" s="354" t="str">
        <f>IFERROR(__xludf.DUMMYFUNCTION("""COMPUTED_VALUE"""),"Skull Isle - Map 1★ #526")</f>
        <v>Skull Isle - Map 1★ #526</v>
      </c>
      <c r="R40" s="355"/>
      <c r="T40" s="354"/>
      <c r="U40" s="296"/>
      <c r="V40" s="353" t="str">
        <f>IFERROR(__xludf.DUMMYFUNCTION("if(U40="""", """", U40/sum(filter($U$3:$U$1000, $U$3:$U$1000&lt;&gt;"""")))"),"")</f>
        <v/>
      </c>
    </row>
    <row r="41" ht="12.75" customHeight="1">
      <c r="A41" s="315" t="s">
        <v>626</v>
      </c>
      <c r="B41" s="358" t="s">
        <v>627</v>
      </c>
      <c r="C41" s="341">
        <v>5.0</v>
      </c>
      <c r="D41" s="359" t="s">
        <v>621</v>
      </c>
      <c r="E41" s="341" t="s">
        <v>444</v>
      </c>
      <c r="M41" s="354" t="s">
        <v>628</v>
      </c>
      <c r="N41" s="296">
        <v>20.0</v>
      </c>
      <c r="O41" s="353">
        <v>0.01084010840108401</v>
      </c>
      <c r="Q41" s="354" t="str">
        <f>IFERROR(__xludf.DUMMYFUNCTION("""COMPUTED_VALUE"""),"Skull Isle - Compass 1★ #A14")</f>
        <v>Skull Isle - Compass 1★ #A14</v>
      </c>
      <c r="R41" s="355"/>
      <c r="T41" s="354"/>
      <c r="U41" s="296"/>
      <c r="V41" s="353" t="str">
        <f>IFERROR(__xludf.DUMMYFUNCTION("if(U41="""", """", U41/sum(filter($U$3:$U$1000, $U$3:$U$1000&lt;&gt;"""")))"),"")</f>
        <v/>
      </c>
    </row>
    <row r="42" ht="12.75" customHeight="1">
      <c r="A42" s="315" t="s">
        <v>629</v>
      </c>
      <c r="B42" s="358" t="s">
        <v>630</v>
      </c>
      <c r="C42" s="341">
        <v>5.0</v>
      </c>
      <c r="D42" s="359" t="s">
        <v>621</v>
      </c>
      <c r="E42" s="341" t="s">
        <v>444</v>
      </c>
      <c r="M42" s="354" t="s">
        <v>631</v>
      </c>
      <c r="N42" s="296">
        <v>20.0</v>
      </c>
      <c r="O42" s="353">
        <v>0.01084010840108401</v>
      </c>
      <c r="Q42" s="354" t="str">
        <f>IFERROR(__xludf.DUMMYFUNCTION("""COMPUTED_VALUE"""),"Skull Isle - Parrot 2★ #BC6")</f>
        <v>Skull Isle - Parrot 2★ #BC6</v>
      </c>
      <c r="R42" s="355"/>
      <c r="T42" s="354"/>
      <c r="U42" s="296"/>
      <c r="V42" s="353" t="str">
        <f>IFERROR(__xludf.DUMMYFUNCTION("if(U42="""", """", U42/sum(filter($U$3:$U$1000, $U$3:$U$1000&lt;&gt;"""")))"),"")</f>
        <v/>
      </c>
    </row>
    <row r="43" ht="12.75" customHeight="1">
      <c r="A43" s="315" t="s">
        <v>632</v>
      </c>
      <c r="B43" s="358" t="s">
        <v>633</v>
      </c>
      <c r="C43" s="341">
        <v>5.0</v>
      </c>
      <c r="D43" s="359" t="s">
        <v>621</v>
      </c>
      <c r="E43" s="341" t="s">
        <v>445</v>
      </c>
      <c r="M43" s="354" t="s">
        <v>634</v>
      </c>
      <c r="N43" s="296">
        <v>20.0</v>
      </c>
      <c r="O43" s="353">
        <v>0.01084010840108401</v>
      </c>
      <c r="Q43" s="354" t="str">
        <f>IFERROR(__xludf.DUMMYFUNCTION("""COMPUTED_VALUE"""),"Skull Isle - Cutlass 2★ #65C")</f>
        <v>Skull Isle - Cutlass 2★ #65C</v>
      </c>
      <c r="R43" s="355"/>
      <c r="T43" s="354"/>
      <c r="U43" s="296"/>
      <c r="V43" s="353" t="str">
        <f>IFERROR(__xludf.DUMMYFUNCTION("if(U43="""", """", U43/sum(filter($U$3:$U$1000, $U$3:$U$1000&lt;&gt;"""")))"),"")</f>
        <v/>
      </c>
    </row>
    <row r="44" ht="12.75" customHeight="1">
      <c r="A44" s="315" t="s">
        <v>635</v>
      </c>
      <c r="B44" s="358" t="s">
        <v>636</v>
      </c>
      <c r="C44" s="341">
        <v>5.0</v>
      </c>
      <c r="D44" s="359" t="s">
        <v>621</v>
      </c>
      <c r="E44" s="341" t="s">
        <v>446</v>
      </c>
      <c r="M44" s="354" t="s">
        <v>637</v>
      </c>
      <c r="N44" s="296">
        <v>20.0</v>
      </c>
      <c r="O44" s="353">
        <v>0.01084010840108401</v>
      </c>
      <c r="Q44" s="354" t="str">
        <f>IFERROR(__xludf.DUMMYFUNCTION("""COMPUTED_VALUE"""),"Skull Isle - Cutlass 2★ #BA7")</f>
        <v>Skull Isle - Cutlass 2★ #BA7</v>
      </c>
      <c r="R44" s="355"/>
      <c r="T44" s="354"/>
      <c r="U44" s="296"/>
      <c r="V44" s="353" t="str">
        <f>IFERROR(__xludf.DUMMYFUNCTION("if(U44="""", """", U44/sum(filter($U$3:$U$1000, $U$3:$U$1000&lt;&gt;"""")))"),"")</f>
        <v/>
      </c>
    </row>
    <row r="45" ht="12.75" customHeight="1">
      <c r="A45" s="315" t="s">
        <v>638</v>
      </c>
      <c r="B45" s="358" t="s">
        <v>639</v>
      </c>
      <c r="C45" s="341">
        <v>5.0</v>
      </c>
      <c r="D45" s="359" t="s">
        <v>621</v>
      </c>
      <c r="E45" s="341" t="s">
        <v>446</v>
      </c>
      <c r="M45" s="354" t="s">
        <v>640</v>
      </c>
      <c r="N45" s="296">
        <v>20.0</v>
      </c>
      <c r="O45" s="353">
        <v>0.01084010840108401</v>
      </c>
      <c r="Q45" s="354" t="str">
        <f>IFERROR(__xludf.DUMMYFUNCTION("""COMPUTED_VALUE"""),"Skull Isle - Map 1★ #FBC")</f>
        <v>Skull Isle - Map 1★ #FBC</v>
      </c>
      <c r="R45" s="355"/>
      <c r="T45" s="354"/>
      <c r="U45" s="296"/>
      <c r="V45" s="353" t="str">
        <f>IFERROR(__xludf.DUMMYFUNCTION("if(U45="""", """", U45/sum(filter($U$3:$U$1000, $U$3:$U$1000&lt;&gt;"""")))"),"")</f>
        <v/>
      </c>
    </row>
    <row r="46" ht="12.75" customHeight="1">
      <c r="A46" s="315" t="s">
        <v>641</v>
      </c>
      <c r="B46" s="358" t="s">
        <v>642</v>
      </c>
      <c r="C46" s="341">
        <v>5.0</v>
      </c>
      <c r="D46" s="359" t="s">
        <v>621</v>
      </c>
      <c r="E46" s="341" t="s">
        <v>447</v>
      </c>
      <c r="M46" s="354" t="s">
        <v>643</v>
      </c>
      <c r="N46" s="296">
        <v>20.0</v>
      </c>
      <c r="O46" s="353">
        <v>0.01084010840108401</v>
      </c>
      <c r="Q46" s="354" t="str">
        <f>IFERROR(__xludf.DUMMYFUNCTION("""COMPUTED_VALUE"""),"Skull Isle - Compass 1★ #4E8")</f>
        <v>Skull Isle - Compass 1★ #4E8</v>
      </c>
      <c r="R46" s="355"/>
      <c r="T46" s="367"/>
      <c r="U46" s="296"/>
      <c r="V46" s="353" t="str">
        <f>IFERROR(__xludf.DUMMYFUNCTION("if(U46="""", """", U46/sum(filter($U$3:$U$1000, $U$3:$U$1000&lt;&gt;"""")))"),"")</f>
        <v/>
      </c>
    </row>
    <row r="47" ht="12.75" customHeight="1">
      <c r="A47" s="315" t="s">
        <v>644</v>
      </c>
      <c r="B47" s="358" t="s">
        <v>645</v>
      </c>
      <c r="C47" s="341">
        <v>5.0</v>
      </c>
      <c r="D47" s="359" t="s">
        <v>621</v>
      </c>
      <c r="E47" s="341" t="s">
        <v>447</v>
      </c>
      <c r="M47" s="354" t="s">
        <v>646</v>
      </c>
      <c r="N47" s="296">
        <v>20.0</v>
      </c>
      <c r="O47" s="353">
        <v>0.01084010840108401</v>
      </c>
      <c r="Q47" s="354" t="str">
        <f>IFERROR(__xludf.DUMMYFUNCTION("""COMPUTED_VALUE"""),"Skull Isle - Spyglass 1★ #038")</f>
        <v>Skull Isle - Spyglass 1★ #038</v>
      </c>
      <c r="R47" s="355"/>
      <c r="T47" s="367"/>
      <c r="U47" s="296"/>
      <c r="V47" s="353" t="str">
        <f>IFERROR(__xludf.DUMMYFUNCTION("if(U47="""", """", U47/sum(filter($U$3:$U$1000, $U$3:$U$1000&lt;&gt;"""")))"),"")</f>
        <v/>
      </c>
    </row>
    <row r="48" ht="12.75" customHeight="1">
      <c r="A48" s="315" t="s">
        <v>647</v>
      </c>
      <c r="B48" s="358" t="s">
        <v>648</v>
      </c>
      <c r="C48" s="341">
        <v>6.0</v>
      </c>
      <c r="D48" s="359" t="s">
        <v>649</v>
      </c>
      <c r="E48" s="341" t="s">
        <v>443</v>
      </c>
      <c r="M48" s="354" t="s">
        <v>650</v>
      </c>
      <c r="N48" s="296">
        <v>10.0</v>
      </c>
      <c r="O48" s="353">
        <v>0.005420054200542005</v>
      </c>
      <c r="Q48" s="354" t="str">
        <f>IFERROR(__xludf.DUMMYFUNCTION("""COMPUTED_VALUE"""),"Skull Isle - Map 1★ #FDB")</f>
        <v>Skull Isle - Map 1★ #FDB</v>
      </c>
      <c r="R48" s="355"/>
      <c r="T48" s="367"/>
      <c r="U48" s="296"/>
      <c r="V48" s="353" t="str">
        <f>IFERROR(__xludf.DUMMYFUNCTION("if(U48="""", """", U48/sum(filter($U$3:$U$1000, $U$3:$U$1000&lt;&gt;"""")))"),"")</f>
        <v/>
      </c>
    </row>
    <row r="49" ht="12.75" customHeight="1">
      <c r="A49" s="315" t="s">
        <v>651</v>
      </c>
      <c r="B49" s="358" t="s">
        <v>652</v>
      </c>
      <c r="C49" s="341">
        <v>6.0</v>
      </c>
      <c r="D49" s="359" t="s">
        <v>649</v>
      </c>
      <c r="E49" s="341" t="s">
        <v>443</v>
      </c>
      <c r="M49" s="354" t="s">
        <v>653</v>
      </c>
      <c r="N49" s="296">
        <v>10.0</v>
      </c>
      <c r="O49" s="353">
        <v>0.005420054200542005</v>
      </c>
      <c r="Q49" s="354" t="str">
        <f>IFERROR(__xludf.DUMMYFUNCTION("""COMPUTED_VALUE"""),"Skull Isle - Spyglass 1★ #564")</f>
        <v>Skull Isle - Spyglass 1★ #564</v>
      </c>
      <c r="R49" s="355"/>
      <c r="T49" s="367"/>
      <c r="U49" s="296"/>
      <c r="V49" s="353" t="str">
        <f>IFERROR(__xludf.DUMMYFUNCTION("if(U49="""", """", U49/sum(filter($U$3:$U$1000, $U$3:$U$1000&lt;&gt;"""")))"),"")</f>
        <v/>
      </c>
    </row>
    <row r="50" ht="12.75" customHeight="1">
      <c r="A50" s="315" t="s">
        <v>654</v>
      </c>
      <c r="B50" s="358" t="s">
        <v>655</v>
      </c>
      <c r="C50" s="341">
        <v>6.0</v>
      </c>
      <c r="D50" s="359" t="s">
        <v>649</v>
      </c>
      <c r="E50" s="341" t="s">
        <v>444</v>
      </c>
      <c r="M50" s="354" t="s">
        <v>656</v>
      </c>
      <c r="N50" s="296">
        <v>10.0</v>
      </c>
      <c r="O50" s="353">
        <v>0.005420054200542005</v>
      </c>
      <c r="Q50" s="354" t="str">
        <f>IFERROR(__xludf.DUMMYFUNCTION("""COMPUTED_VALUE"""),"Skull Isle - Compass 1★ #F40")</f>
        <v>Skull Isle - Compass 1★ #F40</v>
      </c>
      <c r="R50" s="355"/>
      <c r="T50" s="367"/>
      <c r="U50" s="296"/>
      <c r="V50" s="353" t="str">
        <f>IFERROR(__xludf.DUMMYFUNCTION("if(U50="""", """", U50/sum(filter($U$3:$U$1000, $U$3:$U$1000&lt;&gt;"""")))"),"")</f>
        <v/>
      </c>
    </row>
    <row r="51" ht="12.75" customHeight="1">
      <c r="A51" s="315" t="s">
        <v>657</v>
      </c>
      <c r="B51" s="358" t="s">
        <v>658</v>
      </c>
      <c r="C51" s="341">
        <v>6.0</v>
      </c>
      <c r="D51" s="359" t="s">
        <v>649</v>
      </c>
      <c r="E51" s="341" t="s">
        <v>444</v>
      </c>
      <c r="M51" s="354" t="s">
        <v>659</v>
      </c>
      <c r="N51" s="296">
        <v>10.0</v>
      </c>
      <c r="O51" s="353">
        <v>0.005420054200542005</v>
      </c>
      <c r="Q51" s="354" t="str">
        <f>IFERROR(__xludf.DUMMYFUNCTION("""COMPUTED_VALUE"""),"Skull Isle - Spyglass 1★ #ACE")</f>
        <v>Skull Isle - Spyglass 1★ #ACE</v>
      </c>
      <c r="R51" s="355"/>
      <c r="T51" s="367"/>
      <c r="U51" s="296"/>
      <c r="V51" s="353" t="str">
        <f>IFERROR(__xludf.DUMMYFUNCTION("if(U51="""", """", U51/sum(filter($U$3:$U$1000, $U$3:$U$1000&lt;&gt;"""")))"),"")</f>
        <v/>
      </c>
    </row>
    <row r="52" ht="12.75" customHeight="1">
      <c r="A52" s="315" t="s">
        <v>660</v>
      </c>
      <c r="B52" s="358" t="s">
        <v>661</v>
      </c>
      <c r="C52" s="341">
        <v>6.0</v>
      </c>
      <c r="D52" s="359" t="s">
        <v>649</v>
      </c>
      <c r="E52" s="341" t="s">
        <v>445</v>
      </c>
      <c r="M52" s="354" t="s">
        <v>662</v>
      </c>
      <c r="N52" s="296">
        <v>5.0</v>
      </c>
      <c r="O52" s="353">
        <v>0.0027100271002710027</v>
      </c>
      <c r="Q52" s="354" t="str">
        <f>IFERROR(__xludf.DUMMYFUNCTION("""COMPUTED_VALUE"""),"Skull Isle - Anchor 1★ #095")</f>
        <v>Skull Isle - Anchor 1★ #095</v>
      </c>
      <c r="R52" s="355"/>
      <c r="T52" s="367"/>
      <c r="U52" s="296"/>
      <c r="V52" s="353" t="str">
        <f>IFERROR(__xludf.DUMMYFUNCTION("if(U52="""", """", U52/sum(filter($U$3:$U$1000, $U$3:$U$1000&lt;&gt;"""")))"),"")</f>
        <v/>
      </c>
    </row>
    <row r="53" ht="12.75" customHeight="1">
      <c r="A53" s="315" t="s">
        <v>663</v>
      </c>
      <c r="B53" s="358" t="s">
        <v>664</v>
      </c>
      <c r="C53" s="341">
        <v>6.0</v>
      </c>
      <c r="D53" s="359" t="s">
        <v>649</v>
      </c>
      <c r="E53" s="341" t="s">
        <v>446</v>
      </c>
      <c r="M53" s="354"/>
      <c r="N53" s="296"/>
      <c r="O53" s="353"/>
      <c r="Q53" s="354" t="str">
        <f>IFERROR(__xludf.DUMMYFUNCTION("""COMPUTED_VALUE"""),"Skull Isle - Compass 1★ #4AA")</f>
        <v>Skull Isle - Compass 1★ #4AA</v>
      </c>
      <c r="R53" s="355"/>
      <c r="T53" s="367"/>
      <c r="U53" s="296"/>
      <c r="V53" s="353" t="str">
        <f>IFERROR(__xludf.DUMMYFUNCTION("if(U53="""", """", U53/sum(filter($U$3:$U$1000, $U$3:$U$1000&lt;&gt;"""")))"),"")</f>
        <v/>
      </c>
    </row>
    <row r="54" ht="12.75" customHeight="1">
      <c r="A54" s="315" t="s">
        <v>665</v>
      </c>
      <c r="B54" s="358" t="s">
        <v>666</v>
      </c>
      <c r="C54" s="341">
        <v>6.0</v>
      </c>
      <c r="D54" s="359" t="s">
        <v>649</v>
      </c>
      <c r="E54" s="341" t="s">
        <v>447</v>
      </c>
      <c r="M54" s="354"/>
      <c r="N54" s="296"/>
      <c r="O54" s="353"/>
      <c r="Q54" s="354" t="str">
        <f>IFERROR(__xludf.DUMMYFUNCTION("""COMPUTED_VALUE"""),"Skull Isle - Map 1★ #A90")</f>
        <v>Skull Isle - Map 1★ #A90</v>
      </c>
      <c r="R54" s="355"/>
      <c r="T54" s="367"/>
      <c r="U54" s="296"/>
      <c r="V54" s="353" t="str">
        <f>IFERROR(__xludf.DUMMYFUNCTION("if(U54="""", """", U54/sum(filter($U$3:$U$1000, $U$3:$U$1000&lt;&gt;"""")))"),"")</f>
        <v/>
      </c>
    </row>
    <row r="55" ht="12.75" customHeight="1">
      <c r="A55" s="315" t="s">
        <v>667</v>
      </c>
      <c r="B55" s="358" t="s">
        <v>668</v>
      </c>
      <c r="C55" s="341">
        <v>6.0</v>
      </c>
      <c r="D55" s="359" t="s">
        <v>649</v>
      </c>
      <c r="E55" s="316" t="s">
        <v>447</v>
      </c>
      <c r="M55" s="354"/>
      <c r="N55" s="296"/>
      <c r="O55" s="353"/>
      <c r="Q55" s="354" t="str">
        <f>IFERROR(__xludf.DUMMYFUNCTION("""COMPUTED_VALUE"""),"Skull Isle - Spyglass 1★ #B0C")</f>
        <v>Skull Isle - Spyglass 1★ #B0C</v>
      </c>
      <c r="R55" s="355"/>
      <c r="T55" s="367"/>
      <c r="U55" s="296"/>
      <c r="V55" s="353" t="str">
        <f>IFERROR(__xludf.DUMMYFUNCTION("if(U55="""", """", U55/sum(filter($U$3:$U$1000, $U$3:$U$1000&lt;&gt;"""")))"),"")</f>
        <v/>
      </c>
    </row>
    <row r="56" ht="12.75" customHeight="1">
      <c r="A56" s="315" t="s">
        <v>669</v>
      </c>
      <c r="B56" s="358" t="s">
        <v>670</v>
      </c>
      <c r="C56" s="341">
        <v>6.0</v>
      </c>
      <c r="D56" s="359" t="s">
        <v>649</v>
      </c>
      <c r="E56" s="316" t="s">
        <v>447</v>
      </c>
      <c r="M56" s="354"/>
      <c r="N56" s="296"/>
      <c r="O56" s="353"/>
      <c r="Q56" s="354" t="str">
        <f>IFERROR(__xludf.DUMMYFUNCTION("""COMPUTED_VALUE"""),"Skull Isle - Helm 2★ #0B4")</f>
        <v>Skull Isle - Helm 2★ #0B4</v>
      </c>
      <c r="R56" s="355"/>
      <c r="T56" s="367"/>
      <c r="U56" s="296"/>
      <c r="V56" s="353" t="str">
        <f>IFERROR(__xludf.DUMMYFUNCTION("if(U56="""", """", U56/sum(filter($U$3:$U$1000, $U$3:$U$1000&lt;&gt;"""")))"),"")</f>
        <v/>
      </c>
    </row>
    <row r="57" ht="12.75" customHeight="1">
      <c r="A57" s="315" t="s">
        <v>671</v>
      </c>
      <c r="B57" s="358" t="s">
        <v>672</v>
      </c>
      <c r="C57" s="341">
        <v>7.0</v>
      </c>
      <c r="D57" s="359" t="s">
        <v>673</v>
      </c>
      <c r="E57" s="341" t="s">
        <v>443</v>
      </c>
      <c r="M57" s="354"/>
      <c r="N57" s="296"/>
      <c r="O57" s="353"/>
      <c r="Q57" s="354" t="str">
        <f>IFERROR(__xludf.DUMMYFUNCTION("""COMPUTED_VALUE"""),"Skull Isle - Map 1★ #A71")</f>
        <v>Skull Isle - Map 1★ #A71</v>
      </c>
      <c r="R57" s="355"/>
      <c r="T57" s="367"/>
      <c r="U57" s="296"/>
      <c r="V57" s="353" t="str">
        <f>IFERROR(__xludf.DUMMYFUNCTION("if(U57="""", """", U57/sum(filter($U$3:$U$1000, $U$3:$U$1000&lt;&gt;"""")))"),"")</f>
        <v/>
      </c>
    </row>
    <row r="58" ht="12.75" customHeight="1">
      <c r="A58" s="315" t="s">
        <v>674</v>
      </c>
      <c r="B58" s="358" t="s">
        <v>675</v>
      </c>
      <c r="C58" s="341">
        <v>7.0</v>
      </c>
      <c r="D58" s="359" t="s">
        <v>673</v>
      </c>
      <c r="E58" s="341" t="s">
        <v>443</v>
      </c>
      <c r="M58" s="354"/>
      <c r="N58" s="296"/>
      <c r="O58" s="353"/>
      <c r="Q58" s="354" t="str">
        <f>IFERROR(__xludf.DUMMYFUNCTION("""COMPUTED_VALUE"""),"Skull Isle - Anchor 1★ #B4A")</f>
        <v>Skull Isle - Anchor 1★ #B4A</v>
      </c>
      <c r="R58" s="355"/>
      <c r="T58" s="367"/>
      <c r="U58" s="296"/>
      <c r="V58" s="353" t="str">
        <f>IFERROR(__xludf.DUMMYFUNCTION("if(U58="""", """", U58/sum(filter($U$3:$U$1000, $U$3:$U$1000&lt;&gt;"""")))"),"")</f>
        <v/>
      </c>
    </row>
    <row r="59" ht="12.75" customHeight="1">
      <c r="A59" s="315" t="s">
        <v>676</v>
      </c>
      <c r="B59" s="358" t="s">
        <v>677</v>
      </c>
      <c r="C59" s="341">
        <v>7.0</v>
      </c>
      <c r="D59" s="359" t="s">
        <v>673</v>
      </c>
      <c r="E59" s="341" t="s">
        <v>444</v>
      </c>
      <c r="M59" s="354"/>
      <c r="N59" s="296"/>
      <c r="O59" s="353"/>
      <c r="Q59" s="354" t="str">
        <f>IFERROR(__xludf.DUMMYFUNCTION("""COMPUTED_VALUE"""),"Skull Isle - Spyglass 1★ #583")</f>
        <v>Skull Isle - Spyglass 1★ #583</v>
      </c>
      <c r="R59" s="355"/>
      <c r="T59" s="367"/>
      <c r="U59" s="296"/>
      <c r="V59" s="353" t="str">
        <f>IFERROR(__xludf.DUMMYFUNCTION("if(U59="""", """", U59/sum(filter($U$3:$U$1000, $U$3:$U$1000&lt;&gt;"""")))"),"")</f>
        <v/>
      </c>
    </row>
    <row r="60" ht="12.75" customHeight="1">
      <c r="A60" s="315" t="s">
        <v>678</v>
      </c>
      <c r="B60" s="358" t="s">
        <v>679</v>
      </c>
      <c r="C60" s="341">
        <v>7.0</v>
      </c>
      <c r="D60" s="359" t="s">
        <v>673</v>
      </c>
      <c r="E60" s="341" t="s">
        <v>444</v>
      </c>
      <c r="M60" s="354"/>
      <c r="N60" s="296"/>
      <c r="O60" s="353"/>
      <c r="Q60" s="354" t="str">
        <f>IFERROR(__xludf.DUMMYFUNCTION("""COMPUTED_VALUE"""),"Skull Isle - Parrot 2★ #111")</f>
        <v>Skull Isle - Parrot 2★ #111</v>
      </c>
      <c r="R60" s="355"/>
      <c r="T60" s="367"/>
      <c r="U60" s="296"/>
      <c r="V60" s="353" t="str">
        <f>IFERROR(__xludf.DUMMYFUNCTION("if(U60="""", """", U60/sum(filter($U$3:$U$1000, $U$3:$U$1000&lt;&gt;"""")))"),"")</f>
        <v/>
      </c>
    </row>
    <row r="61" ht="12.75" customHeight="1">
      <c r="A61" s="315" t="s">
        <v>680</v>
      </c>
      <c r="B61" s="358" t="s">
        <v>681</v>
      </c>
      <c r="C61" s="341">
        <v>7.0</v>
      </c>
      <c r="D61" s="359" t="s">
        <v>673</v>
      </c>
      <c r="E61" s="341" t="s">
        <v>445</v>
      </c>
      <c r="M61" s="354"/>
      <c r="N61" s="296"/>
      <c r="O61" s="353"/>
      <c r="Q61" s="354" t="str">
        <f>IFERROR(__xludf.DUMMYFUNCTION("""COMPUTED_VALUE"""),"Skull Isle - Compass 1★ #9F5")</f>
        <v>Skull Isle - Compass 1★ #9F5</v>
      </c>
      <c r="R61" s="355"/>
      <c r="T61" s="367"/>
      <c r="U61" s="296"/>
      <c r="V61" s="353" t="str">
        <f>IFERROR(__xludf.DUMMYFUNCTION("if(U61="""", """", U61/sum(filter($U$3:$U$1000, $U$3:$U$1000&lt;&gt;"""")))"),"")</f>
        <v/>
      </c>
    </row>
    <row r="62" ht="12.75" customHeight="1">
      <c r="A62" s="315" t="s">
        <v>682</v>
      </c>
      <c r="B62" s="358" t="s">
        <v>683</v>
      </c>
      <c r="C62" s="341">
        <v>7.0</v>
      </c>
      <c r="D62" s="359" t="s">
        <v>673</v>
      </c>
      <c r="E62" s="341" t="s">
        <v>446</v>
      </c>
      <c r="M62" s="354"/>
      <c r="N62" s="296"/>
      <c r="O62" s="353"/>
      <c r="Q62" s="354" t="str">
        <f>IFERROR(__xludf.DUMMYFUNCTION("""COMPUTED_VALUE"""),"Skull Isle - Compass 1★ #4C9")</f>
        <v>Skull Isle - Compass 1★ #4C9</v>
      </c>
      <c r="R62" s="355"/>
      <c r="T62" s="367"/>
      <c r="U62" s="296"/>
      <c r="V62" s="353" t="str">
        <f>IFERROR(__xludf.DUMMYFUNCTION("if(U62="""", """", U62/sum(filter($U$3:$U$1000, $U$3:$U$1000&lt;&gt;"""")))"),"")</f>
        <v/>
      </c>
    </row>
    <row r="63" ht="12.75" customHeight="1">
      <c r="A63" s="315" t="s">
        <v>684</v>
      </c>
      <c r="B63" s="358" t="s">
        <v>685</v>
      </c>
      <c r="C63" s="341">
        <v>7.0</v>
      </c>
      <c r="D63" s="359" t="s">
        <v>673</v>
      </c>
      <c r="E63" s="341" t="s">
        <v>447</v>
      </c>
      <c r="M63" s="354"/>
      <c r="N63" s="296"/>
      <c r="O63" s="353"/>
      <c r="Q63" s="354" t="str">
        <f>IFERROR(__xludf.DUMMYFUNCTION("""COMPUTED_VALUE"""),"Skull Isle - Map 1★ #545")</f>
        <v>Skull Isle - Map 1★ #545</v>
      </c>
      <c r="R63" s="355"/>
      <c r="T63" s="367"/>
      <c r="U63" s="296"/>
      <c r="V63" s="353" t="str">
        <f>IFERROR(__xludf.DUMMYFUNCTION("if(U63="""", """", U63/sum(filter($U$3:$U$1000, $U$3:$U$1000&lt;&gt;"""")))"),"")</f>
        <v/>
      </c>
    </row>
    <row r="64" ht="12.75" customHeight="1">
      <c r="A64" s="315" t="s">
        <v>686</v>
      </c>
      <c r="B64" s="358" t="s">
        <v>687</v>
      </c>
      <c r="C64" s="341">
        <v>7.0</v>
      </c>
      <c r="D64" s="359" t="s">
        <v>673</v>
      </c>
      <c r="E64" s="341" t="s">
        <v>447</v>
      </c>
      <c r="M64" s="354"/>
      <c r="N64" s="296"/>
      <c r="O64" s="353"/>
      <c r="Q64" s="354" t="str">
        <f>IFERROR(__xludf.DUMMYFUNCTION("""COMPUTED_VALUE"""),"Skull Isle - Map 1★ #FFA")</f>
        <v>Skull Isle - Map 1★ #FFA</v>
      </c>
      <c r="R64" s="355"/>
      <c r="T64" s="367"/>
      <c r="U64" s="296"/>
      <c r="V64" s="353" t="str">
        <f>IFERROR(__xludf.DUMMYFUNCTION("if(U64="""", """", U64/sum(filter($U$3:$U$1000, $U$3:$U$1000&lt;&gt;"""")))"),"")</f>
        <v/>
      </c>
    </row>
    <row r="65" ht="12.75" customHeight="1">
      <c r="A65" s="315" t="s">
        <v>688</v>
      </c>
      <c r="B65" s="358" t="s">
        <v>689</v>
      </c>
      <c r="C65" s="341">
        <v>7.0</v>
      </c>
      <c r="D65" s="359" t="s">
        <v>673</v>
      </c>
      <c r="E65" s="341" t="s">
        <v>447</v>
      </c>
      <c r="M65" s="354"/>
      <c r="N65" s="296"/>
      <c r="O65" s="353"/>
      <c r="Q65" s="354" t="str">
        <f>IFERROR(__xludf.DUMMYFUNCTION("""COMPUTED_VALUE"""),"Skull Isle - Anchor 1★ #B2B")</f>
        <v>Skull Isle - Anchor 1★ #B2B</v>
      </c>
      <c r="R65" s="355"/>
      <c r="T65" s="367"/>
      <c r="U65" s="296"/>
      <c r="V65" s="353" t="str">
        <f>IFERROR(__xludf.DUMMYFUNCTION("if(U65="""", """", U65/sum(filter($U$3:$U$1000, $U$3:$U$1000&lt;&gt;"""")))"),"")</f>
        <v/>
      </c>
    </row>
    <row r="66" ht="12.75" customHeight="1">
      <c r="A66" s="315" t="s">
        <v>690</v>
      </c>
      <c r="B66" s="358" t="s">
        <v>691</v>
      </c>
      <c r="C66" s="341">
        <v>8.0</v>
      </c>
      <c r="D66" s="359" t="s">
        <v>692</v>
      </c>
      <c r="E66" s="341" t="s">
        <v>443</v>
      </c>
      <c r="M66" s="354"/>
      <c r="N66" s="296"/>
      <c r="O66" s="353"/>
      <c r="Q66" s="354" t="str">
        <f>IFERROR(__xludf.DUMMYFUNCTION("""COMPUTED_VALUE"""),"Skull Isle - Spyglass 1★ #5A2")</f>
        <v>Skull Isle - Spyglass 1★ #5A2</v>
      </c>
      <c r="R66" s="355"/>
      <c r="T66" s="367"/>
      <c r="U66" s="296"/>
      <c r="V66" s="353" t="str">
        <f>IFERROR(__xludf.DUMMYFUNCTION("if(U66="""", """", U66/sum(filter($U$3:$U$1000, $U$3:$U$1000&lt;&gt;"""")))"),"")</f>
        <v/>
      </c>
    </row>
    <row r="67" ht="12.75" customHeight="1">
      <c r="A67" s="315" t="s">
        <v>693</v>
      </c>
      <c r="B67" s="358" t="s">
        <v>694</v>
      </c>
      <c r="C67" s="341">
        <v>8.0</v>
      </c>
      <c r="D67" s="359" t="s">
        <v>692</v>
      </c>
      <c r="E67" s="341" t="s">
        <v>443</v>
      </c>
      <c r="M67" s="354"/>
      <c r="N67" s="296"/>
      <c r="O67" s="353"/>
      <c r="Q67" s="354" t="str">
        <f>IFERROR(__xludf.DUMMYFUNCTION("""COMPUTED_VALUE"""),"Skull Isle - Map 1★ #AAF")</f>
        <v>Skull Isle - Map 1★ #AAF</v>
      </c>
      <c r="R67" s="355"/>
      <c r="T67" s="367"/>
      <c r="U67" s="296"/>
      <c r="V67" s="353" t="str">
        <f>IFERROR(__xludf.DUMMYFUNCTION("if(U67="""", """", U67/sum(filter($U$3:$U$1000, $U$3:$U$1000&lt;&gt;"""")))"),"")</f>
        <v/>
      </c>
    </row>
    <row r="68" ht="12.75" customHeight="1">
      <c r="A68" s="315" t="s">
        <v>695</v>
      </c>
      <c r="B68" s="358" t="s">
        <v>696</v>
      </c>
      <c r="C68" s="341">
        <v>8.0</v>
      </c>
      <c r="D68" s="359" t="s">
        <v>692</v>
      </c>
      <c r="E68" s="341" t="s">
        <v>444</v>
      </c>
      <c r="M68" s="354"/>
      <c r="N68" s="296"/>
      <c r="O68" s="353"/>
      <c r="Q68" s="354" t="str">
        <f>IFERROR(__xludf.DUMMYFUNCTION("""COMPUTED_VALUE"""),"Skull Isle - Spyglass 1★ #057")</f>
        <v>Skull Isle - Spyglass 1★ #057</v>
      </c>
      <c r="R68" s="355"/>
      <c r="T68" s="367"/>
      <c r="U68" s="296"/>
      <c r="V68" s="353" t="str">
        <f>IFERROR(__xludf.DUMMYFUNCTION("if(U68="""", """", U68/sum(filter($U$3:$U$1000, $U$3:$U$1000&lt;&gt;"""")))"),"")</f>
        <v/>
      </c>
    </row>
    <row r="69" ht="12.75" customHeight="1">
      <c r="A69" s="315" t="s">
        <v>697</v>
      </c>
      <c r="B69" s="358" t="s">
        <v>698</v>
      </c>
      <c r="C69" s="341">
        <v>8.0</v>
      </c>
      <c r="D69" s="359" t="s">
        <v>692</v>
      </c>
      <c r="E69" s="341" t="s">
        <v>444</v>
      </c>
      <c r="M69" s="354"/>
      <c r="N69" s="296"/>
      <c r="O69" s="353"/>
      <c r="Q69" s="354" t="str">
        <f>IFERROR(__xludf.DUMMYFUNCTION("""COMPUTED_VALUE"""),"Skull Isle - Compass 1★ #F9D")</f>
        <v>Skull Isle - Compass 1★ #F9D</v>
      </c>
      <c r="R69" s="355"/>
      <c r="T69" s="367"/>
      <c r="U69" s="296"/>
      <c r="V69" s="353" t="str">
        <f>IFERROR(__xludf.DUMMYFUNCTION("if(U69="""", """", U69/sum(filter($U$3:$U$1000, $U$3:$U$1000&lt;&gt;"""")))"),"")</f>
        <v/>
      </c>
    </row>
    <row r="70" ht="12.75" customHeight="1">
      <c r="A70" s="315" t="s">
        <v>699</v>
      </c>
      <c r="B70" s="358" t="s">
        <v>700</v>
      </c>
      <c r="C70" s="341">
        <v>8.0</v>
      </c>
      <c r="D70" s="359" t="s">
        <v>692</v>
      </c>
      <c r="E70" s="341" t="s">
        <v>445</v>
      </c>
      <c r="M70" s="354"/>
      <c r="N70" s="296"/>
      <c r="O70" s="353"/>
      <c r="Q70" s="354" t="str">
        <f>IFERROR(__xludf.DUMMYFUNCTION("""COMPUTED_VALUE"""),"Skull Isle - Compass 1★ #A33")</f>
        <v>Skull Isle - Compass 1★ #A33</v>
      </c>
      <c r="R70" s="355"/>
      <c r="T70" s="367"/>
      <c r="U70" s="296"/>
      <c r="V70" s="353" t="str">
        <f>IFERROR(__xludf.DUMMYFUNCTION("if(U70="""", """", U70/sum(filter($U$3:$U$1000, $U$3:$U$1000&lt;&gt;"""")))"),"")</f>
        <v/>
      </c>
    </row>
    <row r="71" ht="12.75" customHeight="1">
      <c r="A71" s="315" t="s">
        <v>701</v>
      </c>
      <c r="B71" s="358" t="s">
        <v>702</v>
      </c>
      <c r="C71" s="341">
        <v>8.0</v>
      </c>
      <c r="D71" s="359" t="s">
        <v>692</v>
      </c>
      <c r="E71" s="341" t="s">
        <v>446</v>
      </c>
      <c r="M71" s="354"/>
      <c r="N71" s="296"/>
      <c r="O71" s="353"/>
      <c r="Q71" s="354" t="str">
        <f>IFERROR(__xludf.DUMMYFUNCTION("""COMPUTED_VALUE"""),"Skull Isle - Spyglass 1★ #019")</f>
        <v>Skull Isle - Spyglass 1★ #019</v>
      </c>
      <c r="R71" s="355"/>
      <c r="T71" s="367"/>
      <c r="U71" s="296"/>
      <c r="V71" s="353" t="str">
        <f>IFERROR(__xludf.DUMMYFUNCTION("if(U71="""", """", U71/sum(filter($U$3:$U$1000, $U$3:$U$1000&lt;&gt;"""")))"),"")</f>
        <v/>
      </c>
    </row>
    <row r="72" ht="12.75" customHeight="1">
      <c r="A72" s="315" t="s">
        <v>703</v>
      </c>
      <c r="B72" s="358" t="s">
        <v>704</v>
      </c>
      <c r="C72" s="341">
        <v>8.0</v>
      </c>
      <c r="D72" s="359" t="s">
        <v>692</v>
      </c>
      <c r="E72" s="341" t="s">
        <v>447</v>
      </c>
      <c r="M72" s="354"/>
      <c r="N72" s="296"/>
      <c r="O72" s="353"/>
      <c r="Q72" s="354" t="str">
        <f>IFERROR(__xludf.DUMMYFUNCTION("""COMPUTED_VALUE"""),"Skull Isle - Map 1★ #A52")</f>
        <v>Skull Isle - Map 1★ #A52</v>
      </c>
      <c r="R72" s="355"/>
      <c r="T72" s="367"/>
      <c r="U72" s="296"/>
      <c r="V72" s="353" t="str">
        <f>IFERROR(__xludf.DUMMYFUNCTION("if(U72="""", """", U72/sum(filter($U$3:$U$1000, $U$3:$U$1000&lt;&gt;"""")))"),"")</f>
        <v/>
      </c>
    </row>
    <row r="73" ht="12.75" customHeight="1">
      <c r="A73" s="315" t="s">
        <v>705</v>
      </c>
      <c r="B73" s="358" t="s">
        <v>706</v>
      </c>
      <c r="C73" s="341">
        <v>8.0</v>
      </c>
      <c r="D73" s="359" t="s">
        <v>692</v>
      </c>
      <c r="E73" s="341" t="s">
        <v>447</v>
      </c>
      <c r="M73" s="354"/>
      <c r="N73" s="296"/>
      <c r="O73" s="353"/>
      <c r="Q73" s="354"/>
      <c r="R73" s="355"/>
      <c r="T73" s="367"/>
      <c r="U73" s="296"/>
      <c r="V73" s="353" t="str">
        <f>IFERROR(__xludf.DUMMYFUNCTION("if(U73="""", """", U73/sum(filter($U$3:$U$1000, $U$3:$U$1000&lt;&gt;"""")))"),"")</f>
        <v/>
      </c>
    </row>
    <row r="74" ht="12.75" customHeight="1">
      <c r="A74" s="315" t="s">
        <v>707</v>
      </c>
      <c r="B74" s="358" t="s">
        <v>708</v>
      </c>
      <c r="C74" s="341">
        <v>8.0</v>
      </c>
      <c r="D74" s="359" t="s">
        <v>692</v>
      </c>
      <c r="E74" s="341" t="s">
        <v>447</v>
      </c>
      <c r="M74" s="354"/>
      <c r="N74" s="296"/>
      <c r="O74" s="353"/>
      <c r="Q74" s="354"/>
      <c r="R74" s="355"/>
      <c r="T74" s="367"/>
      <c r="U74" s="296"/>
      <c r="V74" s="353" t="str">
        <f>IFERROR(__xludf.DUMMYFUNCTION("if(U74="""", """", U74/sum(filter($U$3:$U$1000, $U$3:$U$1000&lt;&gt;"""")))"),"")</f>
        <v/>
      </c>
    </row>
    <row r="75" ht="12.75" customHeight="1">
      <c r="M75" s="354"/>
      <c r="N75" s="296"/>
      <c r="O75" s="353"/>
      <c r="Q75" s="354"/>
      <c r="R75" s="355"/>
      <c r="T75" s="367"/>
      <c r="U75" s="296"/>
      <c r="V75" s="353" t="str">
        <f>IFERROR(__xludf.DUMMYFUNCTION("if(U75="""", """", U75/sum(filter($U$3:$U$1000, $U$3:$U$1000&lt;&gt;"""")))"),"")</f>
        <v/>
      </c>
    </row>
    <row r="76" ht="12.75" customHeight="1">
      <c r="A76" s="309" t="s">
        <v>709</v>
      </c>
      <c r="M76" s="354"/>
      <c r="N76" s="296"/>
      <c r="O76" s="353"/>
      <c r="Q76" s="354"/>
      <c r="R76" s="355"/>
      <c r="T76" s="367"/>
      <c r="U76" s="296"/>
      <c r="V76" s="353" t="str">
        <f>IFERROR(__xludf.DUMMYFUNCTION("if(U76="""", """", U76/sum(filter($U$3:$U$1000, $U$3:$U$1000&lt;&gt;"""")))"),"")</f>
        <v/>
      </c>
    </row>
    <row r="77" ht="12.75" customHeight="1">
      <c r="M77" s="354"/>
      <c r="N77" s="296"/>
      <c r="O77" s="353"/>
      <c r="Q77" s="354"/>
      <c r="R77" s="355"/>
      <c r="T77" s="367"/>
      <c r="U77" s="296"/>
      <c r="V77" s="353" t="str">
        <f>IFERROR(__xludf.DUMMYFUNCTION("if(U77="""", """", U77/sum(filter($U$3:$U$1000, $U$3:$U$1000&lt;&gt;"""")))"),"")</f>
        <v/>
      </c>
    </row>
    <row r="78" ht="12.75" customHeight="1">
      <c r="A78" s="309" t="s">
        <v>710</v>
      </c>
      <c r="M78" s="354"/>
      <c r="N78" s="296"/>
      <c r="O78" s="353"/>
      <c r="Q78" s="354"/>
      <c r="R78" s="355"/>
      <c r="T78" s="367"/>
      <c r="U78" s="296"/>
      <c r="V78" s="353" t="str">
        <f>IFERROR(__xludf.DUMMYFUNCTION("if(U78="""", """", U78/sum(filter($U$3:$U$1000, $U$3:$U$1000&lt;&gt;"""")))"),"")</f>
        <v/>
      </c>
    </row>
    <row r="79" ht="12.75" customHeight="1">
      <c r="A79" s="312" t="s">
        <v>495</v>
      </c>
      <c r="B79" s="313" t="s">
        <v>473</v>
      </c>
      <c r="C79" s="313" t="s">
        <v>494</v>
      </c>
      <c r="M79" s="354"/>
      <c r="N79" s="296"/>
      <c r="O79" s="353"/>
      <c r="Q79" s="354"/>
      <c r="R79" s="355"/>
      <c r="T79" s="367"/>
      <c r="U79" s="296"/>
      <c r="V79" s="353" t="str">
        <f>IFERROR(__xludf.DUMMYFUNCTION("if(U79="""", """", U79/sum(filter($U$3:$U$1000, $U$3:$U$1000&lt;&gt;"""")))"),"")</f>
        <v/>
      </c>
    </row>
    <row r="80" ht="12.75" customHeight="1">
      <c r="A80" s="315" t="str">
        <f t="shared" ref="A80:A88" si="4">index($B$3:$B$74, match(C80, $A$3:$A$74, 0),0)</f>
        <v>Skull Isle - Compass</v>
      </c>
      <c r="B80" s="359" t="str">
        <f t="shared" ref="B80:B88" si="5">index($E$3:$E$74, match(C80, $A$3:$A$74, 0),0)</f>
        <v>1★</v>
      </c>
      <c r="C80" s="359" t="str">
        <f>IFERROR(__xludf.DUMMYFUNCTION("filter($A$3:$A$74, $D$3:$D$74=LEFT(A$78, len(A$78)-8))"),"CARD_01_s1")</f>
        <v>CARD_01_s1</v>
      </c>
      <c r="M80" s="354"/>
      <c r="N80" s="296"/>
      <c r="O80" s="353"/>
      <c r="Q80" s="354"/>
      <c r="R80" s="355"/>
      <c r="T80" s="367"/>
      <c r="U80" s="296"/>
      <c r="V80" s="353" t="str">
        <f>IFERROR(__xludf.DUMMYFUNCTION("if(U80="""", """", U80/sum(filter($U$3:$U$1000, $U$3:$U$1000&lt;&gt;"""")))"),"")</f>
        <v/>
      </c>
    </row>
    <row r="81" ht="12.75" customHeight="1">
      <c r="A81" s="315" t="str">
        <f t="shared" si="4"/>
        <v>Skull Isle - Map</v>
      </c>
      <c r="B81" s="359" t="str">
        <f t="shared" si="5"/>
        <v>1★</v>
      </c>
      <c r="C81" s="359" t="str">
        <f>IFERROR(__xludf.DUMMYFUNCTION("""COMPUTED_VALUE"""),"CARD_02_s1")</f>
        <v>CARD_02_s1</v>
      </c>
      <c r="M81" s="354"/>
      <c r="N81" s="296"/>
      <c r="O81" s="353"/>
      <c r="Q81" s="354"/>
      <c r="R81" s="355"/>
      <c r="T81" s="367"/>
      <c r="U81" s="296"/>
      <c r="V81" s="353" t="str">
        <f>IFERROR(__xludf.DUMMYFUNCTION("if(U81="""", """", U81/sum(filter($U$3:$U$1000, $U$3:$U$1000&lt;&gt;"""")))"),"")</f>
        <v/>
      </c>
    </row>
    <row r="82" ht="12.75" customHeight="1">
      <c r="A82" s="315" t="str">
        <f t="shared" si="4"/>
        <v>Skull Isle - Spyglass</v>
      </c>
      <c r="B82" s="359" t="str">
        <f t="shared" si="5"/>
        <v>1★</v>
      </c>
      <c r="C82" s="359" t="str">
        <f>IFERROR(__xludf.DUMMYFUNCTION("""COMPUTED_VALUE"""),"CARD_03_s1")</f>
        <v>CARD_03_s1</v>
      </c>
      <c r="M82" s="354"/>
      <c r="N82" s="296"/>
      <c r="O82" s="353"/>
      <c r="Q82" s="354"/>
      <c r="R82" s="355"/>
      <c r="T82" s="367"/>
      <c r="U82" s="296"/>
      <c r="V82" s="353" t="str">
        <f>IFERROR(__xludf.DUMMYFUNCTION("if(U82="""", """", U82/sum(filter($U$3:$U$1000, $U$3:$U$1000&lt;&gt;"""")))"),"")</f>
        <v/>
      </c>
    </row>
    <row r="83" ht="12.75" customHeight="1">
      <c r="A83" s="315" t="str">
        <f t="shared" si="4"/>
        <v>Skull Isle - Anchor</v>
      </c>
      <c r="B83" s="359" t="str">
        <f t="shared" si="5"/>
        <v>1★</v>
      </c>
      <c r="C83" s="359" t="str">
        <f>IFERROR(__xludf.DUMMYFUNCTION("""COMPUTED_VALUE"""),"CARD_04_s1")</f>
        <v>CARD_04_s1</v>
      </c>
      <c r="M83" s="354"/>
      <c r="N83" s="296"/>
      <c r="O83" s="353"/>
      <c r="Q83" s="354"/>
      <c r="R83" s="355"/>
      <c r="T83" s="367"/>
      <c r="U83" s="296"/>
      <c r="V83" s="353" t="str">
        <f>IFERROR(__xludf.DUMMYFUNCTION("if(U83="""", """", U83/sum(filter($U$3:$U$1000, $U$3:$U$1000&lt;&gt;"""")))"),"")</f>
        <v/>
      </c>
    </row>
    <row r="84" ht="12.75" customHeight="1">
      <c r="A84" s="315" t="str">
        <f t="shared" si="4"/>
        <v>Skull Isle - Helm</v>
      </c>
      <c r="B84" s="359" t="str">
        <f t="shared" si="5"/>
        <v>2★</v>
      </c>
      <c r="C84" s="359" t="str">
        <f>IFERROR(__xludf.DUMMYFUNCTION("""COMPUTED_VALUE"""),"CARD_05_s1")</f>
        <v>CARD_05_s1</v>
      </c>
      <c r="M84" s="354"/>
      <c r="N84" s="296"/>
      <c r="O84" s="353"/>
      <c r="Q84" s="354"/>
      <c r="R84" s="355"/>
      <c r="T84" s="367"/>
      <c r="U84" s="296"/>
      <c r="V84" s="353" t="str">
        <f>IFERROR(__xludf.DUMMYFUNCTION("if(U84="""", """", U84/sum(filter($U$3:$U$1000, $U$3:$U$1000&lt;&gt;"""")))"),"")</f>
        <v/>
      </c>
    </row>
    <row r="85" ht="12.75" customHeight="1">
      <c r="A85" s="315" t="str">
        <f t="shared" si="4"/>
        <v>Skull Isle - Cutlass</v>
      </c>
      <c r="B85" s="359" t="str">
        <f t="shared" si="5"/>
        <v>2★</v>
      </c>
      <c r="C85" s="359" t="str">
        <f>IFERROR(__xludf.DUMMYFUNCTION("""COMPUTED_VALUE"""),"CARD_06_s1")</f>
        <v>CARD_06_s1</v>
      </c>
      <c r="M85" s="354"/>
      <c r="N85" s="296"/>
      <c r="O85" s="353"/>
      <c r="Q85" s="354"/>
      <c r="R85" s="355"/>
      <c r="T85" s="367"/>
      <c r="U85" s="296"/>
      <c r="V85" s="353" t="str">
        <f>IFERROR(__xludf.DUMMYFUNCTION("if(U85="""", """", U85/sum(filter($U$3:$U$1000, $U$3:$U$1000&lt;&gt;"""")))"),"")</f>
        <v/>
      </c>
    </row>
    <row r="86" ht="12.75" customHeight="1">
      <c r="A86" s="315" t="str">
        <f t="shared" si="4"/>
        <v>Skull Isle - Parrot</v>
      </c>
      <c r="B86" s="359" t="str">
        <f t="shared" si="5"/>
        <v>2★</v>
      </c>
      <c r="C86" s="359" t="str">
        <f>IFERROR(__xludf.DUMMYFUNCTION("""COMPUTED_VALUE"""),"CARD_07_s1")</f>
        <v>CARD_07_s1</v>
      </c>
      <c r="M86" s="354"/>
      <c r="N86" s="296"/>
      <c r="O86" s="353"/>
      <c r="Q86" s="354"/>
      <c r="R86" s="355"/>
      <c r="T86" s="367"/>
      <c r="U86" s="296"/>
      <c r="V86" s="353" t="str">
        <f>IFERROR(__xludf.DUMMYFUNCTION("if(U86="""", """", U86/sum(filter($U$3:$U$1000, $U$3:$U$1000&lt;&gt;"""")))"),"")</f>
        <v/>
      </c>
    </row>
    <row r="87" ht="12.75" customHeight="1">
      <c r="A87" s="315" t="str">
        <f t="shared" si="4"/>
        <v>Skull Isle - Chest</v>
      </c>
      <c r="B87" s="359" t="str">
        <f t="shared" si="5"/>
        <v>3★</v>
      </c>
      <c r="C87" s="359" t="str">
        <f>IFERROR(__xludf.DUMMYFUNCTION("""COMPUTED_VALUE"""),"CARD_08_s1")</f>
        <v>CARD_08_s1</v>
      </c>
      <c r="M87" s="354"/>
      <c r="N87" s="296"/>
      <c r="O87" s="353"/>
      <c r="Q87" s="354"/>
      <c r="R87" s="355"/>
      <c r="T87" s="367"/>
      <c r="U87" s="296"/>
      <c r="V87" s="353" t="str">
        <f>IFERROR(__xludf.DUMMYFUNCTION("if(U87="""", """", U87/sum(filter($U$3:$U$1000, $U$3:$U$1000&lt;&gt;"""")))"),"")</f>
        <v/>
      </c>
    </row>
    <row r="88" ht="12.75" customHeight="1">
      <c r="A88" s="315" t="str">
        <f t="shared" si="4"/>
        <v>Skull Isle - Skull</v>
      </c>
      <c r="B88" s="359" t="str">
        <f t="shared" si="5"/>
        <v>3★</v>
      </c>
      <c r="C88" s="359" t="str">
        <f>IFERROR(__xludf.DUMMYFUNCTION("""COMPUTED_VALUE"""),"CARD_09_s1")</f>
        <v>CARD_09_s1</v>
      </c>
      <c r="M88" s="354"/>
      <c r="N88" s="296"/>
      <c r="O88" s="353"/>
      <c r="Q88" s="354"/>
      <c r="R88" s="355"/>
      <c r="T88" s="367"/>
      <c r="U88" s="296"/>
      <c r="V88" s="353" t="str">
        <f>IFERROR(__xludf.DUMMYFUNCTION("if(U88="""", """", U88/sum(filter($U$3:$U$1000, $U$3:$U$1000&lt;&gt;"""")))"),"")</f>
        <v/>
      </c>
    </row>
    <row r="89" ht="12.75" customHeight="1">
      <c r="M89" s="354"/>
      <c r="N89" s="296"/>
      <c r="O89" s="353"/>
      <c r="Q89" s="354"/>
      <c r="R89" s="355"/>
      <c r="T89" s="367"/>
      <c r="U89" s="296"/>
      <c r="V89" s="353" t="str">
        <f>IFERROR(__xludf.DUMMYFUNCTION("if(U89="""", """", U89/sum(filter($U$3:$U$1000, $U$3:$U$1000&lt;&gt;"""")))"),"")</f>
        <v/>
      </c>
    </row>
    <row r="90" ht="12.75" customHeight="1">
      <c r="A90" s="309" t="s">
        <v>711</v>
      </c>
      <c r="M90" s="354"/>
      <c r="N90" s="296"/>
      <c r="O90" s="353"/>
      <c r="Q90" s="354"/>
      <c r="R90" s="355"/>
      <c r="T90" s="367"/>
      <c r="U90" s="296"/>
      <c r="V90" s="353" t="str">
        <f>IFERROR(__xludf.DUMMYFUNCTION("if(U90="""", """", U90/sum(filter($U$3:$U$1000, $U$3:$U$1000&lt;&gt;"""")))"),"")</f>
        <v/>
      </c>
    </row>
    <row r="91" ht="12.75" customHeight="1">
      <c r="A91" s="312" t="s">
        <v>495</v>
      </c>
      <c r="B91" s="313" t="s">
        <v>473</v>
      </c>
      <c r="C91" s="313" t="s">
        <v>494</v>
      </c>
      <c r="M91" s="354"/>
      <c r="N91" s="296"/>
      <c r="O91" s="353"/>
      <c r="Q91" s="354"/>
      <c r="R91" s="355"/>
      <c r="T91" s="367"/>
      <c r="U91" s="296"/>
      <c r="V91" s="353" t="str">
        <f>IFERROR(__xludf.DUMMYFUNCTION("if(U91="""", """", U91/sum(filter($U$3:$U$1000, $U$3:$U$1000&lt;&gt;"""")))"),"")</f>
        <v/>
      </c>
    </row>
    <row r="92" ht="12.75" customHeight="1">
      <c r="A92" s="315" t="str">
        <f t="shared" ref="A92:A100" si="6">index($B$3:$B$74, match(C92, $A$3:$A$74, 0),0)</f>
        <v>Kraken Lair - Tentacle</v>
      </c>
      <c r="B92" s="359" t="str">
        <f t="shared" ref="B92:B100" si="7">index($E$3:$E$74, match(C92, $A$3:$A$74, 0),0)</f>
        <v>1★</v>
      </c>
      <c r="C92" s="359" t="str">
        <f>IFERROR(__xludf.DUMMYFUNCTION("filter($A$3:$A$74, $D$3:$D$74=LEFT(A$90, len(A$90)-8))"),"CARD_10_s2")</f>
        <v>CARD_10_s2</v>
      </c>
      <c r="M92" s="354"/>
      <c r="N92" s="296"/>
      <c r="O92" s="353"/>
      <c r="Q92" s="354"/>
      <c r="R92" s="355"/>
      <c r="T92" s="367"/>
      <c r="U92" s="296"/>
      <c r="V92" s="353" t="str">
        <f>IFERROR(__xludf.DUMMYFUNCTION("if(U92="""", """", U92/sum(filter($U$3:$U$1000, $U$3:$U$1000&lt;&gt;"""")))"),"")</f>
        <v/>
      </c>
    </row>
    <row r="93" ht="12.75" customHeight="1">
      <c r="A93" s="315" t="str">
        <f t="shared" si="6"/>
        <v>Kraken Lair - Ink Cloud</v>
      </c>
      <c r="B93" s="359" t="str">
        <f t="shared" si="7"/>
        <v>1★</v>
      </c>
      <c r="C93" s="359" t="str">
        <f>IFERROR(__xludf.DUMMYFUNCTION("""COMPUTED_VALUE"""),"CARD_11_s2")</f>
        <v>CARD_11_s2</v>
      </c>
      <c r="M93" s="354"/>
      <c r="N93" s="296"/>
      <c r="O93" s="353"/>
      <c r="Q93" s="354"/>
      <c r="R93" s="355"/>
      <c r="T93" s="367"/>
      <c r="U93" s="296"/>
      <c r="V93" s="353" t="str">
        <f>IFERROR(__xludf.DUMMYFUNCTION("if(U93="""", """", U93/sum(filter($U$3:$U$1000, $U$3:$U$1000&lt;&gt;"""")))"),"")</f>
        <v/>
      </c>
    </row>
    <row r="94" ht="12.75" customHeight="1">
      <c r="A94" s="315" t="str">
        <f t="shared" si="6"/>
        <v>Kraken Lair - Pearl</v>
      </c>
      <c r="B94" s="359" t="str">
        <f t="shared" si="7"/>
        <v>1★</v>
      </c>
      <c r="C94" s="359" t="str">
        <f>IFERROR(__xludf.DUMMYFUNCTION("""COMPUTED_VALUE"""),"CARD_12_s2")</f>
        <v>CARD_12_s2</v>
      </c>
      <c r="M94" s="354"/>
      <c r="N94" s="296"/>
      <c r="O94" s="353"/>
      <c r="Q94" s="354"/>
      <c r="R94" s="355"/>
      <c r="T94" s="367"/>
      <c r="U94" s="296"/>
      <c r="V94" s="353" t="str">
        <f>IFERROR(__xludf.DUMMYFUNCTION("if(U94="""", """", U94/sum(filter($U$3:$U$1000, $U$3:$U$1000&lt;&gt;"""")))"),"")</f>
        <v/>
      </c>
    </row>
    <row r="95" ht="12.75" customHeight="1">
      <c r="A95" s="315" t="str">
        <f t="shared" si="6"/>
        <v>Kraken Lair - Trident</v>
      </c>
      <c r="B95" s="359" t="str">
        <f t="shared" si="7"/>
        <v>1★</v>
      </c>
      <c r="C95" s="359" t="str">
        <f>IFERROR(__xludf.DUMMYFUNCTION("""COMPUTED_VALUE"""),"CARD_13_s2")</f>
        <v>CARD_13_s2</v>
      </c>
      <c r="M95" s="354"/>
      <c r="N95" s="296"/>
      <c r="O95" s="353"/>
      <c r="Q95" s="354"/>
      <c r="R95" s="355"/>
      <c r="T95" s="367"/>
      <c r="U95" s="296"/>
      <c r="V95" s="353" t="str">
        <f>IFERROR(__xludf.DUMMYFUNCTION("if(U95="""", """", U95/sum(filter($U$3:$U$1000, $U$3:$U$1000&lt;&gt;"""")))"),"")</f>
        <v/>
      </c>
    </row>
    <row r="96" ht="12.75" customHeight="1">
      <c r="A96" s="315" t="str">
        <f t="shared" si="6"/>
        <v>Kraken Lair - Shell</v>
      </c>
      <c r="B96" s="359" t="str">
        <f t="shared" si="7"/>
        <v>2★</v>
      </c>
      <c r="C96" s="359" t="str">
        <f>IFERROR(__xludf.DUMMYFUNCTION("""COMPUTED_VALUE"""),"CARD_14_s2")</f>
        <v>CARD_14_s2</v>
      </c>
      <c r="M96" s="354"/>
      <c r="N96" s="296"/>
      <c r="O96" s="353"/>
      <c r="Q96" s="354"/>
      <c r="R96" s="355"/>
      <c r="T96" s="367"/>
      <c r="U96" s="296"/>
      <c r="V96" s="353" t="str">
        <f>IFERROR(__xludf.DUMMYFUNCTION("if(U96="""", """", U96/sum(filter($U$3:$U$1000, $U$3:$U$1000&lt;&gt;"""")))"),"")</f>
        <v/>
      </c>
    </row>
    <row r="97" ht="12.75" customHeight="1">
      <c r="A97" s="315" t="str">
        <f t="shared" si="6"/>
        <v>Kraken Lair - Coral</v>
      </c>
      <c r="B97" s="359" t="str">
        <f t="shared" si="7"/>
        <v>2★</v>
      </c>
      <c r="C97" s="359" t="str">
        <f>IFERROR(__xludf.DUMMYFUNCTION("""COMPUTED_VALUE"""),"CARD_15_s2")</f>
        <v>CARD_15_s2</v>
      </c>
      <c r="M97" s="354"/>
      <c r="N97" s="296"/>
      <c r="O97" s="353"/>
      <c r="Q97" s="354"/>
      <c r="R97" s="355"/>
      <c r="T97" s="367"/>
      <c r="U97" s="296"/>
      <c r="V97" s="353" t="str">
        <f>IFERROR(__xludf.DUMMYFUNCTION("if(U97="""", """", U97/sum(filter($U$3:$U$1000, $U$3:$U$1000&lt;&gt;"""")))"),"")</f>
        <v/>
      </c>
    </row>
    <row r="98" ht="12.75" customHeight="1">
      <c r="A98" s="315" t="str">
        <f t="shared" si="6"/>
        <v>Kraken Lair - Lantern</v>
      </c>
      <c r="B98" s="359" t="str">
        <f t="shared" si="7"/>
        <v>3★</v>
      </c>
      <c r="C98" s="359" t="str">
        <f>IFERROR(__xludf.DUMMYFUNCTION("""COMPUTED_VALUE"""),"CARD_16_s2")</f>
        <v>CARD_16_s2</v>
      </c>
      <c r="M98" s="354"/>
      <c r="N98" s="296"/>
      <c r="O98" s="353"/>
      <c r="Q98" s="354"/>
      <c r="R98" s="355"/>
      <c r="T98" s="367"/>
      <c r="U98" s="296"/>
      <c r="V98" s="353" t="str">
        <f>IFERROR(__xludf.DUMMYFUNCTION("if(U98="""", """", U98/sum(filter($U$3:$U$1000, $U$3:$U$1000&lt;&gt;"""")))"),"")</f>
        <v/>
      </c>
    </row>
    <row r="99" ht="12.75" customHeight="1">
      <c r="A99" s="315" t="str">
        <f t="shared" si="6"/>
        <v>Kraken Lair - Hook</v>
      </c>
      <c r="B99" s="359" t="str">
        <f t="shared" si="7"/>
        <v>3★</v>
      </c>
      <c r="C99" s="359" t="str">
        <f>IFERROR(__xludf.DUMMYFUNCTION("""COMPUTED_VALUE"""),"CARD_17_s2")</f>
        <v>CARD_17_s2</v>
      </c>
      <c r="M99" s="354"/>
      <c r="N99" s="296"/>
      <c r="O99" s="353"/>
      <c r="Q99" s="354"/>
      <c r="R99" s="355"/>
      <c r="T99" s="367"/>
      <c r="U99" s="296"/>
      <c r="V99" s="353" t="str">
        <f>IFERROR(__xludf.DUMMYFUNCTION("if(U99="""", """", U99/sum(filter($U$3:$U$1000, $U$3:$U$1000&lt;&gt;"""")))"),"")</f>
        <v/>
      </c>
    </row>
    <row r="100" ht="12.75" customHeight="1">
      <c r="A100" s="315" t="str">
        <f t="shared" si="6"/>
        <v>Kraken Lair - Eyepatch</v>
      </c>
      <c r="B100" s="359" t="str">
        <f t="shared" si="7"/>
        <v>4★</v>
      </c>
      <c r="C100" s="359" t="str">
        <f>IFERROR(__xludf.DUMMYFUNCTION("""COMPUTED_VALUE"""),"CARD_18_s2")</f>
        <v>CARD_18_s2</v>
      </c>
      <c r="M100" s="354"/>
      <c r="N100" s="296"/>
      <c r="O100" s="353"/>
      <c r="Q100" s="354"/>
      <c r="R100" s="355"/>
      <c r="T100" s="367"/>
      <c r="U100" s="296"/>
      <c r="V100" s="353" t="str">
        <f>IFERROR(__xludf.DUMMYFUNCTION("if(U100="""", """", U100/sum(filter($U$3:$U$1000, $U$3:$U$1000&lt;&gt;"""")))"),"")</f>
        <v/>
      </c>
    </row>
    <row r="101" ht="12.75" customHeight="1">
      <c r="M101" s="354"/>
      <c r="N101" s="296"/>
      <c r="O101" s="353"/>
      <c r="Q101" s="354"/>
      <c r="R101" s="355"/>
      <c r="T101" s="367"/>
      <c r="U101" s="296"/>
      <c r="V101" s="353" t="str">
        <f>IFERROR(__xludf.DUMMYFUNCTION("if(U101="""", """", U101/sum(filter($U$3:$U$1000, $U$3:$U$1000&lt;&gt;"""")))"),"")</f>
        <v/>
      </c>
    </row>
    <row r="102" ht="12.75" customHeight="1">
      <c r="A102" s="309" t="s">
        <v>712</v>
      </c>
      <c r="M102" s="354"/>
      <c r="N102" s="296"/>
      <c r="O102" s="353"/>
      <c r="Q102" s="354"/>
      <c r="R102" s="355"/>
      <c r="T102" s="367"/>
      <c r="U102" s="296"/>
      <c r="V102" s="353" t="str">
        <f>IFERROR(__xludf.DUMMYFUNCTION("if(U102="""", """", U102/sum(filter($U$3:$U$1000, $U$3:$U$1000&lt;&gt;"""")))"),"")</f>
        <v/>
      </c>
    </row>
    <row r="103" ht="12.75" customHeight="1">
      <c r="A103" s="312" t="s">
        <v>495</v>
      </c>
      <c r="B103" s="313" t="s">
        <v>473</v>
      </c>
      <c r="C103" s="313" t="s">
        <v>494</v>
      </c>
      <c r="M103" s="354"/>
      <c r="N103" s="296"/>
      <c r="O103" s="353"/>
      <c r="Q103" s="354"/>
      <c r="R103" s="355"/>
      <c r="T103" s="367"/>
      <c r="U103" s="296"/>
      <c r="V103" s="353" t="str">
        <f>IFERROR(__xludf.DUMMYFUNCTION("if(U103="""", """", U103/sum(filter($U$3:$U$1000, $U$3:$U$1000&lt;&gt;"""")))"),"")</f>
        <v/>
      </c>
    </row>
    <row r="104" ht="12.75" customHeight="1">
      <c r="A104" s="315" t="str">
        <f t="shared" ref="A104:A112" si="8">index($B$3:$B$74, match(C104, $A$3:$A$74, 0),0)</f>
        <v>Gold Cove - Doubloon</v>
      </c>
      <c r="B104" s="359" t="str">
        <f t="shared" ref="B104:B112" si="9">index($E$3:$E$74, match(C104, $A$3:$A$74, 0),0)</f>
        <v>1★</v>
      </c>
      <c r="C104" s="359" t="str">
        <f>IFERROR(__xludf.DUMMYFUNCTION("filter($A$3:$A$74, $D$3:$D$74=LEFT(A$102, len(A$102)-8))"),"CARD_19_s3")</f>
        <v>CARD_19_s3</v>
      </c>
      <c r="M104" s="354"/>
      <c r="N104" s="296"/>
      <c r="O104" s="353"/>
      <c r="Q104" s="354"/>
      <c r="R104" s="355"/>
      <c r="T104" s="367"/>
      <c r="U104" s="296"/>
      <c r="V104" s="353" t="str">
        <f>IFERROR(__xludf.DUMMYFUNCTION("if(U104="""", """", U104/sum(filter($U$3:$U$1000, $U$3:$U$1000&lt;&gt;"""")))"),"")</f>
        <v/>
      </c>
    </row>
    <row r="105" ht="12.75" customHeight="1">
      <c r="A105" s="315" t="str">
        <f t="shared" si="8"/>
        <v>Gold Cove - Ruby</v>
      </c>
      <c r="B105" s="359" t="str">
        <f t="shared" si="9"/>
        <v>1★</v>
      </c>
      <c r="C105" s="359" t="str">
        <f>IFERROR(__xludf.DUMMYFUNCTION("""COMPUTED_VALUE"""),"CARD_20_s3")</f>
        <v>CARD_20_s3</v>
      </c>
      <c r="M105" s="354"/>
      <c r="N105" s="296"/>
      <c r="O105" s="353"/>
      <c r="Q105" s="354"/>
      <c r="R105" s="355"/>
      <c r="T105" s="367"/>
      <c r="U105" s="296"/>
      <c r="V105" s="353" t="str">
        <f>IFERROR(__xludf.DUMMYFUNCTION("if(U105="""", """", U105/sum(filter($U$3:$U$1000, $U$3:$U$1000&lt;&gt;"""")))"),"")</f>
        <v/>
      </c>
    </row>
    <row r="106" ht="12.75" customHeight="1">
      <c r="A106" s="315" t="str">
        <f t="shared" si="8"/>
        <v>Gold Cove - Emerald</v>
      </c>
      <c r="B106" s="359" t="str">
        <f t="shared" si="9"/>
        <v>1★</v>
      </c>
      <c r="C106" s="359" t="str">
        <f>IFERROR(__xludf.DUMMYFUNCTION("""COMPUTED_VALUE"""),"CARD_21_s3")</f>
        <v>CARD_21_s3</v>
      </c>
      <c r="M106" s="354"/>
      <c r="N106" s="296"/>
      <c r="O106" s="353"/>
      <c r="Q106" s="354"/>
      <c r="R106" s="355"/>
      <c r="T106" s="367"/>
      <c r="U106" s="296"/>
      <c r="V106" s="353" t="str">
        <f>IFERROR(__xludf.DUMMYFUNCTION("if(U106="""", """", U106/sum(filter($U$3:$U$1000, $U$3:$U$1000&lt;&gt;"""")))"),"")</f>
        <v/>
      </c>
    </row>
    <row r="107" ht="12.75" customHeight="1">
      <c r="A107" s="315" t="str">
        <f t="shared" si="8"/>
        <v>Gold Cove - Diamond</v>
      </c>
      <c r="B107" s="359" t="str">
        <f t="shared" si="9"/>
        <v>2★</v>
      </c>
      <c r="C107" s="359" t="str">
        <f>IFERROR(__xludf.DUMMYFUNCTION("""COMPUTED_VALUE"""),"CARD_22_s3")</f>
        <v>CARD_22_s3</v>
      </c>
      <c r="M107" s="354"/>
      <c r="N107" s="296"/>
      <c r="O107" s="353"/>
      <c r="Q107" s="354"/>
      <c r="R107" s="355"/>
      <c r="T107" s="367"/>
      <c r="U107" s="296"/>
      <c r="V107" s="353" t="str">
        <f>IFERROR(__xludf.DUMMYFUNCTION("if(U107="""", """", U107/sum(filter($U$3:$U$1000, $U$3:$U$1000&lt;&gt;"""")))"),"")</f>
        <v/>
      </c>
    </row>
    <row r="108" ht="12.75" customHeight="1">
      <c r="A108" s="315" t="str">
        <f t="shared" si="8"/>
        <v>Gold Cove - Crown</v>
      </c>
      <c r="B108" s="359" t="str">
        <f t="shared" si="9"/>
        <v>2★</v>
      </c>
      <c r="C108" s="359" t="str">
        <f>IFERROR(__xludf.DUMMYFUNCTION("""COMPUTED_VALUE"""),"CARD_23_s3")</f>
        <v>CARD_23_s3</v>
      </c>
      <c r="M108" s="354"/>
      <c r="N108" s="296"/>
      <c r="O108" s="353"/>
      <c r="Q108" s="354"/>
      <c r="R108" s="355"/>
      <c r="T108" s="367"/>
      <c r="U108" s="296"/>
      <c r="V108" s="353" t="str">
        <f>IFERROR(__xludf.DUMMYFUNCTION("if(U108="""", """", U108/sum(filter($U$3:$U$1000, $U$3:$U$1000&lt;&gt;"""")))"),"")</f>
        <v/>
      </c>
    </row>
    <row r="109" ht="12.75" customHeight="1">
      <c r="A109" s="315" t="str">
        <f t="shared" si="8"/>
        <v>Gold Cove - Goblet</v>
      </c>
      <c r="B109" s="359" t="str">
        <f t="shared" si="9"/>
        <v>3★</v>
      </c>
      <c r="C109" s="359" t="str">
        <f>IFERROR(__xludf.DUMMYFUNCTION("""COMPUTED_VALUE"""),"CARD_24_s3")</f>
        <v>CARD_24_s3</v>
      </c>
      <c r="M109" s="354"/>
      <c r="N109" s="296"/>
      <c r="O109" s="353"/>
      <c r="Q109" s="354"/>
      <c r="R109" s="355"/>
      <c r="T109" s="367"/>
      <c r="U109" s="296"/>
      <c r="V109" s="353" t="str">
        <f>IFERROR(__xludf.DUMMYFUNCTION("if(U109="""", """", U109/sum(filter($U$3:$U$1000, $U$3:$U$1000&lt;&gt;"""")))"),"")</f>
        <v/>
      </c>
    </row>
    <row r="110" ht="12.75" customHeight="1">
      <c r="A110" s="315" t="str">
        <f t="shared" si="8"/>
        <v>Gold Cove - Necklace</v>
      </c>
      <c r="B110" s="359" t="str">
        <f t="shared" si="9"/>
        <v>4★</v>
      </c>
      <c r="C110" s="359" t="str">
        <f>IFERROR(__xludf.DUMMYFUNCTION("""COMPUTED_VALUE"""),"CARD_25_s3")</f>
        <v>CARD_25_s3</v>
      </c>
      <c r="M110" s="354"/>
      <c r="N110" s="296"/>
      <c r="O110" s="353"/>
      <c r="Q110" s="354"/>
      <c r="R110" s="355"/>
      <c r="T110" s="367"/>
      <c r="U110" s="296"/>
      <c r="V110" s="353" t="str">
        <f>IFERROR(__xludf.DUMMYFUNCTION("if(U110="""", """", U110/sum(filter($U$3:$U$1000, $U$3:$U$1000&lt;&gt;"""")))"),"")</f>
        <v/>
      </c>
    </row>
    <row r="111" ht="12.75" customHeight="1">
      <c r="A111" s="315" t="str">
        <f t="shared" si="8"/>
        <v>Gold Cove - Ring</v>
      </c>
      <c r="B111" s="359" t="str">
        <f t="shared" si="9"/>
        <v>4★</v>
      </c>
      <c r="C111" s="359" t="str">
        <f>IFERROR(__xludf.DUMMYFUNCTION("""COMPUTED_VALUE"""),"CARD_26_s3")</f>
        <v>CARD_26_s3</v>
      </c>
      <c r="M111" s="354"/>
      <c r="N111" s="296"/>
      <c r="O111" s="353"/>
      <c r="Q111" s="354"/>
      <c r="R111" s="355"/>
      <c r="T111" s="367"/>
      <c r="U111" s="296"/>
      <c r="V111" s="353" t="str">
        <f>IFERROR(__xludf.DUMMYFUNCTION("if(U111="""", """", U111/sum(filter($U$3:$U$1000, $U$3:$U$1000&lt;&gt;"""")))"),"")</f>
        <v/>
      </c>
    </row>
    <row r="112" ht="12.75" customHeight="1">
      <c r="A112" s="315" t="str">
        <f t="shared" si="8"/>
        <v>Gold Cove - Scepter</v>
      </c>
      <c r="B112" s="359" t="str">
        <f t="shared" si="9"/>
        <v>5★</v>
      </c>
      <c r="C112" s="359" t="str">
        <f>IFERROR(__xludf.DUMMYFUNCTION("""COMPUTED_VALUE"""),"CARD_27_s3")</f>
        <v>CARD_27_s3</v>
      </c>
      <c r="M112" s="354"/>
      <c r="N112" s="296"/>
      <c r="O112" s="353"/>
      <c r="Q112" s="354"/>
      <c r="R112" s="355"/>
      <c r="T112" s="367"/>
      <c r="U112" s="296"/>
      <c r="V112" s="353" t="str">
        <f>IFERROR(__xludf.DUMMYFUNCTION("if(U112="""", """", U112/sum(filter($U$3:$U$1000, $U$3:$U$1000&lt;&gt;"""")))"),"")</f>
        <v/>
      </c>
    </row>
    <row r="113" ht="12.75" customHeight="1">
      <c r="M113" s="354"/>
      <c r="N113" s="296"/>
      <c r="O113" s="353"/>
      <c r="Q113" s="354"/>
      <c r="R113" s="355"/>
      <c r="T113" s="367"/>
      <c r="U113" s="296"/>
      <c r="V113" s="353" t="str">
        <f>IFERROR(__xludf.DUMMYFUNCTION("if(U113="""", """", U113/sum(filter($U$3:$U$1000, $U$3:$U$1000&lt;&gt;"""")))"),"")</f>
        <v/>
      </c>
    </row>
    <row r="114" ht="12.75" customHeight="1">
      <c r="A114" s="309" t="s">
        <v>713</v>
      </c>
      <c r="M114" s="354"/>
      <c r="N114" s="296"/>
      <c r="O114" s="353"/>
      <c r="Q114" s="354"/>
      <c r="R114" s="355"/>
      <c r="T114" s="367"/>
      <c r="U114" s="296"/>
      <c r="V114" s="353" t="str">
        <f>IFERROR(__xludf.DUMMYFUNCTION("if(U114="""", """", U114/sum(filter($U$3:$U$1000, $U$3:$U$1000&lt;&gt;"""")))"),"")</f>
        <v/>
      </c>
    </row>
    <row r="115" ht="12.75" customHeight="1">
      <c r="A115" s="312" t="s">
        <v>495</v>
      </c>
      <c r="B115" s="313" t="s">
        <v>473</v>
      </c>
      <c r="C115" s="313" t="s">
        <v>494</v>
      </c>
      <c r="M115" s="354"/>
      <c r="N115" s="296"/>
      <c r="O115" s="353"/>
      <c r="Q115" s="354"/>
      <c r="R115" s="355"/>
      <c r="T115" s="367"/>
      <c r="U115" s="296"/>
      <c r="V115" s="353" t="str">
        <f>IFERROR(__xludf.DUMMYFUNCTION("if(U115="""", """", U115/sum(filter($U$3:$U$1000, $U$3:$U$1000&lt;&gt;"""")))"),"")</f>
        <v/>
      </c>
    </row>
    <row r="116" ht="12.75" customHeight="1">
      <c r="A116" s="315" t="str">
        <f t="shared" ref="A116:A124" si="10">index($B$3:$B$74, match(C116, $A$3:$A$74, 0),0)</f>
        <v>Ghost Ship - Fog Horn</v>
      </c>
      <c r="B116" s="359" t="str">
        <f t="shared" ref="B116:B124" si="11">index($E$3:$E$74, match(C116, $A$3:$A$74, 0),0)</f>
        <v>1★</v>
      </c>
      <c r="C116" s="359" t="str">
        <f>IFERROR(__xludf.DUMMYFUNCTION("filter($A$3:$A$74, $D$3:$D$74=LEFT(A$114, len(A$114)-8))"),"CARD_28_s4")</f>
        <v>CARD_28_s4</v>
      </c>
      <c r="M116" s="354"/>
      <c r="N116" s="296"/>
      <c r="O116" s="353"/>
      <c r="Q116" s="354"/>
      <c r="R116" s="355"/>
      <c r="T116" s="367"/>
      <c r="U116" s="296"/>
      <c r="V116" s="353" t="str">
        <f>IFERROR(__xludf.DUMMYFUNCTION("if(U116="""", """", U116/sum(filter($U$3:$U$1000, $U$3:$U$1000&lt;&gt;"""")))"),"")</f>
        <v/>
      </c>
    </row>
    <row r="117" ht="12.75" customHeight="1">
      <c r="A117" s="315" t="str">
        <f t="shared" si="10"/>
        <v>Ghost Ship - Sail</v>
      </c>
      <c r="B117" s="359" t="str">
        <f t="shared" si="11"/>
        <v>1★</v>
      </c>
      <c r="C117" s="359" t="str">
        <f>IFERROR(__xludf.DUMMYFUNCTION("""COMPUTED_VALUE"""),"CARD_29_s4")</f>
        <v>CARD_29_s4</v>
      </c>
      <c r="M117" s="354"/>
      <c r="N117" s="296"/>
      <c r="O117" s="353"/>
      <c r="Q117" s="354"/>
      <c r="R117" s="355"/>
      <c r="T117" s="367"/>
      <c r="U117" s="296"/>
      <c r="V117" s="353" t="str">
        <f>IFERROR(__xludf.DUMMYFUNCTION("if(U117="""", """", U117/sum(filter($U$3:$U$1000, $U$3:$U$1000&lt;&gt;"""")))"),"")</f>
        <v/>
      </c>
    </row>
    <row r="118" ht="12.75" customHeight="1">
      <c r="A118" s="315" t="str">
        <f t="shared" si="10"/>
        <v>Ghost Ship - Ghost Lamp</v>
      </c>
      <c r="B118" s="359" t="str">
        <f t="shared" si="11"/>
        <v>2★</v>
      </c>
      <c r="C118" s="359" t="str">
        <f>IFERROR(__xludf.DUMMYFUNCTION("""COMPUTED_VALUE"""),"CARD_30_s4")</f>
        <v>CARD_30_s4</v>
      </c>
      <c r="M118" s="354"/>
      <c r="N118" s="296"/>
      <c r="O118" s="353"/>
      <c r="Q118" s="354"/>
      <c r="R118" s="355"/>
      <c r="T118" s="367"/>
      <c r="U118" s="296"/>
      <c r="V118" s="353" t="str">
        <f>IFERROR(__xludf.DUMMYFUNCTION("if(U118="""", """", U118/sum(filter($U$3:$U$1000, $U$3:$U$1000&lt;&gt;"""")))"),"")</f>
        <v/>
      </c>
    </row>
    <row r="119" ht="12.75" customHeight="1">
      <c r="A119" s="315" t="str">
        <f t="shared" si="10"/>
        <v>Ghost Ship - Key</v>
      </c>
      <c r="B119" s="359" t="str">
        <f t="shared" si="11"/>
        <v>2★</v>
      </c>
      <c r="C119" s="359" t="str">
        <f>IFERROR(__xludf.DUMMYFUNCTION("""COMPUTED_VALUE"""),"CARD_31_s4")</f>
        <v>CARD_31_s4</v>
      </c>
      <c r="M119" s="354"/>
      <c r="N119" s="296"/>
      <c r="O119" s="353"/>
      <c r="Q119" s="354"/>
      <c r="R119" s="355"/>
      <c r="T119" s="367"/>
      <c r="U119" s="296"/>
      <c r="V119" s="353" t="str">
        <f>IFERROR(__xludf.DUMMYFUNCTION("if(U119="""", """", U119/sum(filter($U$3:$U$1000, $U$3:$U$1000&lt;&gt;"""")))"),"")</f>
        <v/>
      </c>
    </row>
    <row r="120" ht="12.75" customHeight="1">
      <c r="A120" s="315" t="str">
        <f t="shared" si="10"/>
        <v>Ghost Ship - Plank</v>
      </c>
      <c r="B120" s="359" t="str">
        <f t="shared" si="11"/>
        <v>3★</v>
      </c>
      <c r="C120" s="359" t="str">
        <f>IFERROR(__xludf.DUMMYFUNCTION("""COMPUTED_VALUE"""),"CARD_32_s4")</f>
        <v>CARD_32_s4</v>
      </c>
      <c r="M120" s="354"/>
      <c r="N120" s="296"/>
      <c r="O120" s="353"/>
      <c r="Q120" s="354"/>
      <c r="R120" s="355"/>
      <c r="T120" s="367"/>
      <c r="U120" s="296"/>
      <c r="V120" s="353" t="str">
        <f>IFERROR(__xludf.DUMMYFUNCTION("if(U120="""", """", U120/sum(filter($U$3:$U$1000, $U$3:$U$1000&lt;&gt;"""")))"),"")</f>
        <v/>
      </c>
    </row>
    <row r="121" ht="12.75" customHeight="1">
      <c r="A121" s="315" t="str">
        <f t="shared" si="10"/>
        <v>Ghost Ship - Nest</v>
      </c>
      <c r="B121" s="359" t="str">
        <f t="shared" si="11"/>
        <v>3★</v>
      </c>
      <c r="C121" s="359" t="str">
        <f>IFERROR(__xludf.DUMMYFUNCTION("""COMPUTED_VALUE"""),"CARD_33_s4")</f>
        <v>CARD_33_s4</v>
      </c>
      <c r="M121" s="354"/>
      <c r="N121" s="296"/>
      <c r="O121" s="353"/>
      <c r="Q121" s="354"/>
      <c r="R121" s="355"/>
      <c r="T121" s="367"/>
      <c r="U121" s="296"/>
      <c r="V121" s="353" t="str">
        <f>IFERROR(__xludf.DUMMYFUNCTION("if(U121="""", """", U121/sum(filter($U$3:$U$1000, $U$3:$U$1000&lt;&gt;"""")))"),"")</f>
        <v/>
      </c>
    </row>
    <row r="122" ht="12.75" customHeight="1">
      <c r="A122" s="315" t="str">
        <f t="shared" si="10"/>
        <v>Ghost Ship - Flag</v>
      </c>
      <c r="B122" s="359" t="str">
        <f t="shared" si="11"/>
        <v>4★</v>
      </c>
      <c r="C122" s="359" t="str">
        <f>IFERROR(__xludf.DUMMYFUNCTION("""COMPUTED_VALUE"""),"CARD_34_s4")</f>
        <v>CARD_34_s4</v>
      </c>
      <c r="M122" s="354"/>
      <c r="N122" s="296"/>
      <c r="O122" s="353"/>
      <c r="Q122" s="354"/>
      <c r="R122" s="355"/>
      <c r="T122" s="367"/>
      <c r="U122" s="296"/>
      <c r="V122" s="353" t="str">
        <f>IFERROR(__xludf.DUMMYFUNCTION("if(U122="""", """", U122/sum(filter($U$3:$U$1000, $U$3:$U$1000&lt;&gt;"""")))"),"")</f>
        <v/>
      </c>
    </row>
    <row r="123" ht="12.75" customHeight="1">
      <c r="A123" s="315" t="str">
        <f t="shared" si="10"/>
        <v>Ghost Ship - Chain</v>
      </c>
      <c r="B123" s="359" t="str">
        <f t="shared" si="11"/>
        <v>4★</v>
      </c>
      <c r="C123" s="359" t="str">
        <f>IFERROR(__xludf.DUMMYFUNCTION("""COMPUTED_VALUE"""),"CARD_35_s4")</f>
        <v>CARD_35_s4</v>
      </c>
      <c r="M123" s="354"/>
      <c r="N123" s="296"/>
      <c r="O123" s="353"/>
      <c r="Q123" s="354"/>
      <c r="R123" s="355"/>
      <c r="T123" s="367"/>
      <c r="U123" s="296"/>
      <c r="V123" s="353" t="str">
        <f>IFERROR(__xludf.DUMMYFUNCTION("if(U123="""", """", U123/sum(filter($U$3:$U$1000, $U$3:$U$1000&lt;&gt;"""")))"),"")</f>
        <v/>
      </c>
    </row>
    <row r="124" ht="12.75" customHeight="1">
      <c r="A124" s="315" t="str">
        <f t="shared" si="10"/>
        <v>Ghost Ship - Log</v>
      </c>
      <c r="B124" s="359" t="str">
        <f t="shared" si="11"/>
        <v>5★</v>
      </c>
      <c r="C124" s="359" t="str">
        <f>IFERROR(__xludf.DUMMYFUNCTION("""COMPUTED_VALUE"""),"CARD_36_s4")</f>
        <v>CARD_36_s4</v>
      </c>
      <c r="M124" s="354"/>
      <c r="N124" s="296"/>
      <c r="O124" s="353"/>
      <c r="Q124" s="354"/>
      <c r="R124" s="355"/>
      <c r="T124" s="367"/>
      <c r="U124" s="296"/>
      <c r="V124" s="353" t="str">
        <f>IFERROR(__xludf.DUMMYFUNCTION("if(U124="""", """", U124/sum(filter($U$3:$U$1000, $U$3:$U$1000&lt;&gt;"""")))"),"")</f>
        <v/>
      </c>
    </row>
    <row r="125" ht="12.75" customHeight="1">
      <c r="M125" s="354"/>
      <c r="N125" s="296"/>
      <c r="O125" s="353"/>
      <c r="Q125" s="354"/>
      <c r="R125" s="355"/>
      <c r="T125" s="367"/>
      <c r="U125" s="296"/>
      <c r="V125" s="353" t="str">
        <f>IFERROR(__xludf.DUMMYFUNCTION("if(U125="""", """", U125/sum(filter($U$3:$U$1000, $U$3:$U$1000&lt;&gt;"""")))"),"")</f>
        <v/>
      </c>
    </row>
    <row r="126" ht="12.75" customHeight="1">
      <c r="A126" s="309" t="s">
        <v>714</v>
      </c>
      <c r="M126" s="354"/>
      <c r="N126" s="296"/>
      <c r="O126" s="353"/>
      <c r="Q126" s="354"/>
      <c r="R126" s="355"/>
      <c r="T126" s="367"/>
      <c r="U126" s="296"/>
      <c r="V126" s="353" t="str">
        <f>IFERROR(__xludf.DUMMYFUNCTION("if(U126="""", """", U126/sum(filter($U$3:$U$1000, $U$3:$U$1000&lt;&gt;"""")))"),"")</f>
        <v/>
      </c>
    </row>
    <row r="127" ht="12.75" customHeight="1">
      <c r="A127" s="312" t="s">
        <v>495</v>
      </c>
      <c r="B127" s="313" t="s">
        <v>473</v>
      </c>
      <c r="C127" s="313" t="s">
        <v>494</v>
      </c>
      <c r="M127" s="354"/>
      <c r="N127" s="296"/>
      <c r="O127" s="353"/>
      <c r="Q127" s="354"/>
      <c r="R127" s="355"/>
      <c r="T127" s="367"/>
      <c r="U127" s="296"/>
      <c r="V127" s="353" t="str">
        <f>IFERROR(__xludf.DUMMYFUNCTION("if(U127="""", """", U127/sum(filter($U$3:$U$1000, $U$3:$U$1000&lt;&gt;"""")))"),"")</f>
        <v/>
      </c>
    </row>
    <row r="128" ht="12.75" customHeight="1">
      <c r="A128" s="315" t="str">
        <f t="shared" ref="A128:A136" si="12">index($B$3:$B$74, match(C128, $A$3:$A$74, 0),0)</f>
        <v>Storm Port - Lightning</v>
      </c>
      <c r="B128" s="359" t="str">
        <f t="shared" ref="B128:B136" si="13">index($E$3:$E$74, match(C128, $A$3:$A$74, 0),0)</f>
        <v>1★</v>
      </c>
      <c r="C128" s="359" t="str">
        <f>IFERROR(__xludf.DUMMYFUNCTION("filter($A$3:$A$74, $D$3:$D$74=LEFT(A$126, len(A$126)-8))"),"CARD_37_s5")</f>
        <v>CARD_37_s5</v>
      </c>
      <c r="M128" s="354"/>
      <c r="N128" s="296"/>
      <c r="O128" s="353"/>
      <c r="Q128" s="354"/>
      <c r="R128" s="355"/>
      <c r="T128" s="367"/>
      <c r="U128" s="296"/>
      <c r="V128" s="353" t="str">
        <f>IFERROR(__xludf.DUMMYFUNCTION("if(U128="""", """", U128/sum(filter($U$3:$U$1000, $U$3:$U$1000&lt;&gt;"""")))"),"")</f>
        <v/>
      </c>
    </row>
    <row r="129" ht="12.75" customHeight="1">
      <c r="A129" s="315" t="str">
        <f t="shared" si="12"/>
        <v>Storm Port - Barrel</v>
      </c>
      <c r="B129" s="359" t="str">
        <f t="shared" si="13"/>
        <v>1★</v>
      </c>
      <c r="C129" s="359" t="str">
        <f>IFERROR(__xludf.DUMMYFUNCTION("""COMPUTED_VALUE"""),"CARD_38_s5")</f>
        <v>CARD_38_s5</v>
      </c>
      <c r="M129" s="354"/>
      <c r="N129" s="296"/>
      <c r="O129" s="353"/>
      <c r="Q129" s="354"/>
      <c r="R129" s="355"/>
      <c r="T129" s="367"/>
      <c r="U129" s="296"/>
      <c r="V129" s="353" t="str">
        <f>IFERROR(__xludf.DUMMYFUNCTION("if(U129="""", """", U129/sum(filter($U$3:$U$1000, $U$3:$U$1000&lt;&gt;"""")))"),"")</f>
        <v/>
      </c>
    </row>
    <row r="130" ht="12.75" customHeight="1">
      <c r="A130" s="315" t="str">
        <f t="shared" si="12"/>
        <v>Storm Port - Rope</v>
      </c>
      <c r="B130" s="359" t="str">
        <f t="shared" si="13"/>
        <v>2★</v>
      </c>
      <c r="C130" s="359" t="str">
        <f>IFERROR(__xludf.DUMMYFUNCTION("""COMPUTED_VALUE"""),"CARD_39_s5")</f>
        <v>CARD_39_s5</v>
      </c>
      <c r="M130" s="354"/>
      <c r="N130" s="296"/>
      <c r="O130" s="353"/>
      <c r="Q130" s="354"/>
      <c r="R130" s="355"/>
      <c r="T130" s="367"/>
      <c r="U130" s="296"/>
      <c r="V130" s="353" t="str">
        <f>IFERROR(__xludf.DUMMYFUNCTION("if(U130="""", """", U130/sum(filter($U$3:$U$1000, $U$3:$U$1000&lt;&gt;"""")))"),"")</f>
        <v/>
      </c>
    </row>
    <row r="131" ht="12.75" customHeight="1">
      <c r="A131" s="315" t="str">
        <f t="shared" si="12"/>
        <v>Storm Port - Cleat</v>
      </c>
      <c r="B131" s="359" t="str">
        <f t="shared" si="13"/>
        <v>2★</v>
      </c>
      <c r="C131" s="359" t="str">
        <f>IFERROR(__xludf.DUMMYFUNCTION("""COMPUTED_VALUE"""),"CARD_40_s5")</f>
        <v>CARD_40_s5</v>
      </c>
      <c r="M131" s="354"/>
      <c r="N131" s="296"/>
      <c r="O131" s="353"/>
      <c r="Q131" s="354"/>
      <c r="R131" s="355"/>
      <c r="T131" s="367"/>
      <c r="U131" s="296"/>
      <c r="V131" s="353" t="str">
        <f>IFERROR(__xludf.DUMMYFUNCTION("if(U131="""", """", U131/sum(filter($U$3:$U$1000, $U$3:$U$1000&lt;&gt;"""")))"),"")</f>
        <v/>
      </c>
    </row>
    <row r="132" ht="12.75" customHeight="1">
      <c r="A132" s="315" t="str">
        <f t="shared" si="12"/>
        <v>Storm Port - Flare</v>
      </c>
      <c r="B132" s="359" t="str">
        <f t="shared" si="13"/>
        <v>3★</v>
      </c>
      <c r="C132" s="359" t="str">
        <f>IFERROR(__xludf.DUMMYFUNCTION("""COMPUTED_VALUE"""),"CARD_41_s5")</f>
        <v>CARD_41_s5</v>
      </c>
      <c r="M132" s="354"/>
      <c r="N132" s="296"/>
      <c r="O132" s="353"/>
      <c r="Q132" s="354"/>
      <c r="R132" s="355"/>
      <c r="T132" s="367"/>
      <c r="U132" s="296"/>
      <c r="V132" s="353" t="str">
        <f>IFERROR(__xludf.DUMMYFUNCTION("if(U132="""", """", U132/sum(filter($U$3:$U$1000, $U$3:$U$1000&lt;&gt;"""")))"),"")</f>
        <v/>
      </c>
    </row>
    <row r="133" ht="12.75" customHeight="1">
      <c r="A133" s="315" t="str">
        <f t="shared" si="12"/>
        <v>Storm Port - Bucket</v>
      </c>
      <c r="B133" s="359" t="str">
        <f t="shared" si="13"/>
        <v>4★</v>
      </c>
      <c r="C133" s="359" t="str">
        <f>IFERROR(__xludf.DUMMYFUNCTION("""COMPUTED_VALUE"""),"CARD_42_s5")</f>
        <v>CARD_42_s5</v>
      </c>
      <c r="M133" s="354"/>
      <c r="N133" s="296"/>
      <c r="O133" s="353"/>
      <c r="Q133" s="354"/>
      <c r="R133" s="355"/>
      <c r="T133" s="367"/>
      <c r="U133" s="296"/>
      <c r="V133" s="353" t="str">
        <f>IFERROR(__xludf.DUMMYFUNCTION("if(U133="""", """", U133/sum(filter($U$3:$U$1000, $U$3:$U$1000&lt;&gt;"""")))"),"")</f>
        <v/>
      </c>
    </row>
    <row r="134" ht="12.75" customHeight="1">
      <c r="A134" s="315" t="str">
        <f t="shared" si="12"/>
        <v>Storm Port - Windmill</v>
      </c>
      <c r="B134" s="359" t="str">
        <f t="shared" si="13"/>
        <v>4★</v>
      </c>
      <c r="C134" s="359" t="str">
        <f>IFERROR(__xludf.DUMMYFUNCTION("""COMPUTED_VALUE"""),"CARD_43_s5")</f>
        <v>CARD_43_s5</v>
      </c>
      <c r="M134" s="354"/>
      <c r="N134" s="296"/>
      <c r="O134" s="353"/>
      <c r="Q134" s="354"/>
      <c r="R134" s="355"/>
      <c r="T134" s="367"/>
      <c r="U134" s="296"/>
      <c r="V134" s="353" t="str">
        <f>IFERROR(__xludf.DUMMYFUNCTION("if(U134="""", """", U134/sum(filter($U$3:$U$1000, $U$3:$U$1000&lt;&gt;"""")))"),"")</f>
        <v/>
      </c>
    </row>
    <row r="135" ht="12.75" customHeight="1">
      <c r="A135" s="315" t="str">
        <f t="shared" si="12"/>
        <v>Storm Port - Lighthouse</v>
      </c>
      <c r="B135" s="359" t="str">
        <f t="shared" si="13"/>
        <v>5★</v>
      </c>
      <c r="C135" s="359" t="str">
        <f>IFERROR(__xludf.DUMMYFUNCTION("""COMPUTED_VALUE"""),"CARD_44_s5")</f>
        <v>CARD_44_s5</v>
      </c>
      <c r="M135" s="354"/>
      <c r="N135" s="296"/>
      <c r="O135" s="353"/>
      <c r="Q135" s="354"/>
      <c r="R135" s="355"/>
      <c r="T135" s="367"/>
      <c r="U135" s="296"/>
      <c r="V135" s="353" t="str">
        <f>IFERROR(__xludf.DUMMYFUNCTION("if(U135="""", """", U135/sum(filter($U$3:$U$1000, $U$3:$U$1000&lt;&gt;"""")))"),"")</f>
        <v/>
      </c>
    </row>
    <row r="136" ht="12.75" customHeight="1">
      <c r="A136" s="315" t="str">
        <f t="shared" si="12"/>
        <v>Storm Port - Drum</v>
      </c>
      <c r="B136" s="359" t="str">
        <f t="shared" si="13"/>
        <v>5★</v>
      </c>
      <c r="C136" s="359" t="str">
        <f>IFERROR(__xludf.DUMMYFUNCTION("""COMPUTED_VALUE"""),"CARD_45_s5")</f>
        <v>CARD_45_s5</v>
      </c>
      <c r="M136" s="354"/>
      <c r="N136" s="296"/>
      <c r="O136" s="353"/>
      <c r="Q136" s="354"/>
      <c r="R136" s="355"/>
      <c r="T136" s="367"/>
      <c r="U136" s="296"/>
      <c r="V136" s="353" t="str">
        <f>IFERROR(__xludf.DUMMYFUNCTION("if(U136="""", """", U136/sum(filter($U$3:$U$1000, $U$3:$U$1000&lt;&gt;"""")))"),"")</f>
        <v/>
      </c>
    </row>
    <row r="137" ht="12.75" customHeight="1">
      <c r="M137" s="354"/>
      <c r="N137" s="296"/>
      <c r="O137" s="353"/>
      <c r="Q137" s="354"/>
      <c r="R137" s="355"/>
      <c r="T137" s="367"/>
      <c r="U137" s="296"/>
      <c r="V137" s="353" t="str">
        <f>IFERROR(__xludf.DUMMYFUNCTION("if(U137="""", """", U137/sum(filter($U$3:$U$1000, $U$3:$U$1000&lt;&gt;"""")))"),"")</f>
        <v/>
      </c>
    </row>
    <row r="138" ht="12.75" customHeight="1">
      <c r="A138" s="309" t="s">
        <v>715</v>
      </c>
      <c r="M138" s="354"/>
      <c r="N138" s="296"/>
      <c r="O138" s="353"/>
      <c r="Q138" s="354"/>
      <c r="R138" s="355"/>
      <c r="T138" s="367"/>
      <c r="U138" s="296"/>
      <c r="V138" s="353" t="str">
        <f>IFERROR(__xludf.DUMMYFUNCTION("if(U138="""", """", U138/sum(filter($U$3:$U$1000, $U$3:$U$1000&lt;&gt;"""")))"),"")</f>
        <v/>
      </c>
    </row>
    <row r="139" ht="12.75" customHeight="1">
      <c r="A139" s="312" t="s">
        <v>495</v>
      </c>
      <c r="B139" s="313" t="s">
        <v>473</v>
      </c>
      <c r="C139" s="313" t="s">
        <v>494</v>
      </c>
      <c r="M139" s="354"/>
      <c r="N139" s="296"/>
      <c r="O139" s="353"/>
      <c r="Q139" s="354"/>
      <c r="R139" s="355"/>
      <c r="T139" s="367"/>
      <c r="U139" s="296"/>
      <c r="V139" s="353" t="str">
        <f>IFERROR(__xludf.DUMMYFUNCTION("if(U139="""", """", U139/sum(filter($U$3:$U$1000, $U$3:$U$1000&lt;&gt;"""")))"),"")</f>
        <v/>
      </c>
    </row>
    <row r="140" ht="12.75" customHeight="1">
      <c r="A140" s="315" t="str">
        <f t="shared" ref="A140:A148" si="14">index($B$3:$B$74, match(C140, $A$3:$A$74, 0),0)</f>
        <v>Cannon Fort - Cannonball</v>
      </c>
      <c r="B140" s="359" t="str">
        <f t="shared" ref="B140:B148" si="15">index($E$3:$E$74, match(C140, $A$3:$A$74, 0),0)</f>
        <v>1★</v>
      </c>
      <c r="C140" s="359" t="str">
        <f>IFERROR(__xludf.DUMMYFUNCTION("filter($A$3:$A$74, $D$3:$D$74=LEFT(A$138, len(A$138)-8))"),"CARD_46_s6")</f>
        <v>CARD_46_s6</v>
      </c>
      <c r="M140" s="354"/>
      <c r="N140" s="296"/>
      <c r="O140" s="353"/>
      <c r="Q140" s="354"/>
      <c r="R140" s="355"/>
      <c r="T140" s="367"/>
      <c r="U140" s="296"/>
      <c r="V140" s="353" t="str">
        <f>IFERROR(__xludf.DUMMYFUNCTION("if(U140="""", """", U140/sum(filter($U$3:$U$1000, $U$3:$U$1000&lt;&gt;"""")))"),"")</f>
        <v/>
      </c>
    </row>
    <row r="141" ht="12.75" customHeight="1">
      <c r="A141" s="315" t="str">
        <f t="shared" si="14"/>
        <v>Cannon Fort - Powder</v>
      </c>
      <c r="B141" s="359" t="str">
        <f t="shared" si="15"/>
        <v>1★</v>
      </c>
      <c r="C141" s="359" t="str">
        <f>IFERROR(__xludf.DUMMYFUNCTION("""COMPUTED_VALUE"""),"CARD_47_s6")</f>
        <v>CARD_47_s6</v>
      </c>
      <c r="M141" s="354"/>
      <c r="N141" s="296"/>
      <c r="O141" s="353"/>
      <c r="Q141" s="354"/>
      <c r="R141" s="355"/>
      <c r="T141" s="367"/>
      <c r="U141" s="296"/>
      <c r="V141" s="353" t="str">
        <f>IFERROR(__xludf.DUMMYFUNCTION("if(U141="""", """", U141/sum(filter($U$3:$U$1000, $U$3:$U$1000&lt;&gt;"""")))"),"")</f>
        <v/>
      </c>
    </row>
    <row r="142" ht="12.75" customHeight="1">
      <c r="A142" s="315" t="str">
        <f t="shared" si="14"/>
        <v>Cannon Fort - Fuse</v>
      </c>
      <c r="B142" s="359" t="str">
        <f t="shared" si="15"/>
        <v>2★</v>
      </c>
      <c r="C142" s="359" t="str">
        <f>IFERROR(__xludf.DUMMYFUNCTION("""COMPUTED_VALUE"""),"CARD_48_s6")</f>
        <v>CARD_48_s6</v>
      </c>
      <c r="M142" s="354"/>
      <c r="N142" s="296"/>
      <c r="O142" s="353"/>
      <c r="Q142" s="354"/>
      <c r="R142" s="355"/>
      <c r="T142" s="367"/>
      <c r="U142" s="296"/>
      <c r="V142" s="353" t="str">
        <f>IFERROR(__xludf.DUMMYFUNCTION("if(U142="""", """", U142/sum(filter($U$3:$U$1000, $U$3:$U$1000&lt;&gt;"""")))"),"")</f>
        <v/>
      </c>
    </row>
    <row r="143" ht="12.75" customHeight="1">
      <c r="A143" s="315" t="str">
        <f t="shared" si="14"/>
        <v>Cannon Fort - Ramrod</v>
      </c>
      <c r="B143" s="359" t="str">
        <f t="shared" si="15"/>
        <v>2★</v>
      </c>
      <c r="C143" s="359" t="str">
        <f>IFERROR(__xludf.DUMMYFUNCTION("""COMPUTED_VALUE"""),"CARD_49_s6")</f>
        <v>CARD_49_s6</v>
      </c>
      <c r="M143" s="354"/>
      <c r="N143" s="296"/>
      <c r="O143" s="353"/>
      <c r="Q143" s="354"/>
      <c r="R143" s="355"/>
      <c r="T143" s="367"/>
      <c r="U143" s="296"/>
      <c r="V143" s="353" t="str">
        <f>IFERROR(__xludf.DUMMYFUNCTION("if(U143="""", """", U143/sum(filter($U$3:$U$1000, $U$3:$U$1000&lt;&gt;"""")))"),"")</f>
        <v/>
      </c>
    </row>
    <row r="144" ht="12.75" customHeight="1">
      <c r="A144" s="315" t="str">
        <f t="shared" si="14"/>
        <v>Cannon Fort - War Flag</v>
      </c>
      <c r="B144" s="359" t="str">
        <f t="shared" si="15"/>
        <v>3★</v>
      </c>
      <c r="C144" s="359" t="str">
        <f>IFERROR(__xludf.DUMMYFUNCTION("""COMPUTED_VALUE"""),"CARD_50_s6")</f>
        <v>CARD_50_s6</v>
      </c>
      <c r="M144" s="354"/>
      <c r="N144" s="296"/>
      <c r="O144" s="353"/>
      <c r="Q144" s="354"/>
      <c r="R144" s="355"/>
      <c r="T144" s="367"/>
      <c r="U144" s="296"/>
      <c r="V144" s="353" t="str">
        <f>IFERROR(__xludf.DUMMYFUNCTION("if(U144="""", """", U144/sum(filter($U$3:$U$1000, $U$3:$U$1000&lt;&gt;"""")))"),"")</f>
        <v/>
      </c>
    </row>
    <row r="145" ht="12.75" customHeight="1">
      <c r="A145" s="315" t="str">
        <f t="shared" si="14"/>
        <v>Cannon Fort - Tower</v>
      </c>
      <c r="B145" s="359" t="str">
        <f t="shared" si="15"/>
        <v>4★</v>
      </c>
      <c r="C145" s="359" t="str">
        <f>IFERROR(__xludf.DUMMYFUNCTION("""COMPUTED_VALUE"""),"CARD_51_s6")</f>
        <v>CARD_51_s6</v>
      </c>
      <c r="M145" s="354"/>
      <c r="N145" s="296"/>
      <c r="O145" s="353"/>
      <c r="Q145" s="354"/>
      <c r="R145" s="355"/>
      <c r="T145" s="367"/>
      <c r="U145" s="296"/>
      <c r="V145" s="353" t="str">
        <f>IFERROR(__xludf.DUMMYFUNCTION("if(U145="""", """", U145/sum(filter($U$3:$U$1000, $U$3:$U$1000&lt;&gt;"""")))"),"")</f>
        <v/>
      </c>
    </row>
    <row r="146" ht="12.75" customHeight="1">
      <c r="A146" s="315" t="str">
        <f t="shared" si="14"/>
        <v>Cannon Fort - Bridge</v>
      </c>
      <c r="B146" s="359" t="str">
        <f t="shared" si="15"/>
        <v>5★</v>
      </c>
      <c r="C146" s="359" t="str">
        <f>IFERROR(__xludf.DUMMYFUNCTION("""COMPUTED_VALUE"""),"CARD_52_s6")</f>
        <v>CARD_52_s6</v>
      </c>
      <c r="M146" s="354"/>
      <c r="N146" s="296"/>
      <c r="O146" s="353"/>
      <c r="Q146" s="354"/>
      <c r="R146" s="355"/>
      <c r="T146" s="367"/>
      <c r="U146" s="296"/>
      <c r="V146" s="353" t="str">
        <f>IFERROR(__xludf.DUMMYFUNCTION("if(U146="""", """", U146/sum(filter($U$3:$U$1000, $U$3:$U$1000&lt;&gt;"""")))"),"")</f>
        <v/>
      </c>
    </row>
    <row r="147" ht="12.75" customHeight="1">
      <c r="A147" s="315" t="str">
        <f t="shared" si="14"/>
        <v>Cannon Fort - Catapult</v>
      </c>
      <c r="B147" s="359" t="str">
        <f t="shared" si="15"/>
        <v>5★</v>
      </c>
      <c r="C147" s="359" t="str">
        <f>IFERROR(__xludf.DUMMYFUNCTION("""COMPUTED_VALUE"""),"CARD_53_s6")</f>
        <v>CARD_53_s6</v>
      </c>
      <c r="M147" s="354"/>
      <c r="N147" s="296"/>
      <c r="O147" s="353"/>
      <c r="Q147" s="354"/>
      <c r="R147" s="355"/>
      <c r="T147" s="367"/>
      <c r="U147" s="296"/>
      <c r="V147" s="353" t="str">
        <f>IFERROR(__xludf.DUMMYFUNCTION("if(U147="""", """", U147/sum(filter($U$3:$U$1000, $U$3:$U$1000&lt;&gt;"""")))"),"")</f>
        <v/>
      </c>
    </row>
    <row r="148" ht="12.75" customHeight="1">
      <c r="A148" s="315" t="str">
        <f t="shared" si="14"/>
        <v>Cannon Fort - Horn</v>
      </c>
      <c r="B148" s="359" t="str">
        <f t="shared" si="15"/>
        <v>5★</v>
      </c>
      <c r="C148" s="359" t="str">
        <f>IFERROR(__xludf.DUMMYFUNCTION("""COMPUTED_VALUE"""),"CARD_54_s6")</f>
        <v>CARD_54_s6</v>
      </c>
      <c r="M148" s="354"/>
      <c r="N148" s="296"/>
      <c r="O148" s="353"/>
      <c r="Q148" s="354"/>
      <c r="R148" s="355"/>
      <c r="T148" s="367"/>
      <c r="U148" s="296"/>
      <c r="V148" s="355"/>
    </row>
    <row r="149" ht="12.75" customHeight="1">
      <c r="M149" s="354"/>
      <c r="N149" s="296"/>
      <c r="O149" s="353"/>
      <c r="Q149" s="354"/>
      <c r="R149" s="355"/>
      <c r="T149" s="367"/>
      <c r="U149" s="296"/>
      <c r="V149" s="355"/>
    </row>
    <row r="150" ht="12.75" customHeight="1">
      <c r="A150" s="309" t="s">
        <v>716</v>
      </c>
      <c r="M150" s="354"/>
      <c r="N150" s="296"/>
      <c r="O150" s="353"/>
      <c r="Q150" s="354"/>
      <c r="R150" s="355"/>
      <c r="T150" s="367"/>
      <c r="U150" s="296"/>
      <c r="V150" s="355"/>
    </row>
    <row r="151" ht="12.75" customHeight="1">
      <c r="A151" s="312" t="s">
        <v>495</v>
      </c>
      <c r="B151" s="313" t="s">
        <v>473</v>
      </c>
      <c r="C151" s="313" t="s">
        <v>494</v>
      </c>
      <c r="M151" s="354"/>
      <c r="N151" s="296"/>
      <c r="O151" s="353"/>
      <c r="Q151" s="354"/>
      <c r="R151" s="355"/>
      <c r="T151" s="367" t="str">
        <f>IFERROR(__xludf.DUMMYFUNCTION("""COMPUTED_VALUE"""),"Unl. Bomb")</f>
        <v>Unl. Bomb</v>
      </c>
      <c r="U151" s="296" t="str">
        <f>IFERROR(__xludf.DUMMYFUNCTION("""COMPUTED_VALUE"""),"Avatar")</f>
        <v>Avatar</v>
      </c>
      <c r="V151" s="355"/>
    </row>
    <row r="152" ht="12.75" customHeight="1">
      <c r="A152" s="315" t="str">
        <f t="shared" ref="A152:A160" si="16">index($B$3:$B$74, match(C152, $A$3:$A$74, 0),0)</f>
        <v>Siren Reef - Harp</v>
      </c>
      <c r="B152" s="359" t="str">
        <f t="shared" ref="B152:B160" si="17">index($E$3:$E$74, match(C152, $A$3:$A$74, 0),0)</f>
        <v>1★</v>
      </c>
      <c r="C152" s="359" t="str">
        <f>IFERROR(__xludf.DUMMYFUNCTION("filter($A$3:$A$74, $D$3:$D$74=LEFT(A$150, len(A$150)-8))"),"CARD_55_s7")</f>
        <v>CARD_55_s7</v>
      </c>
      <c r="M152" s="354"/>
      <c r="N152" s="296"/>
      <c r="O152" s="353"/>
      <c r="Q152" s="354"/>
      <c r="R152" s="355"/>
      <c r="T152" s="367">
        <f>IFERROR(__xludf.DUMMYFUNCTION("""COMPUTED_VALUE"""),0.0)</f>
        <v>0</v>
      </c>
      <c r="U152" s="296">
        <f>IFERROR(__xludf.DUMMYFUNCTION("""COMPUTED_VALUE"""),0.0)</f>
        <v>0</v>
      </c>
      <c r="V152" s="355"/>
    </row>
    <row r="153" ht="12.75" customHeight="1">
      <c r="A153" s="315" t="str">
        <f t="shared" si="16"/>
        <v>Siren Reef - Mirror</v>
      </c>
      <c r="B153" s="359" t="str">
        <f t="shared" si="17"/>
        <v>1★</v>
      </c>
      <c r="C153" s="359" t="str">
        <f>IFERROR(__xludf.DUMMYFUNCTION("""COMPUTED_VALUE"""),"CARD_56_s7")</f>
        <v>CARD_56_s7</v>
      </c>
      <c r="M153" s="354"/>
      <c r="N153" s="296"/>
      <c r="O153" s="353"/>
      <c r="Q153" s="354"/>
      <c r="R153" s="355"/>
      <c r="T153" s="367">
        <f>IFERROR(__xludf.DUMMYFUNCTION("""COMPUTED_VALUE"""),0.0)</f>
        <v>0</v>
      </c>
      <c r="U153" s="296">
        <f>IFERROR(__xludf.DUMMYFUNCTION("""COMPUTED_VALUE"""),0.0)</f>
        <v>0</v>
      </c>
      <c r="V153" s="355"/>
    </row>
    <row r="154" ht="12.75" customHeight="1">
      <c r="A154" s="315" t="str">
        <f t="shared" si="16"/>
        <v>Siren Reef - Comb</v>
      </c>
      <c r="B154" s="359" t="str">
        <f t="shared" si="17"/>
        <v>2★</v>
      </c>
      <c r="C154" s="359" t="str">
        <f>IFERROR(__xludf.DUMMYFUNCTION("""COMPUTED_VALUE"""),"CARD_57_s7")</f>
        <v>CARD_57_s7</v>
      </c>
      <c r="M154" s="354"/>
      <c r="N154" s="296"/>
      <c r="O154" s="353"/>
      <c r="Q154" s="354"/>
      <c r="R154" s="355"/>
      <c r="T154" s="367">
        <f>IFERROR(__xludf.DUMMYFUNCTION("""COMPUTED_VALUE"""),0.0)</f>
        <v>0</v>
      </c>
      <c r="U154" s="296">
        <f>IFERROR(__xludf.DUMMYFUNCTION("""COMPUTED_VALUE"""),0.0)</f>
        <v>0</v>
      </c>
      <c r="V154" s="355"/>
    </row>
    <row r="155" ht="12.75" customHeight="1">
      <c r="A155" s="315" t="str">
        <f t="shared" si="16"/>
        <v>Siren Reef - Witch</v>
      </c>
      <c r="B155" s="359" t="str">
        <f t="shared" si="17"/>
        <v>2★</v>
      </c>
      <c r="C155" s="359" t="str">
        <f>IFERROR(__xludf.DUMMYFUNCTION("""COMPUTED_VALUE"""),"CARD_58_s7")</f>
        <v>CARD_58_s7</v>
      </c>
      <c r="M155" s="354"/>
      <c r="N155" s="296"/>
      <c r="O155" s="353"/>
      <c r="Q155" s="354"/>
      <c r="R155" s="355"/>
      <c r="T155" s="367">
        <f>IFERROR(__xludf.DUMMYFUNCTION("""COMPUTED_VALUE"""),0.0)</f>
        <v>0</v>
      </c>
      <c r="U155" s="296">
        <f>IFERROR(__xludf.DUMMYFUNCTION("""COMPUTED_VALUE"""),0.0)</f>
        <v>0</v>
      </c>
      <c r="V155" s="355"/>
    </row>
    <row r="156" ht="12.75" customHeight="1">
      <c r="A156" s="315" t="str">
        <f t="shared" si="16"/>
        <v>Siren Reef - Starfish</v>
      </c>
      <c r="B156" s="359" t="str">
        <f t="shared" si="17"/>
        <v>3★</v>
      </c>
      <c r="C156" s="359" t="str">
        <f>IFERROR(__xludf.DUMMYFUNCTION("""COMPUTED_VALUE"""),"CARD_59_s7")</f>
        <v>CARD_59_s7</v>
      </c>
      <c r="M156" s="354"/>
      <c r="N156" s="296"/>
      <c r="O156" s="353"/>
      <c r="Q156" s="354"/>
      <c r="R156" s="355"/>
      <c r="T156" s="367">
        <f>IFERROR(__xludf.DUMMYFUNCTION("""COMPUTED_VALUE"""),0.0)</f>
        <v>0</v>
      </c>
      <c r="U156" s="296">
        <f>IFERROR(__xludf.DUMMYFUNCTION("""COMPUTED_VALUE"""),0.0)</f>
        <v>0</v>
      </c>
      <c r="V156" s="355"/>
    </row>
    <row r="157" ht="12.75" customHeight="1">
      <c r="A157" s="315" t="str">
        <f t="shared" si="16"/>
        <v>Siren Reef - Moonstone</v>
      </c>
      <c r="B157" s="359" t="str">
        <f t="shared" si="17"/>
        <v>4★</v>
      </c>
      <c r="C157" s="359" t="str">
        <f>IFERROR(__xludf.DUMMYFUNCTION("""COMPUTED_VALUE"""),"CARD_60_s7")</f>
        <v>CARD_60_s7</v>
      </c>
      <c r="M157" s="354"/>
      <c r="N157" s="296"/>
      <c r="O157" s="353"/>
      <c r="Q157" s="354"/>
      <c r="R157" s="355"/>
      <c r="T157" s="367">
        <f>IFERROR(__xludf.DUMMYFUNCTION("""COMPUTED_VALUE"""),0.0)</f>
        <v>0</v>
      </c>
      <c r="U157" s="296">
        <f>IFERROR(__xludf.DUMMYFUNCTION("""COMPUTED_VALUE"""),0.0)</f>
        <v>0</v>
      </c>
      <c r="V157" s="355"/>
    </row>
    <row r="158" ht="12.75" customHeight="1">
      <c r="A158" s="315" t="str">
        <f t="shared" si="16"/>
        <v>Siren Reef - Wave</v>
      </c>
      <c r="B158" s="359" t="str">
        <f t="shared" si="17"/>
        <v>5★</v>
      </c>
      <c r="C158" s="359" t="str">
        <f>IFERROR(__xludf.DUMMYFUNCTION("""COMPUTED_VALUE"""),"CARD_61_s7")</f>
        <v>CARD_61_s7</v>
      </c>
      <c r="M158" s="354"/>
      <c r="N158" s="296"/>
      <c r="O158" s="353"/>
      <c r="Q158" s="354"/>
      <c r="R158" s="355"/>
      <c r="T158" s="367">
        <f>IFERROR(__xludf.DUMMYFUNCTION("""COMPUTED_VALUE"""),0.0)</f>
        <v>0</v>
      </c>
      <c r="U158" s="296">
        <f>IFERROR(__xludf.DUMMYFUNCTION("""COMPUTED_VALUE"""),0.0)</f>
        <v>0</v>
      </c>
      <c r="V158" s="355"/>
    </row>
    <row r="159" ht="12.75" customHeight="1">
      <c r="A159" s="315" t="str">
        <f t="shared" si="16"/>
        <v>Siren Reef - Driftwood</v>
      </c>
      <c r="B159" s="359" t="str">
        <f t="shared" si="17"/>
        <v>5★</v>
      </c>
      <c r="C159" s="359" t="str">
        <f>IFERROR(__xludf.DUMMYFUNCTION("""COMPUTED_VALUE"""),"CARD_62_s7")</f>
        <v>CARD_62_s7</v>
      </c>
      <c r="M159" s="354"/>
      <c r="N159" s="296"/>
      <c r="O159" s="353"/>
      <c r="Q159" s="354"/>
      <c r="R159" s="355"/>
      <c r="T159" s="367">
        <f>IFERROR(__xludf.DUMMYFUNCTION("""COMPUTED_VALUE"""),0.0)</f>
        <v>0</v>
      </c>
      <c r="U159" s="296">
        <f>IFERROR(__xludf.DUMMYFUNCTION("""COMPUTED_VALUE"""),0.0)</f>
        <v>0</v>
      </c>
      <c r="V159" s="355"/>
    </row>
    <row r="160" ht="12.75" customHeight="1">
      <c r="A160" s="315" t="str">
        <f t="shared" si="16"/>
        <v>Siren Reef - Conch</v>
      </c>
      <c r="B160" s="359" t="str">
        <f t="shared" si="17"/>
        <v>5★</v>
      </c>
      <c r="C160" s="359" t="str">
        <f>IFERROR(__xludf.DUMMYFUNCTION("""COMPUTED_VALUE"""),"CARD_63_s7")</f>
        <v>CARD_63_s7</v>
      </c>
      <c r="M160" s="354"/>
      <c r="N160" s="296"/>
      <c r="O160" s="353"/>
      <c r="Q160" s="354"/>
      <c r="R160" s="355"/>
      <c r="T160" s="367"/>
      <c r="U160" s="296"/>
      <c r="V160" s="355"/>
    </row>
    <row r="161" ht="12.75" customHeight="1">
      <c r="M161" s="354"/>
      <c r="N161" s="296"/>
      <c r="O161" s="353"/>
      <c r="Q161" s="354"/>
      <c r="R161" s="355"/>
      <c r="T161" s="367"/>
      <c r="U161" s="296"/>
      <c r="V161" s="355"/>
    </row>
    <row r="162" ht="12.75" customHeight="1">
      <c r="A162" s="309" t="s">
        <v>717</v>
      </c>
      <c r="M162" s="354"/>
      <c r="N162" s="296"/>
      <c r="O162" s="353"/>
      <c r="Q162" s="354"/>
      <c r="R162" s="355"/>
      <c r="T162" s="367" t="str">
        <f>IFERROR(__xludf.DUMMYFUNCTION("""COMPUTED_VALUE"""),"Unl. Bomb")</f>
        <v>Unl. Bomb</v>
      </c>
      <c r="U162" s="296" t="str">
        <f>IFERROR(__xludf.DUMMYFUNCTION("""COMPUTED_VALUE"""),"Avatar")</f>
        <v>Avatar</v>
      </c>
      <c r="V162" s="355"/>
    </row>
    <row r="163" ht="12.75" customHeight="1">
      <c r="A163" s="312" t="s">
        <v>495</v>
      </c>
      <c r="B163" s="313" t="s">
        <v>473</v>
      </c>
      <c r="C163" s="313" t="s">
        <v>494</v>
      </c>
      <c r="M163" s="354"/>
      <c r="N163" s="296"/>
      <c r="O163" s="353"/>
      <c r="Q163" s="354"/>
      <c r="R163" s="355"/>
      <c r="T163" s="367">
        <f>IFERROR(__xludf.DUMMYFUNCTION("""COMPUTED_VALUE"""),0.0)</f>
        <v>0</v>
      </c>
      <c r="U163" s="296">
        <f>IFERROR(__xludf.DUMMYFUNCTION("""COMPUTED_VALUE"""),0.0)</f>
        <v>0</v>
      </c>
      <c r="V163" s="355"/>
    </row>
    <row r="164" ht="12.75" customHeight="1">
      <c r="A164" s="315" t="str">
        <f t="shared" ref="A164:A172" si="18">index($B$3:$B$74, match(C164, $A$3:$A$74, 0),0)</f>
        <v>Dead Man Bay - Pistol</v>
      </c>
      <c r="B164" s="359" t="str">
        <f t="shared" ref="B164:B172" si="19">index($E$3:$E$74, match(C164, $A$3:$A$74, 0),0)</f>
        <v>1★</v>
      </c>
      <c r="C164" s="359" t="str">
        <f>IFERROR(__xludf.DUMMYFUNCTION("filter($A$3:$A$74, $D$3:$D$74=LEFT(A$162, len(A$162)-8))"),"CARD_64_s8")</f>
        <v>CARD_64_s8</v>
      </c>
      <c r="M164" s="354"/>
      <c r="N164" s="296"/>
      <c r="O164" s="353"/>
      <c r="Q164" s="354"/>
      <c r="R164" s="355"/>
      <c r="T164" s="367">
        <f>IFERROR(__xludf.DUMMYFUNCTION("""COMPUTED_VALUE"""),0.0)</f>
        <v>0</v>
      </c>
      <c r="U164" s="296">
        <f>IFERROR(__xludf.DUMMYFUNCTION("""COMPUTED_VALUE"""),0.0)</f>
        <v>0</v>
      </c>
      <c r="V164" s="355"/>
    </row>
    <row r="165" ht="12.75" customHeight="1">
      <c r="A165" s="315" t="str">
        <f t="shared" si="18"/>
        <v>Dead Man Bay - Rum</v>
      </c>
      <c r="B165" s="359" t="str">
        <f t="shared" si="19"/>
        <v>1★</v>
      </c>
      <c r="C165" s="359" t="str">
        <f>IFERROR(__xludf.DUMMYFUNCTION("""COMPUTED_VALUE"""),"CARD_65_s8")</f>
        <v>CARD_65_s8</v>
      </c>
      <c r="M165" s="354"/>
      <c r="N165" s="296"/>
      <c r="O165" s="353"/>
      <c r="Q165" s="354"/>
      <c r="R165" s="355"/>
      <c r="T165" s="367">
        <f>IFERROR(__xludf.DUMMYFUNCTION("""COMPUTED_VALUE"""),0.0)</f>
        <v>0</v>
      </c>
      <c r="U165" s="296">
        <f>IFERROR(__xludf.DUMMYFUNCTION("""COMPUTED_VALUE"""),0.0)</f>
        <v>0</v>
      </c>
      <c r="V165" s="355"/>
    </row>
    <row r="166" ht="12.75" customHeight="1">
      <c r="A166" s="315" t="str">
        <f t="shared" si="18"/>
        <v>Dead Man Bay - Treasure Map</v>
      </c>
      <c r="B166" s="359" t="str">
        <f t="shared" si="19"/>
        <v>2★</v>
      </c>
      <c r="C166" s="359" t="str">
        <f>IFERROR(__xludf.DUMMYFUNCTION("""COMPUTED_VALUE"""),"CARD_66_s8")</f>
        <v>CARD_66_s8</v>
      </c>
      <c r="M166" s="354"/>
      <c r="N166" s="296"/>
      <c r="O166" s="353"/>
      <c r="Q166" s="354"/>
      <c r="R166" s="355"/>
      <c r="T166" s="367">
        <f>IFERROR(__xludf.DUMMYFUNCTION("""COMPUTED_VALUE"""),0.0)</f>
        <v>0</v>
      </c>
      <c r="U166" s="296">
        <f>IFERROR(__xludf.DUMMYFUNCTION("""COMPUTED_VALUE"""),0.0)</f>
        <v>0</v>
      </c>
      <c r="V166" s="355"/>
    </row>
    <row r="167" ht="12.75" customHeight="1">
      <c r="A167" s="315" t="str">
        <f t="shared" si="18"/>
        <v>Dead Man Bay - Jolly Roger</v>
      </c>
      <c r="B167" s="359" t="str">
        <f t="shared" si="19"/>
        <v>2★</v>
      </c>
      <c r="C167" s="359" t="str">
        <f>IFERROR(__xludf.DUMMYFUNCTION("""COMPUTED_VALUE"""),"CARD_67_s8")</f>
        <v>CARD_67_s8</v>
      </c>
      <c r="M167" s="354"/>
      <c r="N167" s="296"/>
      <c r="O167" s="353"/>
      <c r="Q167" s="354"/>
      <c r="R167" s="355"/>
      <c r="T167" s="367">
        <f>IFERROR(__xludf.DUMMYFUNCTION("""COMPUTED_VALUE"""),0.0)</f>
        <v>0</v>
      </c>
      <c r="U167" s="296">
        <f>IFERROR(__xludf.DUMMYFUNCTION("""COMPUTED_VALUE"""),0.0)</f>
        <v>0</v>
      </c>
      <c r="V167" s="355"/>
    </row>
    <row r="168" ht="12.75" customHeight="1">
      <c r="A168" s="315" t="str">
        <f t="shared" si="18"/>
        <v>Dead Man Bay - Gold Tooth</v>
      </c>
      <c r="B168" s="359" t="str">
        <f t="shared" si="19"/>
        <v>3★</v>
      </c>
      <c r="C168" s="359" t="str">
        <f>IFERROR(__xludf.DUMMYFUNCTION("""COMPUTED_VALUE"""),"CARD_68_s8")</f>
        <v>CARD_68_s8</v>
      </c>
      <c r="M168" s="354"/>
      <c r="N168" s="296"/>
      <c r="O168" s="353"/>
      <c r="Q168" s="354"/>
      <c r="R168" s="355"/>
      <c r="T168" s="367">
        <f>IFERROR(__xludf.DUMMYFUNCTION("""COMPUTED_VALUE"""),0.0)</f>
        <v>0</v>
      </c>
      <c r="U168" s="296">
        <f>IFERROR(__xludf.DUMMYFUNCTION("""COMPUTED_VALUE"""),0.0)</f>
        <v>0</v>
      </c>
      <c r="V168" s="355"/>
    </row>
    <row r="169" ht="12.75" customHeight="1">
      <c r="A169" s="315" t="str">
        <f t="shared" si="18"/>
        <v>Dead Man Bay - Dagger</v>
      </c>
      <c r="B169" s="359" t="str">
        <f t="shared" si="19"/>
        <v>4★</v>
      </c>
      <c r="C169" s="359" t="str">
        <f>IFERROR(__xludf.DUMMYFUNCTION("""COMPUTED_VALUE"""),"CARD_69_s8")</f>
        <v>CARD_69_s8</v>
      </c>
      <c r="M169" s="354"/>
      <c r="N169" s="296"/>
      <c r="O169" s="353"/>
      <c r="Q169" s="354"/>
      <c r="R169" s="355"/>
      <c r="T169" s="367">
        <f>IFERROR(__xludf.DUMMYFUNCTION("""COMPUTED_VALUE"""),0.0)</f>
        <v>0</v>
      </c>
      <c r="U169" s="296">
        <f>IFERROR(__xludf.DUMMYFUNCTION("""COMPUTED_VALUE"""),0.0)</f>
        <v>0</v>
      </c>
      <c r="V169" s="355"/>
    </row>
    <row r="170" ht="12.75" customHeight="1">
      <c r="A170" s="315" t="str">
        <f t="shared" si="18"/>
        <v>Dead Man Bay - Bandana</v>
      </c>
      <c r="B170" s="359" t="str">
        <f t="shared" si="19"/>
        <v>5★</v>
      </c>
      <c r="C170" s="359" t="str">
        <f>IFERROR(__xludf.DUMMYFUNCTION("""COMPUTED_VALUE"""),"CARD_70_s8")</f>
        <v>CARD_70_s8</v>
      </c>
      <c r="M170" s="354"/>
      <c r="N170" s="296"/>
      <c r="O170" s="353"/>
      <c r="Q170" s="354"/>
      <c r="R170" s="355"/>
      <c r="T170" s="367">
        <f>IFERROR(__xludf.DUMMYFUNCTION("""COMPUTED_VALUE"""),0.0)</f>
        <v>0</v>
      </c>
      <c r="U170" s="296">
        <f>IFERROR(__xludf.DUMMYFUNCTION("""COMPUTED_VALUE"""),0.0)</f>
        <v>0</v>
      </c>
      <c r="V170" s="355"/>
    </row>
    <row r="171" ht="12.75" customHeight="1">
      <c r="A171" s="315" t="str">
        <f t="shared" si="18"/>
        <v>Dead Man Bay - Boots</v>
      </c>
      <c r="B171" s="359" t="str">
        <f t="shared" si="19"/>
        <v>5★</v>
      </c>
      <c r="C171" s="359" t="str">
        <f>IFERROR(__xludf.DUMMYFUNCTION("""COMPUTED_VALUE"""),"CARD_71_s8")</f>
        <v>CARD_71_s8</v>
      </c>
      <c r="M171" s="354"/>
      <c r="N171" s="296"/>
      <c r="O171" s="353"/>
      <c r="Q171" s="354"/>
      <c r="R171" s="355"/>
      <c r="T171" s="367"/>
      <c r="U171" s="296"/>
      <c r="V171" s="355"/>
    </row>
    <row r="172" ht="12.75" customHeight="1">
      <c r="A172" s="315" t="str">
        <f t="shared" si="18"/>
        <v>Dead Man Bay - Beard</v>
      </c>
      <c r="B172" s="359" t="str">
        <f t="shared" si="19"/>
        <v>5★</v>
      </c>
      <c r="C172" s="359" t="str">
        <f>IFERROR(__xludf.DUMMYFUNCTION("""COMPUTED_VALUE"""),"CARD_72_s8")</f>
        <v>CARD_72_s8</v>
      </c>
      <c r="F172" s="5" t="s">
        <v>718</v>
      </c>
      <c r="M172" s="354"/>
      <c r="N172" s="296"/>
      <c r="O172" s="353"/>
      <c r="Q172" s="354"/>
      <c r="R172" s="355"/>
      <c r="T172" s="367"/>
      <c r="U172" s="296"/>
      <c r="V172" s="355"/>
    </row>
    <row r="173" ht="12.75" customHeight="1">
      <c r="M173" s="354"/>
      <c r="N173" s="296"/>
      <c r="O173" s="353"/>
      <c r="Q173" s="354"/>
      <c r="R173" s="355"/>
      <c r="T173" s="367" t="str">
        <f>IFERROR(__xludf.DUMMYFUNCTION("""COMPUTED_VALUE"""),"Unl. Bomb")</f>
        <v>Unl. Bomb</v>
      </c>
      <c r="U173" s="296" t="str">
        <f>IFERROR(__xludf.DUMMYFUNCTION("""COMPUTED_VALUE"""),"Avatar")</f>
        <v>Avatar</v>
      </c>
      <c r="V173" s="355"/>
    </row>
    <row r="174" ht="12.75" customHeight="1">
      <c r="A174" s="309" t="s">
        <v>719</v>
      </c>
      <c r="B174" s="371"/>
      <c r="M174" s="354"/>
      <c r="N174" s="296"/>
      <c r="O174" s="353"/>
      <c r="Q174" s="354"/>
      <c r="R174" s="355"/>
      <c r="T174" s="367">
        <f>IFERROR(__xludf.DUMMYFUNCTION("""COMPUTED_VALUE"""),0.0)</f>
        <v>0</v>
      </c>
      <c r="U174" s="296">
        <f>IFERROR(__xludf.DUMMYFUNCTION("""COMPUTED_VALUE"""),0.0)</f>
        <v>0</v>
      </c>
      <c r="V174" s="355"/>
    </row>
    <row r="175" ht="12.75" customHeight="1">
      <c r="A175" s="312" t="s">
        <v>720</v>
      </c>
      <c r="B175" s="313" t="s">
        <v>443</v>
      </c>
      <c r="C175" s="313" t="s">
        <v>444</v>
      </c>
      <c r="D175" s="313" t="s">
        <v>445</v>
      </c>
      <c r="E175" s="313" t="s">
        <v>446</v>
      </c>
      <c r="F175" s="313" t="s">
        <v>447</v>
      </c>
      <c r="G175" s="314" t="s">
        <v>721</v>
      </c>
      <c r="H175" s="313" t="s">
        <v>448</v>
      </c>
      <c r="J175" s="190" t="str">
        <f>IFERROR(__xludf.DUMMYFUNCTION("iferror(filter($E$3:$E$74, $D$3:$D$74=$A176, $E$3:$E$74=F$175), """")"),"")</f>
        <v/>
      </c>
      <c r="M175" s="354"/>
      <c r="N175" s="296"/>
      <c r="O175" s="353"/>
      <c r="Q175" s="354"/>
      <c r="R175" s="355"/>
      <c r="T175" s="367">
        <f>IFERROR(__xludf.DUMMYFUNCTION("""COMPUTED_VALUE"""),0.0)</f>
        <v>0</v>
      </c>
      <c r="U175" s="296">
        <f>IFERROR(__xludf.DUMMYFUNCTION("""COMPUTED_VALUE"""),0.0)</f>
        <v>0</v>
      </c>
      <c r="V175" s="355"/>
    </row>
    <row r="176" ht="12.75" customHeight="1">
      <c r="A176" s="315" t="s">
        <v>503</v>
      </c>
      <c r="B176" s="359">
        <f>IFERROR(__xludf.DUMMYFUNCTION("if(iferror(filter($E$3:$E$74, $D$3:$D$74=$A176, $E$3:$E$74=B$175), 0)=0, 0, counta(iferror(filter($E$3:$E$74, $D$3:$D$74=$A176, $E$3:$E$74=B$175), 0)))"),4.0)</f>
        <v>4</v>
      </c>
      <c r="C176" s="359">
        <f>IFERROR(__xludf.DUMMYFUNCTION("if(iferror(filter($E$3:$E$74, $D$3:$D$74=$A176, $E$3:$E$74=C$175), 0)=0, 0, counta(iferror(filter($E$3:$E$74, $D$3:$D$74=$A176, $E$3:$E$74=C$175), 0)))"),3.0)</f>
        <v>3</v>
      </c>
      <c r="D176" s="359">
        <f>IFERROR(__xludf.DUMMYFUNCTION("if(iferror(filter($E$3:$E$74, $D$3:$D$74=$A176, $E$3:$E$74=D$175), 0)=0, 0, counta(iferror(filter($E$3:$E$74, $D$3:$D$74=$A176, $E$3:$E$74=D$175), 0)))"),2.0)</f>
        <v>2</v>
      </c>
      <c r="E176" s="359">
        <f>IFERROR(__xludf.DUMMYFUNCTION("if(iferror(filter($E$3:$E$74, $D$3:$D$74=$A176, $E$3:$E$74=E$175), 0)=0, 0, counta(iferror(filter($E$3:$E$74, $D$3:$D$74=$A176, $E$3:$E$74=E$175), 0)))"),0.0)</f>
        <v>0</v>
      </c>
      <c r="F176" s="359">
        <f>IFERROR(__xludf.DUMMYFUNCTION("if(iferror(filter($E$3:$E$74, $D$3:$D$74=$A176, $E$3:$E$74=F$175), 0)=0, 0, counta(iferror(filter($E$3:$E$74, $D$3:$D$74=$A176, $E$3:$E$74=F$175), 0)))"),0.0)</f>
        <v>0</v>
      </c>
      <c r="G176" s="359">
        <f>IFERROR(__xludf.DUMMYFUNCTION("if(iferror(filter($E$3:$E$74, $D$3:$D$74=$A176, $E$3:$E$74=G$175), 0)=0, 0, counta(iferror(filter($E$3:$E$74, $D$3:$D$74=$A176, $E$3:$E$74=G$175), 0)))"),0.0)</f>
        <v>0</v>
      </c>
      <c r="H176" s="359">
        <f>IFERROR(__xludf.DUMMYFUNCTION("if(iferror(filter($E$3:$E$74, $D$3:$D$74=$A176, $E$3:$E$74=H$175), 0)=0, 0, counta(iferror(filter($E$3:$E$74, $D$3:$D$74=$A176, $E$3:$E$74=H$175), 0)))"),0.0)</f>
        <v>0</v>
      </c>
      <c r="M176" s="354"/>
      <c r="N176" s="296"/>
      <c r="O176" s="353"/>
      <c r="Q176" s="354"/>
      <c r="R176" s="355"/>
      <c r="T176" s="367">
        <f>IFERROR(__xludf.DUMMYFUNCTION("""COMPUTED_VALUE"""),0.0)</f>
        <v>0</v>
      </c>
      <c r="U176" s="296">
        <f>IFERROR(__xludf.DUMMYFUNCTION("""COMPUTED_VALUE"""),0.0)</f>
        <v>0</v>
      </c>
      <c r="V176" s="355"/>
    </row>
    <row r="177" ht="12.75" customHeight="1">
      <c r="A177" s="315" t="s">
        <v>533</v>
      </c>
      <c r="B177" s="359">
        <f>IFERROR(__xludf.DUMMYFUNCTION("if(iferror(filter($E$3:$E$74, $D$3:$D$74=$A177, $E$3:$E$74=B$175), 0)=0, 0, counta(iferror(filter($E$3:$E$74, $D$3:$D$74=$A177, $E$3:$E$74=B$175), 0)))"),4.0)</f>
        <v>4</v>
      </c>
      <c r="C177" s="359">
        <f>IFERROR(__xludf.DUMMYFUNCTION("if(iferror(filter($E$3:$E$74, $D$3:$D$74=$A177, $E$3:$E$74=C$175), 0)=0, 0, counta(iferror(filter($E$3:$E$74, $D$3:$D$74=$A177, $E$3:$E$74=C$175), 0)))"),2.0)</f>
        <v>2</v>
      </c>
      <c r="D177" s="359">
        <f>IFERROR(__xludf.DUMMYFUNCTION("if(iferror(filter($E$3:$E$74, $D$3:$D$74=$A177, $E$3:$E$74=D$175), 0)=0, 0, counta(iferror(filter($E$3:$E$74, $D$3:$D$74=$A177, $E$3:$E$74=D$175), 0)))"),2.0)</f>
        <v>2</v>
      </c>
      <c r="E177" s="359">
        <f>IFERROR(__xludf.DUMMYFUNCTION("if(iferror(filter($E$3:$E$74, $D$3:$D$74=$A177, $E$3:$E$74=E$175), 0)=0, 0, counta(iferror(filter($E$3:$E$74, $D$3:$D$74=$A177, $E$3:$E$74=E$175), 0)))"),1.0)</f>
        <v>1</v>
      </c>
      <c r="F177" s="359">
        <f>IFERROR(__xludf.DUMMYFUNCTION("if(iferror(filter($E$3:$E$74, $D$3:$D$74=$A177, $E$3:$E$74=F$175), 0)=0, 0, counta(iferror(filter($E$3:$E$74, $D$3:$D$74=$A177, $E$3:$E$74=F$175), 0)))"),0.0)</f>
        <v>0</v>
      </c>
      <c r="G177" s="359">
        <f>IFERROR(__xludf.DUMMYFUNCTION("if(iferror(filter($E$3:$E$74, $D$3:$D$74=$A177, $E$3:$E$74=G$175), 0)=0, 0, counta(iferror(filter($E$3:$E$74, $D$3:$D$74=$A177, $E$3:$E$74=G$175), 0)))"),0.0)</f>
        <v>0</v>
      </c>
      <c r="H177" s="359">
        <f>IFERROR(__xludf.DUMMYFUNCTION("if(iferror(filter($E$3:$E$74, $D$3:$D$74=$A177, $E$3:$E$74=H$175), 0)=0, 0, counta(iferror(filter($E$3:$E$74, $D$3:$D$74=$A177, $E$3:$E$74=H$175), 0)))"),0.0)</f>
        <v>0</v>
      </c>
      <c r="M177" s="354"/>
      <c r="N177" s="296"/>
      <c r="O177" s="353"/>
      <c r="Q177" s="354"/>
      <c r="R177" s="355"/>
      <c r="T177" s="367">
        <f>IFERROR(__xludf.DUMMYFUNCTION("""COMPUTED_VALUE"""),0.0)</f>
        <v>0</v>
      </c>
      <c r="U177" s="296">
        <f>IFERROR(__xludf.DUMMYFUNCTION("""COMPUTED_VALUE"""),0.0)</f>
        <v>0</v>
      </c>
      <c r="V177" s="355"/>
    </row>
    <row r="178" ht="12.75" customHeight="1">
      <c r="A178" s="315" t="s">
        <v>562</v>
      </c>
      <c r="B178" s="359">
        <f>IFERROR(__xludf.DUMMYFUNCTION("if(iferror(filter($E$3:$E$74, $D$3:$D$74=$A178, $E$3:$E$74=B$175), 0)=0, 0, counta(iferror(filter($E$3:$E$74, $D$3:$D$74=$A178, $E$3:$E$74=B$175), 0)))"),3.0)</f>
        <v>3</v>
      </c>
      <c r="C178" s="359">
        <f>IFERROR(__xludf.DUMMYFUNCTION("if(iferror(filter($E$3:$E$74, $D$3:$D$74=$A178, $E$3:$E$74=C$175), 0)=0, 0, counta(iferror(filter($E$3:$E$74, $D$3:$D$74=$A178, $E$3:$E$74=C$175), 0)))"),2.0)</f>
        <v>2</v>
      </c>
      <c r="D178" s="359">
        <f>IFERROR(__xludf.DUMMYFUNCTION("if(iferror(filter($E$3:$E$74, $D$3:$D$74=$A178, $E$3:$E$74=D$175), 0)=0, 0, counta(iferror(filter($E$3:$E$74, $D$3:$D$74=$A178, $E$3:$E$74=D$175), 0)))"),1.0)</f>
        <v>1</v>
      </c>
      <c r="E178" s="359">
        <f>IFERROR(__xludf.DUMMYFUNCTION("if(iferror(filter($E$3:$E$74, $D$3:$D$74=$A178, $E$3:$E$74=E$175), 0)=0, 0, counta(iferror(filter($E$3:$E$74, $D$3:$D$74=$A178, $E$3:$E$74=E$175), 0)))"),2.0)</f>
        <v>2</v>
      </c>
      <c r="F178" s="359">
        <f>IFERROR(__xludf.DUMMYFUNCTION("if(iferror(filter($E$3:$E$74, $D$3:$D$74=$A178, $E$3:$E$74=F$175), 0)=0, 0, counta(iferror(filter($E$3:$E$74, $D$3:$D$74=$A178, $E$3:$E$74=F$175), 0)))"),1.0)</f>
        <v>1</v>
      </c>
      <c r="G178" s="359">
        <f>IFERROR(__xludf.DUMMYFUNCTION("if(iferror(filter($E$3:$E$74, $D$3:$D$74=$A178, $E$3:$E$74=G$175), 0)=0, 0, counta(iferror(filter($E$3:$E$74, $D$3:$D$74=$A178, $E$3:$E$74=G$175), 0)))"),0.0)</f>
        <v>0</v>
      </c>
      <c r="H178" s="359">
        <f>IFERROR(__xludf.DUMMYFUNCTION("if(iferror(filter($E$3:$E$74, $D$3:$D$74=$A178, $E$3:$E$74=H$175), 0)=0, 0, counta(iferror(filter($E$3:$E$74, $D$3:$D$74=$A178, $E$3:$E$74=H$175), 0)))"),0.0)</f>
        <v>0</v>
      </c>
      <c r="M178" s="354"/>
      <c r="N178" s="296"/>
      <c r="O178" s="353"/>
      <c r="Q178" s="354"/>
      <c r="R178" s="355"/>
      <c r="T178" s="367">
        <f>IFERROR(__xludf.DUMMYFUNCTION("""COMPUTED_VALUE"""),0.0)</f>
        <v>0</v>
      </c>
      <c r="U178" s="296">
        <f>IFERROR(__xludf.DUMMYFUNCTION("""COMPUTED_VALUE"""),0.0)</f>
        <v>0</v>
      </c>
      <c r="V178" s="355"/>
    </row>
    <row r="179" ht="12.75" customHeight="1">
      <c r="A179" s="315" t="s">
        <v>592</v>
      </c>
      <c r="B179" s="359">
        <f>IFERROR(__xludf.DUMMYFUNCTION("if(iferror(filter($E$3:$E$74, $D$3:$D$74=$A179, $E$3:$E$74=B$175), 0)=0, 0, counta(iferror(filter($E$3:$E$74, $D$3:$D$74=$A179, $E$3:$E$74=B$175), 0)))"),2.0)</f>
        <v>2</v>
      </c>
      <c r="C179" s="359">
        <f>IFERROR(__xludf.DUMMYFUNCTION("if(iferror(filter($E$3:$E$74, $D$3:$D$74=$A179, $E$3:$E$74=C$175), 0)=0, 0, counta(iferror(filter($E$3:$E$74, $D$3:$D$74=$A179, $E$3:$E$74=C$175), 0)))"),2.0)</f>
        <v>2</v>
      </c>
      <c r="D179" s="359">
        <f>IFERROR(__xludf.DUMMYFUNCTION("if(iferror(filter($E$3:$E$74, $D$3:$D$74=$A179, $E$3:$E$74=D$175), 0)=0, 0, counta(iferror(filter($E$3:$E$74, $D$3:$D$74=$A179, $E$3:$E$74=D$175), 0)))"),2.0)</f>
        <v>2</v>
      </c>
      <c r="E179" s="359">
        <f>IFERROR(__xludf.DUMMYFUNCTION("if(iferror(filter($E$3:$E$74, $D$3:$D$74=$A179, $E$3:$E$74=E$175), 0)=0, 0, counta(iferror(filter($E$3:$E$74, $D$3:$D$74=$A179, $E$3:$E$74=E$175), 0)))"),2.0)</f>
        <v>2</v>
      </c>
      <c r="F179" s="359">
        <f>IFERROR(__xludf.DUMMYFUNCTION("if(iferror(filter($E$3:$E$74, $D$3:$D$74=$A179, $E$3:$E$74=F$175), 0)=0, 0, counta(iferror(filter($E$3:$E$74, $D$3:$D$74=$A179, $E$3:$E$74=F$175), 0)))"),1.0)</f>
        <v>1</v>
      </c>
      <c r="G179" s="359">
        <f>IFERROR(__xludf.DUMMYFUNCTION("if(iferror(filter($E$3:$E$74, $D$3:$D$74=$A179, $E$3:$E$74=G$175), 0)=0, 0, counta(iferror(filter($E$3:$E$74, $D$3:$D$74=$A179, $E$3:$E$74=G$175), 0)))"),0.0)</f>
        <v>0</v>
      </c>
      <c r="H179" s="359">
        <f>IFERROR(__xludf.DUMMYFUNCTION("if(iferror(filter($E$3:$E$74, $D$3:$D$74=$A179, $E$3:$E$74=H$175), 0)=0, 0, counta(iferror(filter($E$3:$E$74, $D$3:$D$74=$A179, $E$3:$E$74=H$175), 0)))"),0.0)</f>
        <v>0</v>
      </c>
      <c r="M179" s="354"/>
      <c r="N179" s="296"/>
      <c r="O179" s="353"/>
      <c r="Q179" s="354"/>
      <c r="R179" s="355"/>
      <c r="T179" s="367">
        <f>IFERROR(__xludf.DUMMYFUNCTION("""COMPUTED_VALUE"""),0.0)</f>
        <v>0</v>
      </c>
      <c r="U179" s="296">
        <f>IFERROR(__xludf.DUMMYFUNCTION("""COMPUTED_VALUE"""),0.0)</f>
        <v>0</v>
      </c>
      <c r="V179" s="355"/>
    </row>
    <row r="180" ht="12.75" customHeight="1">
      <c r="A180" s="315" t="s">
        <v>621</v>
      </c>
      <c r="B180" s="359">
        <f>IFERROR(__xludf.DUMMYFUNCTION("if(iferror(filter($E$3:$E$74, $D$3:$D$74=$A180, $E$3:$E$74=B$175), 0)=0, 0, counta(iferror(filter($E$3:$E$74, $D$3:$D$74=$A180, $E$3:$E$74=B$175), 0)))"),2.0)</f>
        <v>2</v>
      </c>
      <c r="C180" s="359">
        <f>IFERROR(__xludf.DUMMYFUNCTION("if(iferror(filter($E$3:$E$74, $D$3:$D$74=$A180, $E$3:$E$74=C$175), 0)=0, 0, counta(iferror(filter($E$3:$E$74, $D$3:$D$74=$A180, $E$3:$E$74=C$175), 0)))"),2.0)</f>
        <v>2</v>
      </c>
      <c r="D180" s="359">
        <f>IFERROR(__xludf.DUMMYFUNCTION("if(iferror(filter($E$3:$E$74, $D$3:$D$74=$A180, $E$3:$E$74=D$175), 0)=0, 0, counta(iferror(filter($E$3:$E$74, $D$3:$D$74=$A180, $E$3:$E$74=D$175), 0)))"),1.0)</f>
        <v>1</v>
      </c>
      <c r="E180" s="359">
        <f>IFERROR(__xludf.DUMMYFUNCTION("if(iferror(filter($E$3:$E$74, $D$3:$D$74=$A180, $E$3:$E$74=E$175), 0)=0, 0, counta(iferror(filter($E$3:$E$74, $D$3:$D$74=$A180, $E$3:$E$74=E$175), 0)))"),2.0)</f>
        <v>2</v>
      </c>
      <c r="F180" s="359">
        <f>IFERROR(__xludf.DUMMYFUNCTION("if(iferror(filter($E$3:$E$74, $D$3:$D$74=$A180, $E$3:$E$74=F$175), 0)=0, 0, counta(iferror(filter($E$3:$E$74, $D$3:$D$74=$A180, $E$3:$E$74=F$175), 0)))"),2.0)</f>
        <v>2</v>
      </c>
      <c r="G180" s="359">
        <f>IFERROR(__xludf.DUMMYFUNCTION("if(iferror(filter($E$3:$E$74, $D$3:$D$74=$A180, $E$3:$E$74=G$175), 0)=0, 0, counta(iferror(filter($E$3:$E$74, $D$3:$D$74=$A180, $E$3:$E$74=G$175), 0)))"),0.0)</f>
        <v>0</v>
      </c>
      <c r="H180" s="359">
        <f>IFERROR(__xludf.DUMMYFUNCTION("if(iferror(filter($E$3:$E$74, $D$3:$D$74=$A180, $E$3:$E$74=H$175), 0)=0, 0, counta(iferror(filter($E$3:$E$74, $D$3:$D$74=$A180, $E$3:$E$74=H$175), 0)))"),0.0)</f>
        <v>0</v>
      </c>
      <c r="M180" s="354"/>
      <c r="N180" s="296"/>
      <c r="O180" s="353"/>
      <c r="Q180" s="354"/>
      <c r="R180" s="355"/>
      <c r="T180" s="367">
        <f>IFERROR(__xludf.DUMMYFUNCTION("""COMPUTED_VALUE"""),0.0)</f>
        <v>0</v>
      </c>
      <c r="U180" s="296">
        <f>IFERROR(__xludf.DUMMYFUNCTION("""COMPUTED_VALUE"""),0.0)</f>
        <v>0</v>
      </c>
      <c r="V180" s="355"/>
    </row>
    <row r="181" ht="12.75" customHeight="1">
      <c r="A181" s="315" t="s">
        <v>649</v>
      </c>
      <c r="B181" s="359">
        <f>IFERROR(__xludf.DUMMYFUNCTION("if(iferror(filter($E$3:$E$74, $D$3:$D$74=$A181, $E$3:$E$74=B$175), 0)=0, 0, counta(iferror(filter($E$3:$E$74, $D$3:$D$74=$A181, $E$3:$E$74=B$175), 0)))"),2.0)</f>
        <v>2</v>
      </c>
      <c r="C181" s="359">
        <f>IFERROR(__xludf.DUMMYFUNCTION("if(iferror(filter($E$3:$E$74, $D$3:$D$74=$A181, $E$3:$E$74=C$175), 0)=0, 0, counta(iferror(filter($E$3:$E$74, $D$3:$D$74=$A181, $E$3:$E$74=C$175), 0)))"),2.0)</f>
        <v>2</v>
      </c>
      <c r="D181" s="359">
        <f>IFERROR(__xludf.DUMMYFUNCTION("if(iferror(filter($E$3:$E$74, $D$3:$D$74=$A181, $E$3:$E$74=D$175), 0)=0, 0, counta(iferror(filter($E$3:$E$74, $D$3:$D$74=$A181, $E$3:$E$74=D$175), 0)))"),1.0)</f>
        <v>1</v>
      </c>
      <c r="E181" s="359">
        <f>IFERROR(__xludf.DUMMYFUNCTION("if(iferror(filter($E$3:$E$74, $D$3:$D$74=$A181, $E$3:$E$74=E$175), 0)=0, 0, counta(iferror(filter($E$3:$E$74, $D$3:$D$74=$A181, $E$3:$E$74=E$175), 0)))"),1.0)</f>
        <v>1</v>
      </c>
      <c r="F181" s="359">
        <f>IFERROR(__xludf.DUMMYFUNCTION("if(iferror(filter($E$3:$E$74, $D$3:$D$74=$A181, $E$3:$E$74=F$175), 0)=0, 0, counta(iferror(filter($E$3:$E$74, $D$3:$D$74=$A181, $E$3:$E$74=F$175), 0)))"),3.0)</f>
        <v>3</v>
      </c>
      <c r="G181" s="359">
        <f>IFERROR(__xludf.DUMMYFUNCTION("if(iferror(filter($E$3:$E$74, $D$3:$D$74=$A181, $E$3:$E$74=G$175), 0)=0, 0, counta(iferror(filter($E$3:$E$74, $D$3:$D$74=$A181, $E$3:$E$74=G$175), 0)))"),0.0)</f>
        <v>0</v>
      </c>
      <c r="H181" s="359">
        <f>IFERROR(__xludf.DUMMYFUNCTION("if(iferror(filter($E$3:$E$74, $D$3:$D$74=$A181, $E$3:$E$74=H$175), 0)=0, 0, counta(iferror(filter($E$3:$E$74, $D$3:$D$74=$A181, $E$3:$E$74=H$175), 0)))"),0.0)</f>
        <v>0</v>
      </c>
      <c r="M181" s="354"/>
      <c r="N181" s="296"/>
      <c r="O181" s="353"/>
      <c r="Q181" s="354"/>
      <c r="R181" s="355"/>
      <c r="T181" s="367">
        <f>IFERROR(__xludf.DUMMYFUNCTION("""COMPUTED_VALUE"""),0.0)</f>
        <v>0</v>
      </c>
      <c r="U181" s="296">
        <f>IFERROR(__xludf.DUMMYFUNCTION("""COMPUTED_VALUE"""),0.0)</f>
        <v>0</v>
      </c>
      <c r="V181" s="355"/>
    </row>
    <row r="182" ht="12.75" customHeight="1">
      <c r="A182" s="315" t="s">
        <v>673</v>
      </c>
      <c r="B182" s="359">
        <f>IFERROR(__xludf.DUMMYFUNCTION("if(iferror(filter($E$3:$E$74, $D$3:$D$74=$A182, $E$3:$E$74=B$175), 0)=0, 0, counta(iferror(filter($E$3:$E$74, $D$3:$D$74=$A182, $E$3:$E$74=B$175), 0)))"),2.0)</f>
        <v>2</v>
      </c>
      <c r="C182" s="359">
        <f>IFERROR(__xludf.DUMMYFUNCTION("if(iferror(filter($E$3:$E$74, $D$3:$D$74=$A182, $E$3:$E$74=C$175), 0)=0, 0, counta(iferror(filter($E$3:$E$74, $D$3:$D$74=$A182, $E$3:$E$74=C$175), 0)))"),2.0)</f>
        <v>2</v>
      </c>
      <c r="D182" s="359">
        <f>IFERROR(__xludf.DUMMYFUNCTION("if(iferror(filter($E$3:$E$74, $D$3:$D$74=$A182, $E$3:$E$74=D$175), 0)=0, 0, counta(iferror(filter($E$3:$E$74, $D$3:$D$74=$A182, $E$3:$E$74=D$175), 0)))"),1.0)</f>
        <v>1</v>
      </c>
      <c r="E182" s="359">
        <f>IFERROR(__xludf.DUMMYFUNCTION("if(iferror(filter($E$3:$E$74, $D$3:$D$74=$A182, $E$3:$E$74=E$175), 0)=0, 0, counta(iferror(filter($E$3:$E$74, $D$3:$D$74=$A182, $E$3:$E$74=E$175), 0)))"),1.0)</f>
        <v>1</v>
      </c>
      <c r="F182" s="359">
        <f>IFERROR(__xludf.DUMMYFUNCTION("if(iferror(filter($E$3:$E$74, $D$3:$D$74=$A182, $E$3:$E$74=F$175), 0)=0, 0, counta(iferror(filter($E$3:$E$74, $D$3:$D$74=$A182, $E$3:$E$74=F$175), 0)))"),3.0)</f>
        <v>3</v>
      </c>
      <c r="G182" s="359">
        <f>IFERROR(__xludf.DUMMYFUNCTION("if(iferror(filter($E$3:$E$74, $D$3:$D$74=$A182, $E$3:$E$74=G$175), 0)=0, 0, counta(iferror(filter($E$3:$E$74, $D$3:$D$74=$A182, $E$3:$E$74=G$175), 0)))"),0.0)</f>
        <v>0</v>
      </c>
      <c r="H182" s="359">
        <f>IFERROR(__xludf.DUMMYFUNCTION("if(iferror(filter($E$3:$E$74, $D$3:$D$74=$A182, $E$3:$E$74=H$175), 0)=0, 0, counta(iferror(filter($E$3:$E$74, $D$3:$D$74=$A182, $E$3:$E$74=H$175), 0)))"),0.0)</f>
        <v>0</v>
      </c>
      <c r="M182" s="354"/>
      <c r="N182" s="296"/>
      <c r="O182" s="353"/>
      <c r="Q182" s="354"/>
      <c r="R182" s="355"/>
      <c r="T182" s="367"/>
      <c r="U182" s="296"/>
      <c r="V182" s="355"/>
    </row>
    <row r="183" ht="12.75" customHeight="1">
      <c r="A183" s="315" t="s">
        <v>692</v>
      </c>
      <c r="B183" s="359">
        <f>IFERROR(__xludf.DUMMYFUNCTION("if(iferror(filter($E$3:$E$74, $D$3:$D$74=$A183, $E$3:$E$74=B$175), 0)=0, 0, counta(iferror(filter($E$3:$E$74, $D$3:$D$74=$A183, $E$3:$E$74=B$175), 0)))"),2.0)</f>
        <v>2</v>
      </c>
      <c r="C183" s="359">
        <f>IFERROR(__xludf.DUMMYFUNCTION("if(iferror(filter($E$3:$E$74, $D$3:$D$74=$A183, $E$3:$E$74=C$175), 0)=0, 0, counta(iferror(filter($E$3:$E$74, $D$3:$D$74=$A183, $E$3:$E$74=C$175), 0)))"),2.0)</f>
        <v>2</v>
      </c>
      <c r="D183" s="359">
        <f>IFERROR(__xludf.DUMMYFUNCTION("if(iferror(filter($E$3:$E$74, $D$3:$D$74=$A183, $E$3:$E$74=D$175), 0)=0, 0, counta(iferror(filter($E$3:$E$74, $D$3:$D$74=$A183, $E$3:$E$74=D$175), 0)))"),1.0)</f>
        <v>1</v>
      </c>
      <c r="E183" s="359">
        <f>IFERROR(__xludf.DUMMYFUNCTION("if(iferror(filter($E$3:$E$74, $D$3:$D$74=$A183, $E$3:$E$74=E$175), 0)=0, 0, counta(iferror(filter($E$3:$E$74, $D$3:$D$74=$A183, $E$3:$E$74=E$175), 0)))"),1.0)</f>
        <v>1</v>
      </c>
      <c r="F183" s="359">
        <f>IFERROR(__xludf.DUMMYFUNCTION("if(iferror(filter($E$3:$E$74, $D$3:$D$74=$A183, $E$3:$E$74=F$175), 0)=0, 0, counta(iferror(filter($E$3:$E$74, $D$3:$D$74=$A183, $E$3:$E$74=F$175), 0)))"),3.0)</f>
        <v>3</v>
      </c>
      <c r="G183" s="359">
        <f>IFERROR(__xludf.DUMMYFUNCTION("if(iferror(filter($E$3:$E$74, $D$3:$D$74=$A183, $E$3:$E$74=G$175), 0)=0, 0, counta(iferror(filter($E$3:$E$74, $D$3:$D$74=$A183, $E$3:$E$74=G$175), 0)))"),0.0)</f>
        <v>0</v>
      </c>
      <c r="H183" s="359">
        <f>IFERROR(__xludf.DUMMYFUNCTION("if(iferror(filter($E$3:$E$74, $D$3:$D$74=$A183, $E$3:$E$74=H$175), 0)=0, 0, counta(iferror(filter($E$3:$E$74, $D$3:$D$74=$A183, $E$3:$E$74=H$175), 0)))"),0.0)</f>
        <v>0</v>
      </c>
      <c r="M183" s="354"/>
      <c r="N183" s="296"/>
      <c r="O183" s="353"/>
      <c r="Q183" s="354"/>
      <c r="R183" s="355"/>
      <c r="T183" s="367"/>
      <c r="U183" s="296"/>
      <c r="V183" s="355"/>
    </row>
    <row r="184" ht="12.75" customHeight="1">
      <c r="M184" s="354"/>
      <c r="N184" s="296"/>
      <c r="O184" s="353"/>
      <c r="Q184" s="354"/>
      <c r="R184" s="355"/>
      <c r="T184" s="367" t="str">
        <f>IFERROR(__xludf.DUMMYFUNCTION("""COMPUTED_VALUE"""),"Unl. Bomb")</f>
        <v>Unl. Bomb</v>
      </c>
      <c r="U184" s="296" t="str">
        <f>IFERROR(__xludf.DUMMYFUNCTION("""COMPUTED_VALUE"""),"Avatar")</f>
        <v>Avatar</v>
      </c>
      <c r="V184" s="355"/>
    </row>
    <row r="185" ht="12.75" customHeight="1">
      <c r="A185" s="347" t="s">
        <v>722</v>
      </c>
      <c r="B185" s="371"/>
      <c r="M185" s="354"/>
      <c r="N185" s="296"/>
      <c r="O185" s="353"/>
      <c r="Q185" s="354"/>
      <c r="R185" s="355"/>
      <c r="T185" s="367">
        <f>IFERROR(__xludf.DUMMYFUNCTION("""COMPUTED_VALUE"""),0.0)</f>
        <v>0</v>
      </c>
      <c r="U185" s="296">
        <f>IFERROR(__xludf.DUMMYFUNCTION("""COMPUTED_VALUE"""),0.0)</f>
        <v>0</v>
      </c>
      <c r="V185" s="355"/>
    </row>
    <row r="186" ht="12.75" customHeight="1">
      <c r="A186" s="312" t="s">
        <v>720</v>
      </c>
      <c r="B186" s="313" t="s">
        <v>82</v>
      </c>
      <c r="C186" s="313" t="s">
        <v>68</v>
      </c>
      <c r="D186" s="313" t="s">
        <v>69</v>
      </c>
      <c r="E186" s="313" t="s">
        <v>70</v>
      </c>
      <c r="F186" s="313" t="s">
        <v>71</v>
      </c>
      <c r="G186" s="313" t="s">
        <v>72</v>
      </c>
      <c r="H186" s="313" t="s">
        <v>73</v>
      </c>
      <c r="I186" s="313" t="s">
        <v>74</v>
      </c>
      <c r="J186" s="313" t="s">
        <v>723</v>
      </c>
      <c r="K186" s="313" t="s">
        <v>724</v>
      </c>
      <c r="L186" s="313" t="s">
        <v>725</v>
      </c>
      <c r="M186" s="372" t="s">
        <v>726</v>
      </c>
      <c r="N186" s="313" t="s">
        <v>104</v>
      </c>
      <c r="O186" s="353"/>
      <c r="P186" s="313"/>
      <c r="Q186" s="354"/>
      <c r="R186" s="355"/>
      <c r="T186" s="367">
        <f>IFERROR(__xludf.DUMMYFUNCTION("""COMPUTED_VALUE"""),0.0)</f>
        <v>0</v>
      </c>
      <c r="U186" s="296">
        <f>IFERROR(__xludf.DUMMYFUNCTION("""COMPUTED_VALUE"""),0.0)</f>
        <v>0</v>
      </c>
      <c r="V186" s="355"/>
    </row>
    <row r="187" ht="12.75" customHeight="1">
      <c r="A187" s="315" t="s">
        <v>503</v>
      </c>
      <c r="B187" s="316">
        <v>100.0</v>
      </c>
      <c r="C187" s="341">
        <v>0.0</v>
      </c>
      <c r="D187" s="341">
        <v>0.0</v>
      </c>
      <c r="E187" s="341">
        <v>0.0</v>
      </c>
      <c r="F187" s="341">
        <v>0.0</v>
      </c>
      <c r="G187" s="341">
        <v>0.0</v>
      </c>
      <c r="H187" s="341">
        <v>0.0</v>
      </c>
      <c r="I187" s="341">
        <v>0.0</v>
      </c>
      <c r="J187" s="341">
        <v>0.0</v>
      </c>
      <c r="K187" s="341">
        <v>0.0</v>
      </c>
      <c r="L187" s="373">
        <v>0.0</v>
      </c>
      <c r="M187" s="374">
        <v>0.0</v>
      </c>
      <c r="N187" s="341">
        <v>0.0</v>
      </c>
      <c r="O187" s="353"/>
      <c r="P187" s="375"/>
      <c r="Q187" s="354"/>
      <c r="R187" s="355"/>
      <c r="T187" s="367">
        <f>IFERROR(__xludf.DUMMYFUNCTION("""COMPUTED_VALUE"""),0.0)</f>
        <v>0</v>
      </c>
      <c r="U187" s="296">
        <f>IFERROR(__xludf.DUMMYFUNCTION("""COMPUTED_VALUE"""),0.0)</f>
        <v>0</v>
      </c>
      <c r="V187" s="355"/>
    </row>
    <row r="188" ht="12.75" customHeight="1">
      <c r="A188" s="315" t="s">
        <v>533</v>
      </c>
      <c r="B188" s="341">
        <v>0.0</v>
      </c>
      <c r="C188" s="316">
        <v>1.0</v>
      </c>
      <c r="D188" s="341">
        <v>0.0</v>
      </c>
      <c r="E188" s="341">
        <v>0.0</v>
      </c>
      <c r="F188" s="341">
        <v>0.0</v>
      </c>
      <c r="G188" s="341">
        <v>0.0</v>
      </c>
      <c r="H188" s="341">
        <v>0.0</v>
      </c>
      <c r="I188" s="341">
        <v>0.0</v>
      </c>
      <c r="J188" s="341">
        <v>0.0</v>
      </c>
      <c r="K188" s="341">
        <v>0.0</v>
      </c>
      <c r="L188" s="373">
        <v>0.0</v>
      </c>
      <c r="M188" s="374">
        <v>0.0</v>
      </c>
      <c r="N188" s="341">
        <v>0.0</v>
      </c>
      <c r="O188" s="353"/>
      <c r="P188" s="375"/>
      <c r="Q188" s="354"/>
      <c r="R188" s="355"/>
      <c r="T188" s="367"/>
      <c r="U188" s="296"/>
      <c r="V188" s="355"/>
    </row>
    <row r="189" ht="12.75" customHeight="1">
      <c r="A189" s="315" t="s">
        <v>562</v>
      </c>
      <c r="B189" s="341">
        <v>0.0</v>
      </c>
      <c r="C189" s="341">
        <v>0.0</v>
      </c>
      <c r="D189" s="316">
        <v>1.0</v>
      </c>
      <c r="E189" s="341">
        <v>0.0</v>
      </c>
      <c r="F189" s="341">
        <v>0.0</v>
      </c>
      <c r="G189" s="341">
        <v>0.0</v>
      </c>
      <c r="H189" s="341">
        <v>0.0</v>
      </c>
      <c r="I189" s="341">
        <v>0.0</v>
      </c>
      <c r="J189" s="341">
        <v>0.0</v>
      </c>
      <c r="K189" s="341">
        <v>0.0</v>
      </c>
      <c r="L189" s="373">
        <v>0.0</v>
      </c>
      <c r="M189" s="374">
        <v>0.0</v>
      </c>
      <c r="N189" s="341">
        <v>0.0</v>
      </c>
      <c r="O189" s="353"/>
      <c r="P189" s="375"/>
      <c r="Q189" s="354"/>
      <c r="R189" s="355"/>
      <c r="T189" s="367"/>
      <c r="U189" s="296"/>
      <c r="V189" s="355"/>
    </row>
    <row r="190" ht="12.75" customHeight="1">
      <c r="A190" s="315" t="s">
        <v>592</v>
      </c>
      <c r="B190" s="341">
        <v>0.0</v>
      </c>
      <c r="C190" s="341">
        <v>0.0</v>
      </c>
      <c r="D190" s="341">
        <v>0.0</v>
      </c>
      <c r="E190" s="316">
        <v>1.0</v>
      </c>
      <c r="F190" s="341">
        <v>0.0</v>
      </c>
      <c r="G190" s="341">
        <v>0.0</v>
      </c>
      <c r="H190" s="341">
        <v>0.0</v>
      </c>
      <c r="I190" s="341">
        <v>0.0</v>
      </c>
      <c r="J190" s="341">
        <v>0.0</v>
      </c>
      <c r="K190" s="341">
        <v>0.0</v>
      </c>
      <c r="L190" s="373">
        <v>0.0</v>
      </c>
      <c r="M190" s="374">
        <v>0.0</v>
      </c>
      <c r="N190" s="341">
        <v>0.0</v>
      </c>
      <c r="O190" s="353"/>
      <c r="P190" s="375"/>
      <c r="Q190" s="354"/>
      <c r="R190" s="355"/>
      <c r="T190" s="367"/>
      <c r="U190" s="296"/>
      <c r="V190" s="355"/>
    </row>
    <row r="191" ht="12.75" customHeight="1">
      <c r="A191" s="315" t="s">
        <v>621</v>
      </c>
      <c r="B191" s="341">
        <v>0.0</v>
      </c>
      <c r="C191" s="341">
        <v>0.0</v>
      </c>
      <c r="D191" s="341">
        <v>0.0</v>
      </c>
      <c r="E191" s="341">
        <v>0.0</v>
      </c>
      <c r="F191" s="316">
        <v>1.0</v>
      </c>
      <c r="G191" s="341">
        <v>0.0</v>
      </c>
      <c r="H191" s="341">
        <v>0.0</v>
      </c>
      <c r="I191" s="341">
        <v>0.0</v>
      </c>
      <c r="J191" s="341">
        <v>0.0</v>
      </c>
      <c r="K191" s="341">
        <v>0.0</v>
      </c>
      <c r="L191" s="373">
        <v>0.0</v>
      </c>
      <c r="M191" s="374">
        <v>0.0</v>
      </c>
      <c r="N191" s="341">
        <v>0.0</v>
      </c>
      <c r="O191" s="353"/>
      <c r="P191" s="375"/>
      <c r="Q191" s="354"/>
      <c r="R191" s="355"/>
      <c r="T191" s="367"/>
      <c r="U191" s="296"/>
      <c r="V191" s="355"/>
    </row>
    <row r="192" ht="12.75" customHeight="1">
      <c r="A192" s="315" t="s">
        <v>649</v>
      </c>
      <c r="B192" s="341">
        <v>0.0</v>
      </c>
      <c r="C192" s="341">
        <v>0.0</v>
      </c>
      <c r="D192" s="341">
        <v>0.0</v>
      </c>
      <c r="E192" s="341">
        <v>0.0</v>
      </c>
      <c r="F192" s="341">
        <v>0.0</v>
      </c>
      <c r="G192" s="316">
        <v>1.0</v>
      </c>
      <c r="H192" s="341">
        <v>0.0</v>
      </c>
      <c r="I192" s="341">
        <v>0.0</v>
      </c>
      <c r="J192" s="341">
        <v>0.0</v>
      </c>
      <c r="K192" s="341">
        <v>0.0</v>
      </c>
      <c r="L192" s="373">
        <v>0.0</v>
      </c>
      <c r="M192" s="374">
        <v>0.0</v>
      </c>
      <c r="N192" s="341">
        <v>0.0</v>
      </c>
      <c r="O192" s="353"/>
      <c r="P192" s="375"/>
      <c r="Q192" s="354"/>
      <c r="R192" s="355"/>
      <c r="T192" s="367"/>
      <c r="U192" s="296"/>
      <c r="V192" s="355"/>
    </row>
    <row r="193" ht="12.75" customHeight="1">
      <c r="A193" s="315" t="s">
        <v>673</v>
      </c>
      <c r="B193" s="341">
        <v>0.0</v>
      </c>
      <c r="C193" s="341">
        <v>0.0</v>
      </c>
      <c r="D193" s="341">
        <v>0.0</v>
      </c>
      <c r="E193" s="341">
        <v>0.0</v>
      </c>
      <c r="F193" s="341">
        <v>0.0</v>
      </c>
      <c r="G193" s="341">
        <v>0.0</v>
      </c>
      <c r="H193" s="316">
        <v>1.0</v>
      </c>
      <c r="I193" s="341">
        <v>0.0</v>
      </c>
      <c r="J193" s="341">
        <v>0.0</v>
      </c>
      <c r="K193" s="341">
        <v>0.0</v>
      </c>
      <c r="L193" s="373">
        <v>0.0</v>
      </c>
      <c r="M193" s="374">
        <v>0.0</v>
      </c>
      <c r="N193" s="341">
        <v>0.0</v>
      </c>
      <c r="O193" s="353"/>
      <c r="P193" s="375"/>
      <c r="Q193" s="354"/>
      <c r="R193" s="355"/>
      <c r="T193" s="367"/>
      <c r="U193" s="296"/>
      <c r="V193" s="355"/>
    </row>
    <row r="194" ht="12.75" customHeight="1">
      <c r="A194" s="315" t="s">
        <v>692</v>
      </c>
      <c r="B194" s="341">
        <v>0.0</v>
      </c>
      <c r="C194" s="341">
        <v>0.0</v>
      </c>
      <c r="D194" s="341">
        <v>0.0</v>
      </c>
      <c r="E194" s="341">
        <v>0.0</v>
      </c>
      <c r="F194" s="341">
        <v>0.0</v>
      </c>
      <c r="G194" s="341">
        <v>0.0</v>
      </c>
      <c r="H194" s="341">
        <v>0.0</v>
      </c>
      <c r="I194" s="316">
        <v>1.0</v>
      </c>
      <c r="J194" s="341">
        <v>0.0</v>
      </c>
      <c r="K194" s="341">
        <v>0.0</v>
      </c>
      <c r="L194" s="373">
        <v>0.0</v>
      </c>
      <c r="M194" s="374">
        <v>0.0</v>
      </c>
      <c r="N194" s="341">
        <v>0.0</v>
      </c>
      <c r="O194" s="353"/>
      <c r="P194" s="375"/>
      <c r="Q194" s="354"/>
      <c r="R194" s="355"/>
      <c r="T194" s="367"/>
      <c r="U194" s="296"/>
      <c r="V194" s="355"/>
    </row>
    <row r="195" ht="12.75" customHeight="1">
      <c r="M195" s="354"/>
      <c r="N195" s="296"/>
      <c r="O195" s="353"/>
      <c r="Q195" s="354"/>
      <c r="R195" s="355"/>
      <c r="T195" s="367"/>
      <c r="U195" s="296"/>
      <c r="V195" s="355"/>
    </row>
    <row r="196" ht="12.75" customHeight="1">
      <c r="A196" s="347" t="s">
        <v>727</v>
      </c>
      <c r="B196" s="371"/>
      <c r="M196" s="354"/>
      <c r="N196" s="296"/>
      <c r="O196" s="353"/>
      <c r="Q196" s="354"/>
      <c r="R196" s="355"/>
      <c r="T196" s="367"/>
      <c r="U196" s="296"/>
      <c r="V196" s="355"/>
    </row>
    <row r="197" ht="12.75" customHeight="1">
      <c r="A197" s="312" t="s">
        <v>720</v>
      </c>
      <c r="B197" s="313" t="s">
        <v>82</v>
      </c>
      <c r="C197" s="313" t="s">
        <v>68</v>
      </c>
      <c r="D197" s="313" t="s">
        <v>69</v>
      </c>
      <c r="E197" s="313" t="s">
        <v>70</v>
      </c>
      <c r="F197" s="313" t="s">
        <v>71</v>
      </c>
      <c r="G197" s="313" t="s">
        <v>72</v>
      </c>
      <c r="H197" s="313" t="s">
        <v>73</v>
      </c>
      <c r="I197" s="313" t="s">
        <v>74</v>
      </c>
      <c r="J197" s="313" t="s">
        <v>723</v>
      </c>
      <c r="K197" s="313" t="s">
        <v>724</v>
      </c>
      <c r="L197" s="313" t="s">
        <v>725</v>
      </c>
      <c r="M197" s="372" t="s">
        <v>726</v>
      </c>
      <c r="N197" s="313" t="s">
        <v>104</v>
      </c>
      <c r="O197" s="353"/>
      <c r="P197" s="313"/>
      <c r="Q197" s="354"/>
      <c r="R197" s="355"/>
      <c r="T197" s="367"/>
      <c r="U197" s="296"/>
      <c r="V197" s="355"/>
    </row>
    <row r="198" ht="12.75" customHeight="1">
      <c r="A198" s="315" t="s">
        <v>503</v>
      </c>
      <c r="B198" s="316">
        <v>100.0</v>
      </c>
      <c r="C198" s="341">
        <v>0.0</v>
      </c>
      <c r="D198" s="341">
        <v>0.0</v>
      </c>
      <c r="E198" s="341">
        <v>0.0</v>
      </c>
      <c r="F198" s="341">
        <v>0.0</v>
      </c>
      <c r="G198" s="341">
        <v>0.0</v>
      </c>
      <c r="H198" s="341">
        <v>0.0</v>
      </c>
      <c r="I198" s="341">
        <v>0.0</v>
      </c>
      <c r="J198" s="341">
        <v>0.0</v>
      </c>
      <c r="K198" s="341">
        <v>0.0</v>
      </c>
      <c r="L198" s="373">
        <v>0.0</v>
      </c>
      <c r="M198" s="374">
        <v>0.0</v>
      </c>
      <c r="N198" s="341">
        <v>0.0</v>
      </c>
      <c r="O198" s="353"/>
      <c r="P198" s="375"/>
      <c r="Q198" s="354"/>
      <c r="R198" s="355"/>
      <c r="T198" s="367"/>
      <c r="U198" s="296"/>
      <c r="V198" s="355"/>
    </row>
    <row r="199" ht="12.75" customHeight="1">
      <c r="A199" s="315" t="s">
        <v>533</v>
      </c>
      <c r="B199" s="341">
        <v>0.0</v>
      </c>
      <c r="C199" s="316">
        <v>1.0</v>
      </c>
      <c r="D199" s="341">
        <v>0.0</v>
      </c>
      <c r="E199" s="341">
        <v>0.0</v>
      </c>
      <c r="F199" s="341">
        <v>0.0</v>
      </c>
      <c r="G199" s="341">
        <v>0.0</v>
      </c>
      <c r="H199" s="341">
        <v>0.0</v>
      </c>
      <c r="I199" s="341">
        <v>0.0</v>
      </c>
      <c r="J199" s="341">
        <v>0.0</v>
      </c>
      <c r="K199" s="341">
        <v>0.0</v>
      </c>
      <c r="L199" s="373">
        <v>0.0</v>
      </c>
      <c r="M199" s="374">
        <v>0.0</v>
      </c>
      <c r="N199" s="341">
        <v>0.0</v>
      </c>
      <c r="O199" s="353"/>
      <c r="P199" s="375"/>
      <c r="Q199" s="354"/>
      <c r="R199" s="355"/>
      <c r="T199" s="367"/>
      <c r="U199" s="296"/>
      <c r="V199" s="355"/>
    </row>
    <row r="200" ht="12.75" customHeight="1">
      <c r="A200" s="315" t="s">
        <v>562</v>
      </c>
      <c r="B200" s="341">
        <v>0.0</v>
      </c>
      <c r="C200" s="341">
        <v>0.0</v>
      </c>
      <c r="D200" s="316">
        <v>1.0</v>
      </c>
      <c r="E200" s="341">
        <v>0.0</v>
      </c>
      <c r="F200" s="341">
        <v>0.0</v>
      </c>
      <c r="G200" s="341">
        <v>0.0</v>
      </c>
      <c r="H200" s="341">
        <v>0.0</v>
      </c>
      <c r="I200" s="341">
        <v>0.0</v>
      </c>
      <c r="J200" s="341">
        <v>0.0</v>
      </c>
      <c r="K200" s="341">
        <v>0.0</v>
      </c>
      <c r="L200" s="373">
        <v>0.0</v>
      </c>
      <c r="M200" s="374">
        <v>0.0</v>
      </c>
      <c r="N200" s="341">
        <v>0.0</v>
      </c>
      <c r="O200" s="353"/>
      <c r="P200" s="375"/>
      <c r="Q200" s="354"/>
      <c r="R200" s="355"/>
      <c r="T200" s="367"/>
      <c r="U200" s="296"/>
      <c r="V200" s="355"/>
    </row>
    <row r="201" ht="12.75" customHeight="1">
      <c r="A201" s="315" t="s">
        <v>592</v>
      </c>
      <c r="B201" s="341">
        <v>0.0</v>
      </c>
      <c r="C201" s="341">
        <v>0.0</v>
      </c>
      <c r="D201" s="341">
        <v>0.0</v>
      </c>
      <c r="E201" s="316">
        <v>1.0</v>
      </c>
      <c r="F201" s="341">
        <v>0.0</v>
      </c>
      <c r="G201" s="341">
        <v>0.0</v>
      </c>
      <c r="H201" s="341">
        <v>0.0</v>
      </c>
      <c r="I201" s="341">
        <v>0.0</v>
      </c>
      <c r="J201" s="341">
        <v>0.0</v>
      </c>
      <c r="K201" s="341">
        <v>0.0</v>
      </c>
      <c r="L201" s="373">
        <v>0.0</v>
      </c>
      <c r="M201" s="374">
        <v>0.0</v>
      </c>
      <c r="N201" s="341">
        <v>0.0</v>
      </c>
      <c r="O201" s="353"/>
      <c r="P201" s="375"/>
      <c r="Q201" s="354"/>
      <c r="R201" s="355"/>
      <c r="T201" s="367"/>
      <c r="U201" s="296"/>
      <c r="V201" s="355"/>
    </row>
    <row r="202" ht="12.75" customHeight="1">
      <c r="A202" s="315" t="s">
        <v>621</v>
      </c>
      <c r="B202" s="341">
        <v>0.0</v>
      </c>
      <c r="C202" s="341">
        <v>0.0</v>
      </c>
      <c r="D202" s="341">
        <v>0.0</v>
      </c>
      <c r="E202" s="341">
        <v>0.0</v>
      </c>
      <c r="F202" s="316">
        <v>1.0</v>
      </c>
      <c r="G202" s="341">
        <v>0.0</v>
      </c>
      <c r="H202" s="341">
        <v>0.0</v>
      </c>
      <c r="I202" s="341">
        <v>0.0</v>
      </c>
      <c r="J202" s="341">
        <v>0.0</v>
      </c>
      <c r="K202" s="341">
        <v>0.0</v>
      </c>
      <c r="L202" s="373">
        <v>0.0</v>
      </c>
      <c r="M202" s="374">
        <v>0.0</v>
      </c>
      <c r="N202" s="341">
        <v>0.0</v>
      </c>
      <c r="O202" s="353"/>
      <c r="P202" s="375"/>
      <c r="Q202" s="354"/>
      <c r="R202" s="355"/>
      <c r="T202" s="367"/>
      <c r="U202" s="296"/>
      <c r="V202" s="355"/>
    </row>
    <row r="203" ht="12.75" customHeight="1">
      <c r="A203" s="315" t="s">
        <v>649</v>
      </c>
      <c r="B203" s="341">
        <v>0.0</v>
      </c>
      <c r="C203" s="341">
        <v>0.0</v>
      </c>
      <c r="D203" s="341">
        <v>0.0</v>
      </c>
      <c r="E203" s="341">
        <v>0.0</v>
      </c>
      <c r="F203" s="341">
        <v>0.0</v>
      </c>
      <c r="G203" s="316">
        <v>1.0</v>
      </c>
      <c r="H203" s="341">
        <v>0.0</v>
      </c>
      <c r="I203" s="341">
        <v>0.0</v>
      </c>
      <c r="J203" s="341">
        <v>0.0</v>
      </c>
      <c r="K203" s="341">
        <v>0.0</v>
      </c>
      <c r="L203" s="373">
        <v>0.0</v>
      </c>
      <c r="M203" s="374">
        <v>0.0</v>
      </c>
      <c r="N203" s="341">
        <v>0.0</v>
      </c>
      <c r="O203" s="353"/>
      <c r="P203" s="375"/>
      <c r="Q203" s="354"/>
      <c r="R203" s="355"/>
      <c r="T203" s="367"/>
      <c r="U203" s="296"/>
      <c r="V203" s="355"/>
    </row>
    <row r="204" ht="12.75" customHeight="1">
      <c r="A204" s="315" t="s">
        <v>673</v>
      </c>
      <c r="B204" s="341">
        <v>0.0</v>
      </c>
      <c r="C204" s="341">
        <v>0.0</v>
      </c>
      <c r="D204" s="341">
        <v>0.0</v>
      </c>
      <c r="E204" s="341">
        <v>0.0</v>
      </c>
      <c r="F204" s="341">
        <v>0.0</v>
      </c>
      <c r="G204" s="341">
        <v>0.0</v>
      </c>
      <c r="H204" s="316">
        <v>1.0</v>
      </c>
      <c r="I204" s="341">
        <v>0.0</v>
      </c>
      <c r="J204" s="341">
        <v>0.0</v>
      </c>
      <c r="K204" s="341">
        <v>0.0</v>
      </c>
      <c r="L204" s="373">
        <v>0.0</v>
      </c>
      <c r="M204" s="374">
        <v>0.0</v>
      </c>
      <c r="N204" s="341">
        <v>0.0</v>
      </c>
      <c r="O204" s="353"/>
      <c r="P204" s="375"/>
      <c r="Q204" s="354"/>
      <c r="R204" s="355"/>
      <c r="T204" s="367"/>
      <c r="U204" s="296"/>
      <c r="V204" s="355"/>
    </row>
    <row r="205" ht="12.75" customHeight="1">
      <c r="A205" s="315" t="s">
        <v>692</v>
      </c>
      <c r="B205" s="341">
        <v>0.0</v>
      </c>
      <c r="C205" s="341">
        <v>0.0</v>
      </c>
      <c r="D205" s="341">
        <v>0.0</v>
      </c>
      <c r="E205" s="341">
        <v>0.0</v>
      </c>
      <c r="F205" s="341">
        <v>0.0</v>
      </c>
      <c r="G205" s="341">
        <v>0.0</v>
      </c>
      <c r="H205" s="341">
        <v>0.0</v>
      </c>
      <c r="I205" s="316">
        <v>1.0</v>
      </c>
      <c r="J205" s="341">
        <v>0.0</v>
      </c>
      <c r="K205" s="341">
        <v>0.0</v>
      </c>
      <c r="L205" s="373">
        <v>0.0</v>
      </c>
      <c r="M205" s="374">
        <v>0.0</v>
      </c>
      <c r="N205" s="341">
        <v>0.0</v>
      </c>
      <c r="O205" s="353"/>
      <c r="P205" s="375"/>
      <c r="Q205" s="354"/>
      <c r="R205" s="355"/>
      <c r="T205" s="367"/>
      <c r="U205" s="296"/>
      <c r="V205" s="355"/>
    </row>
    <row r="206" ht="12.75" customHeight="1">
      <c r="M206" s="354"/>
      <c r="N206" s="296"/>
      <c r="O206" s="353"/>
      <c r="Q206" s="354"/>
      <c r="R206" s="355"/>
      <c r="T206" s="367"/>
      <c r="U206" s="296"/>
      <c r="V206" s="355"/>
    </row>
    <row r="207" ht="12.75" customHeight="1">
      <c r="A207" s="347" t="s">
        <v>728</v>
      </c>
      <c r="B207" s="371"/>
      <c r="M207" s="354"/>
      <c r="N207" s="296"/>
      <c r="O207" s="353"/>
      <c r="Q207" s="354"/>
      <c r="R207" s="355"/>
      <c r="T207" s="367"/>
      <c r="U207" s="296"/>
      <c r="V207" s="355"/>
    </row>
    <row r="208" ht="12.75" customHeight="1">
      <c r="A208" s="312" t="s">
        <v>720</v>
      </c>
      <c r="B208" s="313" t="s">
        <v>82</v>
      </c>
      <c r="C208" s="313" t="s">
        <v>68</v>
      </c>
      <c r="D208" s="313" t="s">
        <v>69</v>
      </c>
      <c r="E208" s="313" t="s">
        <v>70</v>
      </c>
      <c r="F208" s="313" t="s">
        <v>71</v>
      </c>
      <c r="G208" s="313" t="s">
        <v>72</v>
      </c>
      <c r="H208" s="313" t="s">
        <v>73</v>
      </c>
      <c r="I208" s="313" t="s">
        <v>74</v>
      </c>
      <c r="J208" s="313" t="s">
        <v>723</v>
      </c>
      <c r="K208" s="313" t="s">
        <v>724</v>
      </c>
      <c r="L208" s="313" t="s">
        <v>725</v>
      </c>
      <c r="M208" s="372" t="s">
        <v>726</v>
      </c>
      <c r="N208" s="313" t="s">
        <v>104</v>
      </c>
      <c r="O208" s="353"/>
      <c r="P208" s="313"/>
      <c r="Q208" s="354"/>
      <c r="R208" s="355"/>
      <c r="T208" s="367"/>
      <c r="U208" s="296"/>
      <c r="V208" s="355"/>
    </row>
    <row r="209" ht="12.75" customHeight="1">
      <c r="A209" s="315" t="s">
        <v>503</v>
      </c>
      <c r="B209" s="316">
        <v>100.0</v>
      </c>
      <c r="C209" s="341">
        <v>0.0</v>
      </c>
      <c r="D209" s="341">
        <v>0.0</v>
      </c>
      <c r="E209" s="341">
        <v>0.0</v>
      </c>
      <c r="F209" s="341">
        <v>0.0</v>
      </c>
      <c r="G209" s="341">
        <v>0.0</v>
      </c>
      <c r="H209" s="341">
        <v>0.0</v>
      </c>
      <c r="I209" s="341">
        <v>0.0</v>
      </c>
      <c r="J209" s="341">
        <v>0.0</v>
      </c>
      <c r="K209" s="341">
        <v>0.0</v>
      </c>
      <c r="L209" s="373">
        <v>0.0</v>
      </c>
      <c r="M209" s="374">
        <v>0.0</v>
      </c>
      <c r="N209" s="341">
        <v>0.0</v>
      </c>
      <c r="O209" s="353"/>
      <c r="P209" s="375"/>
      <c r="Q209" s="354"/>
      <c r="R209" s="355"/>
      <c r="T209" s="367"/>
      <c r="U209" s="296"/>
      <c r="V209" s="355"/>
    </row>
    <row r="210" ht="12.75" customHeight="1">
      <c r="A210" s="315" t="s">
        <v>533</v>
      </c>
      <c r="B210" s="341">
        <v>0.0</v>
      </c>
      <c r="C210" s="316">
        <v>1.0</v>
      </c>
      <c r="D210" s="341">
        <v>0.0</v>
      </c>
      <c r="E210" s="341">
        <v>0.0</v>
      </c>
      <c r="F210" s="341">
        <v>0.0</v>
      </c>
      <c r="G210" s="341">
        <v>0.0</v>
      </c>
      <c r="H210" s="341">
        <v>0.0</v>
      </c>
      <c r="I210" s="341">
        <v>0.0</v>
      </c>
      <c r="J210" s="341">
        <v>0.0</v>
      </c>
      <c r="K210" s="341">
        <v>0.0</v>
      </c>
      <c r="L210" s="373">
        <v>0.0</v>
      </c>
      <c r="M210" s="374">
        <v>0.0</v>
      </c>
      <c r="N210" s="341">
        <v>0.0</v>
      </c>
      <c r="O210" s="353"/>
      <c r="P210" s="375"/>
      <c r="Q210" s="354"/>
      <c r="R210" s="355"/>
      <c r="T210" s="367"/>
      <c r="U210" s="296"/>
      <c r="V210" s="355"/>
    </row>
    <row r="211" ht="12.75" customHeight="1">
      <c r="A211" s="315" t="s">
        <v>562</v>
      </c>
      <c r="B211" s="341">
        <v>0.0</v>
      </c>
      <c r="C211" s="341">
        <v>0.0</v>
      </c>
      <c r="D211" s="316">
        <v>1.0</v>
      </c>
      <c r="E211" s="341">
        <v>0.0</v>
      </c>
      <c r="F211" s="341">
        <v>0.0</v>
      </c>
      <c r="G211" s="341">
        <v>0.0</v>
      </c>
      <c r="H211" s="341">
        <v>0.0</v>
      </c>
      <c r="I211" s="341">
        <v>0.0</v>
      </c>
      <c r="J211" s="341">
        <v>0.0</v>
      </c>
      <c r="K211" s="341">
        <v>0.0</v>
      </c>
      <c r="L211" s="373">
        <v>0.0</v>
      </c>
      <c r="M211" s="374">
        <v>0.0</v>
      </c>
      <c r="N211" s="341">
        <v>0.0</v>
      </c>
      <c r="O211" s="353"/>
      <c r="P211" s="375"/>
      <c r="Q211" s="354"/>
      <c r="R211" s="355"/>
      <c r="T211" s="367"/>
      <c r="U211" s="296"/>
      <c r="V211" s="355"/>
    </row>
    <row r="212" ht="12.75" customHeight="1">
      <c r="A212" s="315" t="s">
        <v>592</v>
      </c>
      <c r="B212" s="341">
        <v>0.0</v>
      </c>
      <c r="C212" s="341">
        <v>0.0</v>
      </c>
      <c r="D212" s="341">
        <v>0.0</v>
      </c>
      <c r="E212" s="316">
        <v>1.0</v>
      </c>
      <c r="F212" s="341">
        <v>0.0</v>
      </c>
      <c r="G212" s="341">
        <v>0.0</v>
      </c>
      <c r="H212" s="341">
        <v>0.0</v>
      </c>
      <c r="I212" s="341">
        <v>0.0</v>
      </c>
      <c r="J212" s="341">
        <v>0.0</v>
      </c>
      <c r="K212" s="341">
        <v>0.0</v>
      </c>
      <c r="L212" s="373">
        <v>0.0</v>
      </c>
      <c r="M212" s="374">
        <v>0.0</v>
      </c>
      <c r="N212" s="341">
        <v>0.0</v>
      </c>
      <c r="O212" s="353"/>
      <c r="P212" s="375"/>
      <c r="Q212" s="354"/>
      <c r="R212" s="355"/>
      <c r="T212" s="367"/>
      <c r="U212" s="296"/>
      <c r="V212" s="355"/>
    </row>
    <row r="213" ht="12.75" customHeight="1">
      <c r="A213" s="315" t="s">
        <v>621</v>
      </c>
      <c r="B213" s="341">
        <v>0.0</v>
      </c>
      <c r="C213" s="341">
        <v>0.0</v>
      </c>
      <c r="D213" s="341">
        <v>0.0</v>
      </c>
      <c r="E213" s="341">
        <v>0.0</v>
      </c>
      <c r="F213" s="316">
        <v>1.0</v>
      </c>
      <c r="G213" s="341">
        <v>0.0</v>
      </c>
      <c r="H213" s="341">
        <v>0.0</v>
      </c>
      <c r="I213" s="341">
        <v>0.0</v>
      </c>
      <c r="J213" s="341">
        <v>0.0</v>
      </c>
      <c r="K213" s="341">
        <v>0.0</v>
      </c>
      <c r="L213" s="373">
        <v>0.0</v>
      </c>
      <c r="M213" s="374">
        <v>0.0</v>
      </c>
      <c r="N213" s="341">
        <v>0.0</v>
      </c>
      <c r="O213" s="353"/>
      <c r="P213" s="375"/>
      <c r="Q213" s="354"/>
      <c r="R213" s="355"/>
      <c r="T213" s="367"/>
      <c r="U213" s="296"/>
      <c r="V213" s="355"/>
    </row>
    <row r="214" ht="12.75" customHeight="1">
      <c r="A214" s="315" t="s">
        <v>649</v>
      </c>
      <c r="B214" s="341">
        <v>0.0</v>
      </c>
      <c r="C214" s="341">
        <v>0.0</v>
      </c>
      <c r="D214" s="341">
        <v>0.0</v>
      </c>
      <c r="E214" s="341">
        <v>0.0</v>
      </c>
      <c r="F214" s="341">
        <v>0.0</v>
      </c>
      <c r="G214" s="316">
        <v>1.0</v>
      </c>
      <c r="H214" s="341">
        <v>0.0</v>
      </c>
      <c r="I214" s="341">
        <v>0.0</v>
      </c>
      <c r="J214" s="341">
        <v>0.0</v>
      </c>
      <c r="K214" s="341">
        <v>0.0</v>
      </c>
      <c r="L214" s="373">
        <v>0.0</v>
      </c>
      <c r="M214" s="374">
        <v>0.0</v>
      </c>
      <c r="N214" s="341">
        <v>0.0</v>
      </c>
      <c r="O214" s="353"/>
      <c r="P214" s="375"/>
      <c r="Q214" s="354"/>
      <c r="R214" s="355"/>
      <c r="T214" s="367"/>
      <c r="U214" s="296"/>
      <c r="V214" s="355"/>
    </row>
    <row r="215" ht="12.75" customHeight="1">
      <c r="A215" s="315" t="s">
        <v>673</v>
      </c>
      <c r="B215" s="341">
        <v>0.0</v>
      </c>
      <c r="C215" s="341">
        <v>0.0</v>
      </c>
      <c r="D215" s="341">
        <v>0.0</v>
      </c>
      <c r="E215" s="341">
        <v>0.0</v>
      </c>
      <c r="F215" s="341">
        <v>0.0</v>
      </c>
      <c r="G215" s="341">
        <v>0.0</v>
      </c>
      <c r="H215" s="316">
        <v>1.0</v>
      </c>
      <c r="I215" s="341">
        <v>0.0</v>
      </c>
      <c r="J215" s="341">
        <v>0.0</v>
      </c>
      <c r="K215" s="341">
        <v>0.0</v>
      </c>
      <c r="L215" s="373">
        <v>0.0</v>
      </c>
      <c r="M215" s="374">
        <v>0.0</v>
      </c>
      <c r="N215" s="341">
        <v>0.0</v>
      </c>
      <c r="O215" s="353"/>
      <c r="P215" s="375"/>
      <c r="Q215" s="354"/>
      <c r="R215" s="355"/>
      <c r="T215" s="367"/>
      <c r="U215" s="296"/>
      <c r="V215" s="355"/>
    </row>
    <row r="216" ht="12.75" customHeight="1">
      <c r="A216" s="315" t="s">
        <v>692</v>
      </c>
      <c r="B216" s="341">
        <v>0.0</v>
      </c>
      <c r="C216" s="341">
        <v>0.0</v>
      </c>
      <c r="D216" s="341">
        <v>0.0</v>
      </c>
      <c r="E216" s="341">
        <v>0.0</v>
      </c>
      <c r="F216" s="341">
        <v>0.0</v>
      </c>
      <c r="G216" s="341">
        <v>0.0</v>
      </c>
      <c r="H216" s="341">
        <v>0.0</v>
      </c>
      <c r="I216" s="316">
        <v>1.0</v>
      </c>
      <c r="J216" s="341">
        <v>0.0</v>
      </c>
      <c r="K216" s="341">
        <v>0.0</v>
      </c>
      <c r="L216" s="373">
        <v>0.0</v>
      </c>
      <c r="M216" s="374">
        <v>0.0</v>
      </c>
      <c r="N216" s="341">
        <v>0.0</v>
      </c>
      <c r="O216" s="353"/>
      <c r="P216" s="375"/>
      <c r="Q216" s="354"/>
      <c r="R216" s="355"/>
      <c r="T216" s="367"/>
      <c r="U216" s="296"/>
      <c r="V216" s="355"/>
    </row>
    <row r="217" ht="12.75" customHeight="1">
      <c r="M217" s="354"/>
      <c r="N217" s="296"/>
      <c r="O217" s="353"/>
      <c r="Q217" s="354"/>
      <c r="R217" s="355"/>
      <c r="T217" s="367"/>
      <c r="U217" s="296"/>
      <c r="V217" s="355"/>
    </row>
    <row r="218" ht="12.75" customHeight="1">
      <c r="A218" s="309" t="s">
        <v>729</v>
      </c>
      <c r="B218" s="371"/>
      <c r="M218" s="354"/>
      <c r="N218" s="296"/>
      <c r="O218" s="353"/>
      <c r="Q218" s="354"/>
      <c r="R218" s="355"/>
      <c r="T218" s="367"/>
      <c r="U218" s="296"/>
      <c r="V218" s="355"/>
    </row>
    <row r="219" ht="12.75" customHeight="1">
      <c r="A219" s="312" t="s">
        <v>730</v>
      </c>
      <c r="B219" s="313" t="s">
        <v>82</v>
      </c>
      <c r="C219" s="313" t="s">
        <v>68</v>
      </c>
      <c r="D219" s="313" t="s">
        <v>69</v>
      </c>
      <c r="E219" s="313" t="s">
        <v>70</v>
      </c>
      <c r="F219" s="313" t="s">
        <v>71</v>
      </c>
      <c r="G219" s="313" t="s">
        <v>72</v>
      </c>
      <c r="H219" s="313" t="s">
        <v>73</v>
      </c>
      <c r="I219" s="313" t="s">
        <v>74</v>
      </c>
      <c r="J219" s="313" t="s">
        <v>723</v>
      </c>
      <c r="K219" s="313" t="s">
        <v>724</v>
      </c>
      <c r="L219" s="313" t="s">
        <v>725</v>
      </c>
      <c r="M219" s="372" t="s">
        <v>726</v>
      </c>
      <c r="N219" s="313" t="s">
        <v>104</v>
      </c>
      <c r="O219" s="353"/>
      <c r="P219" s="313"/>
      <c r="Q219" s="354"/>
      <c r="R219" s="355"/>
      <c r="T219" s="367"/>
      <c r="U219" s="296"/>
      <c r="V219" s="355"/>
    </row>
    <row r="220" ht="12.75" customHeight="1">
      <c r="A220" s="315" t="s">
        <v>731</v>
      </c>
      <c r="B220" s="316">
        <v>250.0</v>
      </c>
      <c r="C220" s="341">
        <v>0.0</v>
      </c>
      <c r="D220" s="341">
        <v>0.0</v>
      </c>
      <c r="E220" s="341">
        <v>0.0</v>
      </c>
      <c r="F220" s="341">
        <v>0.0</v>
      </c>
      <c r="G220" s="341">
        <v>0.0</v>
      </c>
      <c r="H220" s="341">
        <v>0.0</v>
      </c>
      <c r="I220" s="341">
        <v>0.0</v>
      </c>
      <c r="J220" s="341">
        <v>0.0</v>
      </c>
      <c r="K220" s="341">
        <v>0.0</v>
      </c>
      <c r="L220" s="373">
        <v>0.0</v>
      </c>
      <c r="M220" s="374">
        <v>0.0</v>
      </c>
      <c r="N220" s="341">
        <v>0.0</v>
      </c>
      <c r="O220" s="353"/>
      <c r="P220" s="375"/>
      <c r="Q220" s="354"/>
      <c r="R220" s="355"/>
      <c r="T220" s="367"/>
      <c r="U220" s="296"/>
      <c r="V220" s="355"/>
    </row>
    <row r="221" ht="12.75" customHeight="1">
      <c r="A221" s="315" t="s">
        <v>732</v>
      </c>
      <c r="B221" s="316">
        <v>400.0</v>
      </c>
      <c r="C221" s="341">
        <v>0.0</v>
      </c>
      <c r="D221" s="341">
        <v>0.0</v>
      </c>
      <c r="E221" s="341">
        <v>0.0</v>
      </c>
      <c r="F221" s="341">
        <v>0.0</v>
      </c>
      <c r="G221" s="341">
        <v>0.0</v>
      </c>
      <c r="H221" s="341">
        <v>0.0</v>
      </c>
      <c r="I221" s="341">
        <v>0.0</v>
      </c>
      <c r="J221" s="341">
        <v>0.0</v>
      </c>
      <c r="K221" s="341">
        <v>0.0</v>
      </c>
      <c r="L221" s="373">
        <v>0.0</v>
      </c>
      <c r="M221" s="374">
        <v>0.0</v>
      </c>
      <c r="N221" s="341">
        <v>0.0</v>
      </c>
      <c r="O221" s="353"/>
      <c r="P221" s="375"/>
      <c r="Q221" s="354"/>
      <c r="R221" s="355"/>
      <c r="T221" s="367"/>
      <c r="U221" s="296"/>
      <c r="V221" s="355"/>
    </row>
    <row r="222" ht="12.75" customHeight="1">
      <c r="A222" s="315" t="s">
        <v>733</v>
      </c>
      <c r="B222" s="316">
        <v>600.0</v>
      </c>
      <c r="C222" s="341">
        <v>0.0</v>
      </c>
      <c r="D222" s="341">
        <v>0.0</v>
      </c>
      <c r="E222" s="341">
        <v>0.0</v>
      </c>
      <c r="F222" s="341">
        <v>0.0</v>
      </c>
      <c r="G222" s="341">
        <v>0.0</v>
      </c>
      <c r="H222" s="341">
        <v>0.0</v>
      </c>
      <c r="I222" s="341">
        <v>0.0</v>
      </c>
      <c r="J222" s="341">
        <v>0.0</v>
      </c>
      <c r="K222" s="341">
        <v>0.0</v>
      </c>
      <c r="L222" s="373">
        <v>0.0</v>
      </c>
      <c r="M222" s="374">
        <v>0.0</v>
      </c>
      <c r="N222" s="341">
        <v>0.0</v>
      </c>
      <c r="O222" s="353"/>
      <c r="P222" s="375"/>
      <c r="Q222" s="354"/>
      <c r="R222" s="355"/>
      <c r="T222" s="367"/>
      <c r="U222" s="296"/>
      <c r="V222" s="355"/>
    </row>
    <row r="223" ht="12.75" customHeight="1">
      <c r="M223" s="354"/>
      <c r="N223" s="296"/>
      <c r="O223" s="353"/>
      <c r="Q223" s="354"/>
      <c r="R223" s="355"/>
      <c r="T223" s="367"/>
      <c r="U223" s="296"/>
      <c r="V223" s="355"/>
    </row>
    <row r="224" ht="12.75" customHeight="1">
      <c r="M224" s="354"/>
      <c r="N224" s="296"/>
      <c r="O224" s="353"/>
      <c r="Q224" s="354"/>
      <c r="R224" s="355"/>
      <c r="T224" s="367"/>
      <c r="U224" s="296"/>
      <c r="V224" s="355"/>
    </row>
    <row r="225" ht="12.75" customHeight="1">
      <c r="M225" s="354"/>
      <c r="N225" s="296"/>
      <c r="O225" s="353"/>
      <c r="Q225" s="354"/>
      <c r="R225" s="355"/>
      <c r="T225" s="367"/>
      <c r="U225" s="296"/>
      <c r="V225" s="355"/>
    </row>
    <row r="226" ht="12.75" customHeight="1">
      <c r="M226" s="354"/>
      <c r="N226" s="296"/>
      <c r="O226" s="353"/>
      <c r="Q226" s="354"/>
      <c r="R226" s="355"/>
      <c r="T226" s="367"/>
      <c r="U226" s="296"/>
      <c r="V226" s="355"/>
    </row>
    <row r="227" ht="12.75" customHeight="1">
      <c r="M227" s="354"/>
      <c r="N227" s="296"/>
      <c r="O227" s="353"/>
      <c r="Q227" s="354"/>
      <c r="R227" s="355"/>
      <c r="T227" s="367"/>
      <c r="U227" s="296"/>
      <c r="V227" s="355"/>
    </row>
    <row r="228" ht="12.75" customHeight="1">
      <c r="M228" s="354"/>
      <c r="N228" s="296"/>
      <c r="O228" s="353"/>
      <c r="Q228" s="354"/>
      <c r="R228" s="355"/>
      <c r="T228" s="367"/>
      <c r="U228" s="296"/>
      <c r="V228" s="355"/>
    </row>
    <row r="229" ht="12.75" customHeight="1">
      <c r="M229" s="354"/>
      <c r="N229" s="296"/>
      <c r="O229" s="353"/>
      <c r="Q229" s="354"/>
      <c r="R229" s="355"/>
      <c r="T229" s="367"/>
      <c r="U229" s="296"/>
      <c r="V229" s="355"/>
    </row>
    <row r="230" ht="12.75" customHeight="1">
      <c r="M230" s="354"/>
      <c r="N230" s="296"/>
      <c r="O230" s="353"/>
      <c r="Q230" s="354"/>
      <c r="R230" s="355"/>
      <c r="T230" s="367"/>
      <c r="U230" s="296"/>
      <c r="V230" s="355"/>
    </row>
    <row r="231" ht="12.75" customHeight="1">
      <c r="M231" s="354"/>
      <c r="N231" s="296"/>
      <c r="O231" s="353"/>
      <c r="Q231" s="354"/>
      <c r="R231" s="355"/>
      <c r="T231" s="367"/>
      <c r="U231" s="296"/>
      <c r="V231" s="355"/>
    </row>
    <row r="232" ht="12.75" customHeight="1">
      <c r="M232" s="354"/>
      <c r="N232" s="296"/>
      <c r="O232" s="353"/>
      <c r="Q232" s="354"/>
      <c r="R232" s="355"/>
      <c r="T232" s="367"/>
      <c r="U232" s="296"/>
      <c r="V232" s="355"/>
    </row>
    <row r="233" ht="12.75" customHeight="1">
      <c r="M233" s="354"/>
      <c r="N233" s="296"/>
      <c r="O233" s="353"/>
      <c r="Q233" s="354"/>
      <c r="R233" s="355"/>
      <c r="T233" s="367"/>
      <c r="U233" s="296"/>
      <c r="V233" s="355"/>
    </row>
    <row r="234" ht="12.75" customHeight="1">
      <c r="M234" s="354"/>
      <c r="N234" s="296"/>
      <c r="O234" s="353"/>
      <c r="Q234" s="354"/>
      <c r="R234" s="355"/>
      <c r="T234" s="367"/>
      <c r="U234" s="296"/>
      <c r="V234" s="355"/>
    </row>
    <row r="235" ht="12.75" customHeight="1">
      <c r="M235" s="354"/>
      <c r="N235" s="296"/>
      <c r="O235" s="353"/>
      <c r="Q235" s="354"/>
      <c r="R235" s="355"/>
      <c r="T235" s="367"/>
      <c r="U235" s="296"/>
      <c r="V235" s="355"/>
    </row>
    <row r="236" ht="12.75" customHeight="1">
      <c r="M236" s="354"/>
      <c r="N236" s="296"/>
      <c r="O236" s="353"/>
      <c r="Q236" s="354"/>
      <c r="R236" s="355"/>
      <c r="T236" s="367"/>
      <c r="U236" s="296"/>
      <c r="V236" s="355"/>
    </row>
    <row r="237" ht="12.75" customHeight="1">
      <c r="M237" s="354"/>
      <c r="N237" s="296"/>
      <c r="O237" s="353"/>
      <c r="Q237" s="354"/>
      <c r="R237" s="355"/>
      <c r="T237" s="367"/>
      <c r="U237" s="296"/>
      <c r="V237" s="355"/>
    </row>
    <row r="238" ht="12.75" customHeight="1">
      <c r="M238" s="354"/>
      <c r="N238" s="296"/>
      <c r="O238" s="353"/>
      <c r="Q238" s="354"/>
      <c r="R238" s="355"/>
      <c r="T238" s="367"/>
      <c r="U238" s="296"/>
      <c r="V238" s="355"/>
    </row>
    <row r="239" ht="12.75" customHeight="1">
      <c r="M239" s="354"/>
      <c r="N239" s="296"/>
      <c r="O239" s="353"/>
      <c r="Q239" s="354"/>
      <c r="R239" s="355"/>
      <c r="T239" s="367"/>
      <c r="U239" s="296"/>
      <c r="V239" s="355"/>
    </row>
    <row r="240" ht="12.75" customHeight="1">
      <c r="M240" s="354"/>
      <c r="N240" s="296"/>
      <c r="O240" s="353"/>
      <c r="Q240" s="354"/>
      <c r="R240" s="355"/>
      <c r="T240" s="367"/>
      <c r="U240" s="296"/>
      <c r="V240" s="355"/>
    </row>
    <row r="241" ht="12.75" customHeight="1">
      <c r="M241" s="354"/>
      <c r="N241" s="296"/>
      <c r="O241" s="353"/>
      <c r="Q241" s="354"/>
      <c r="R241" s="355"/>
      <c r="T241" s="367"/>
      <c r="U241" s="296"/>
      <c r="V241" s="355"/>
    </row>
    <row r="242" ht="12.75" customHeight="1">
      <c r="M242" s="354"/>
      <c r="N242" s="296"/>
      <c r="O242" s="353"/>
      <c r="Q242" s="354"/>
      <c r="R242" s="355"/>
      <c r="T242" s="367"/>
      <c r="U242" s="296"/>
      <c r="V242" s="355"/>
    </row>
    <row r="243" ht="12.75" customHeight="1">
      <c r="M243" s="354"/>
      <c r="N243" s="296"/>
      <c r="O243" s="353"/>
      <c r="Q243" s="354"/>
      <c r="R243" s="355"/>
      <c r="T243" s="367"/>
      <c r="U243" s="296"/>
      <c r="V243" s="355"/>
    </row>
    <row r="244" ht="12.75" customHeight="1">
      <c r="M244" s="354"/>
      <c r="N244" s="296"/>
      <c r="O244" s="353"/>
      <c r="Q244" s="354"/>
      <c r="R244" s="355"/>
      <c r="T244" s="367"/>
      <c r="U244" s="296"/>
      <c r="V244" s="355"/>
    </row>
    <row r="245" ht="12.75" customHeight="1">
      <c r="M245" s="354"/>
      <c r="N245" s="296"/>
      <c r="O245" s="353"/>
      <c r="Q245" s="354"/>
      <c r="R245" s="355"/>
      <c r="T245" s="367"/>
      <c r="U245" s="296"/>
      <c r="V245" s="355"/>
    </row>
    <row r="246" ht="12.75" customHeight="1">
      <c r="M246" s="354"/>
      <c r="N246" s="296"/>
      <c r="O246" s="353"/>
      <c r="Q246" s="354"/>
      <c r="R246" s="355"/>
      <c r="T246" s="367"/>
      <c r="U246" s="296"/>
      <c r="V246" s="355"/>
    </row>
    <row r="247" ht="12.75" customHeight="1">
      <c r="M247" s="354"/>
      <c r="N247" s="296"/>
      <c r="O247" s="353"/>
      <c r="Q247" s="354"/>
      <c r="R247" s="355"/>
      <c r="T247" s="367"/>
      <c r="U247" s="296"/>
      <c r="V247" s="355"/>
    </row>
    <row r="248" ht="12.75" customHeight="1">
      <c r="M248" s="354"/>
      <c r="N248" s="296"/>
      <c r="O248" s="353"/>
      <c r="Q248" s="354"/>
      <c r="R248" s="355"/>
      <c r="T248" s="367"/>
      <c r="U248" s="296"/>
      <c r="V248" s="355"/>
    </row>
    <row r="249" ht="12.75" customHeight="1">
      <c r="M249" s="354"/>
      <c r="N249" s="296"/>
      <c r="O249" s="353"/>
      <c r="Q249" s="354"/>
      <c r="R249" s="355"/>
      <c r="T249" s="367"/>
      <c r="U249" s="296"/>
      <c r="V249" s="355"/>
    </row>
    <row r="250" ht="12.75" customHeight="1">
      <c r="M250" s="354"/>
      <c r="N250" s="296"/>
      <c r="O250" s="353"/>
      <c r="Q250" s="354"/>
      <c r="R250" s="355"/>
      <c r="T250" s="367"/>
      <c r="U250" s="296"/>
      <c r="V250" s="355"/>
    </row>
    <row r="251" ht="12.75" customHeight="1">
      <c r="M251" s="354"/>
      <c r="N251" s="296"/>
      <c r="O251" s="353"/>
      <c r="Q251" s="354"/>
      <c r="R251" s="355"/>
      <c r="T251" s="367"/>
      <c r="U251" s="296"/>
      <c r="V251" s="355"/>
    </row>
    <row r="252" ht="12.75" customHeight="1">
      <c r="M252" s="354"/>
      <c r="N252" s="296"/>
      <c r="O252" s="353"/>
      <c r="Q252" s="354"/>
      <c r="R252" s="355"/>
      <c r="T252" s="367"/>
      <c r="U252" s="296"/>
      <c r="V252" s="355"/>
    </row>
    <row r="253" ht="12.75" customHeight="1">
      <c r="M253" s="354"/>
      <c r="N253" s="296"/>
      <c r="O253" s="353"/>
      <c r="Q253" s="354"/>
      <c r="R253" s="355"/>
      <c r="T253" s="367"/>
      <c r="U253" s="296"/>
      <c r="V253" s="355"/>
    </row>
    <row r="254" ht="12.75" customHeight="1">
      <c r="M254" s="354"/>
      <c r="N254" s="296"/>
      <c r="O254" s="353"/>
      <c r="Q254" s="354"/>
      <c r="R254" s="355"/>
      <c r="T254" s="367"/>
      <c r="U254" s="296"/>
      <c r="V254" s="355"/>
    </row>
    <row r="255" ht="12.75" customHeight="1">
      <c r="M255" s="354"/>
      <c r="N255" s="296"/>
      <c r="O255" s="353"/>
      <c r="Q255" s="354"/>
      <c r="R255" s="355"/>
      <c r="T255" s="367"/>
      <c r="U255" s="296"/>
      <c r="V255" s="355"/>
    </row>
    <row r="256" ht="12.75" customHeight="1">
      <c r="M256" s="354"/>
      <c r="N256" s="296"/>
      <c r="O256" s="353"/>
      <c r="Q256" s="354"/>
      <c r="R256" s="355"/>
      <c r="T256" s="367"/>
      <c r="U256" s="296"/>
      <c r="V256" s="355"/>
    </row>
    <row r="257" ht="12.75" customHeight="1">
      <c r="M257" s="354"/>
      <c r="N257" s="296"/>
      <c r="O257" s="353"/>
      <c r="Q257" s="354"/>
      <c r="R257" s="355"/>
      <c r="T257" s="367"/>
      <c r="U257" s="296"/>
      <c r="V257" s="355"/>
    </row>
    <row r="258" ht="12.75" customHeight="1">
      <c r="M258" s="354"/>
      <c r="N258" s="296"/>
      <c r="O258" s="353"/>
      <c r="Q258" s="354"/>
      <c r="R258" s="355"/>
      <c r="T258" s="367"/>
      <c r="U258" s="296"/>
      <c r="V258" s="355"/>
    </row>
    <row r="259" ht="12.75" customHeight="1">
      <c r="M259" s="354"/>
      <c r="N259" s="296"/>
      <c r="O259" s="353"/>
      <c r="Q259" s="354"/>
      <c r="R259" s="355"/>
      <c r="T259" s="367"/>
      <c r="U259" s="296"/>
      <c r="V259" s="355"/>
    </row>
    <row r="260" ht="12.75" customHeight="1">
      <c r="M260" s="354"/>
      <c r="N260" s="296"/>
      <c r="O260" s="353"/>
      <c r="Q260" s="354"/>
      <c r="R260" s="355"/>
      <c r="T260" s="367"/>
      <c r="U260" s="296"/>
      <c r="V260" s="355"/>
    </row>
    <row r="261" ht="12.75" customHeight="1">
      <c r="M261" s="354"/>
      <c r="N261" s="296"/>
      <c r="O261" s="353"/>
      <c r="Q261" s="354"/>
      <c r="R261" s="355"/>
      <c r="T261" s="367"/>
      <c r="U261" s="296"/>
      <c r="V261" s="355"/>
    </row>
    <row r="262" ht="12.75" customHeight="1">
      <c r="M262" s="354"/>
      <c r="N262" s="296"/>
      <c r="O262" s="353"/>
      <c r="Q262" s="354"/>
      <c r="R262" s="355"/>
      <c r="T262" s="367"/>
      <c r="U262" s="296"/>
      <c r="V262" s="355"/>
    </row>
    <row r="263" ht="12.75" customHeight="1">
      <c r="M263" s="354"/>
      <c r="N263" s="296"/>
      <c r="O263" s="353"/>
      <c r="Q263" s="354"/>
      <c r="R263" s="355"/>
      <c r="T263" s="367"/>
      <c r="U263" s="296"/>
      <c r="V263" s="355"/>
    </row>
    <row r="264" ht="12.75" customHeight="1">
      <c r="M264" s="354"/>
      <c r="N264" s="296"/>
      <c r="O264" s="353"/>
      <c r="Q264" s="354"/>
      <c r="R264" s="355"/>
      <c r="T264" s="367"/>
      <c r="U264" s="296"/>
      <c r="V264" s="355"/>
    </row>
    <row r="265" ht="12.75" customHeight="1">
      <c r="M265" s="354"/>
      <c r="N265" s="296"/>
      <c r="O265" s="353"/>
      <c r="Q265" s="354"/>
      <c r="R265" s="355"/>
      <c r="T265" s="367"/>
      <c r="U265" s="296"/>
      <c r="V265" s="355"/>
    </row>
    <row r="266" ht="12.75" customHeight="1">
      <c r="M266" s="354"/>
      <c r="N266" s="296"/>
      <c r="O266" s="353"/>
      <c r="Q266" s="354"/>
      <c r="R266" s="355"/>
      <c r="T266" s="367"/>
      <c r="U266" s="296"/>
      <c r="V266" s="355"/>
    </row>
    <row r="267" ht="12.75" customHeight="1">
      <c r="M267" s="354"/>
      <c r="N267" s="296"/>
      <c r="O267" s="353"/>
      <c r="Q267" s="354"/>
      <c r="R267" s="355"/>
      <c r="T267" s="367"/>
      <c r="U267" s="296"/>
      <c r="V267" s="355"/>
    </row>
    <row r="268" ht="12.75" customHeight="1">
      <c r="M268" s="354"/>
      <c r="N268" s="296"/>
      <c r="O268" s="353"/>
      <c r="Q268" s="354"/>
      <c r="R268" s="355"/>
      <c r="T268" s="367"/>
      <c r="U268" s="296"/>
      <c r="V268" s="355"/>
    </row>
    <row r="269" ht="12.75" customHeight="1">
      <c r="M269" s="354"/>
      <c r="N269" s="296"/>
      <c r="O269" s="353"/>
      <c r="Q269" s="354"/>
      <c r="R269" s="355"/>
      <c r="T269" s="367"/>
      <c r="U269" s="296"/>
      <c r="V269" s="355"/>
    </row>
    <row r="270" ht="12.75" customHeight="1">
      <c r="M270" s="354"/>
      <c r="N270" s="296"/>
      <c r="O270" s="353"/>
      <c r="Q270" s="354"/>
      <c r="R270" s="355"/>
      <c r="T270" s="367"/>
      <c r="U270" s="296"/>
      <c r="V270" s="355"/>
    </row>
    <row r="271" ht="12.75" customHeight="1">
      <c r="M271" s="354"/>
      <c r="N271" s="296"/>
      <c r="O271" s="353"/>
      <c r="Q271" s="354"/>
      <c r="R271" s="355"/>
      <c r="T271" s="367"/>
      <c r="U271" s="296"/>
      <c r="V271" s="355"/>
    </row>
    <row r="272" ht="12.75" customHeight="1">
      <c r="M272" s="354"/>
      <c r="N272" s="296"/>
      <c r="O272" s="353"/>
      <c r="Q272" s="354"/>
      <c r="R272" s="355"/>
      <c r="T272" s="367"/>
      <c r="U272" s="296"/>
      <c r="V272" s="355"/>
    </row>
    <row r="273" ht="12.75" customHeight="1">
      <c r="M273" s="354"/>
      <c r="N273" s="296"/>
      <c r="O273" s="353"/>
      <c r="Q273" s="354"/>
      <c r="R273" s="355"/>
      <c r="T273" s="367"/>
      <c r="U273" s="296"/>
      <c r="V273" s="355"/>
    </row>
    <row r="274" ht="12.75" customHeight="1">
      <c r="M274" s="354"/>
      <c r="N274" s="296"/>
      <c r="O274" s="353"/>
      <c r="Q274" s="354"/>
      <c r="R274" s="355"/>
      <c r="T274" s="367"/>
      <c r="U274" s="296"/>
      <c r="V274" s="355"/>
    </row>
    <row r="275" ht="12.75" customHeight="1">
      <c r="M275" s="354"/>
      <c r="N275" s="296"/>
      <c r="O275" s="353"/>
      <c r="Q275" s="354"/>
      <c r="R275" s="355"/>
      <c r="T275" s="367"/>
      <c r="U275" s="296"/>
      <c r="V275" s="355"/>
    </row>
    <row r="276" ht="12.75" customHeight="1">
      <c r="M276" s="354"/>
      <c r="N276" s="296"/>
      <c r="O276" s="353"/>
      <c r="Q276" s="354"/>
      <c r="R276" s="355"/>
      <c r="T276" s="367"/>
      <c r="U276" s="296"/>
      <c r="V276" s="355"/>
    </row>
    <row r="277" ht="12.75" customHeight="1">
      <c r="M277" s="354"/>
      <c r="N277" s="296"/>
      <c r="O277" s="353"/>
      <c r="Q277" s="354"/>
      <c r="R277" s="355"/>
      <c r="T277" s="367"/>
      <c r="U277" s="296"/>
      <c r="V277" s="355"/>
    </row>
    <row r="278" ht="12.75" customHeight="1">
      <c r="M278" s="354"/>
      <c r="N278" s="296"/>
      <c r="O278" s="353"/>
      <c r="Q278" s="354"/>
      <c r="R278" s="355"/>
      <c r="T278" s="367"/>
      <c r="U278" s="296"/>
      <c r="V278" s="355"/>
    </row>
    <row r="279" ht="12.75" customHeight="1">
      <c r="M279" s="354"/>
      <c r="N279" s="296"/>
      <c r="O279" s="353"/>
      <c r="Q279" s="354"/>
      <c r="R279" s="355"/>
      <c r="T279" s="367"/>
      <c r="U279" s="296"/>
      <c r="V279" s="355"/>
    </row>
    <row r="280" ht="12.75" customHeight="1">
      <c r="M280" s="354"/>
      <c r="N280" s="296"/>
      <c r="O280" s="353"/>
      <c r="Q280" s="354"/>
      <c r="R280" s="355"/>
      <c r="T280" s="367"/>
      <c r="U280" s="296"/>
      <c r="V280" s="355"/>
    </row>
    <row r="281" ht="12.75" customHeight="1">
      <c r="M281" s="354"/>
      <c r="N281" s="296"/>
      <c r="O281" s="353"/>
      <c r="Q281" s="354"/>
      <c r="R281" s="355"/>
      <c r="T281" s="367"/>
      <c r="U281" s="296"/>
      <c r="V281" s="355"/>
    </row>
    <row r="282" ht="12.75" customHeight="1">
      <c r="M282" s="354"/>
      <c r="N282" s="296"/>
      <c r="O282" s="353"/>
      <c r="Q282" s="354"/>
      <c r="R282" s="355"/>
      <c r="T282" s="367"/>
      <c r="U282" s="296"/>
      <c r="V282" s="355"/>
    </row>
    <row r="283" ht="12.75" customHeight="1">
      <c r="M283" s="354"/>
      <c r="N283" s="296"/>
      <c r="O283" s="353"/>
      <c r="Q283" s="354"/>
      <c r="R283" s="355"/>
      <c r="T283" s="367"/>
      <c r="U283" s="296"/>
      <c r="V283" s="355"/>
    </row>
    <row r="284" ht="12.75" customHeight="1">
      <c r="M284" s="354"/>
      <c r="N284" s="296"/>
      <c r="O284" s="353"/>
      <c r="Q284" s="354"/>
      <c r="R284" s="355"/>
      <c r="T284" s="367"/>
      <c r="U284" s="296"/>
      <c r="V284" s="355"/>
    </row>
    <row r="285" ht="12.75" customHeight="1">
      <c r="M285" s="354"/>
      <c r="N285" s="296"/>
      <c r="O285" s="353"/>
      <c r="Q285" s="354"/>
      <c r="R285" s="355"/>
      <c r="T285" s="367"/>
      <c r="U285" s="296"/>
      <c r="V285" s="355"/>
    </row>
    <row r="286" ht="12.75" customHeight="1">
      <c r="M286" s="354"/>
      <c r="N286" s="296"/>
      <c r="O286" s="353"/>
      <c r="Q286" s="354"/>
      <c r="R286" s="355"/>
      <c r="T286" s="367"/>
      <c r="U286" s="296"/>
      <c r="V286" s="355"/>
    </row>
    <row r="287" ht="12.75" customHeight="1">
      <c r="M287" s="354"/>
      <c r="N287" s="296"/>
      <c r="O287" s="353"/>
      <c r="Q287" s="354"/>
      <c r="R287" s="355"/>
      <c r="T287" s="367"/>
      <c r="U287" s="296"/>
      <c r="V287" s="355"/>
    </row>
    <row r="288" ht="12.75" customHeight="1">
      <c r="M288" s="354"/>
      <c r="N288" s="296"/>
      <c r="O288" s="353"/>
      <c r="Q288" s="354"/>
      <c r="R288" s="355"/>
      <c r="T288" s="367"/>
      <c r="U288" s="296"/>
      <c r="V288" s="355"/>
    </row>
    <row r="289" ht="12.75" customHeight="1">
      <c r="M289" s="354"/>
      <c r="N289" s="296"/>
      <c r="O289" s="353"/>
      <c r="Q289" s="354"/>
      <c r="R289" s="355"/>
      <c r="T289" s="367"/>
      <c r="U289" s="296"/>
      <c r="V289" s="355"/>
    </row>
    <row r="290" ht="12.75" customHeight="1">
      <c r="M290" s="354"/>
      <c r="N290" s="296"/>
      <c r="O290" s="353"/>
      <c r="Q290" s="354"/>
      <c r="R290" s="355"/>
      <c r="T290" s="367"/>
      <c r="U290" s="296"/>
      <c r="V290" s="355"/>
    </row>
    <row r="291" ht="12.75" customHeight="1">
      <c r="M291" s="354"/>
      <c r="N291" s="296"/>
      <c r="O291" s="353"/>
      <c r="Q291" s="354"/>
      <c r="R291" s="355"/>
      <c r="T291" s="367"/>
      <c r="U291" s="296"/>
      <c r="V291" s="355"/>
    </row>
    <row r="292" ht="12.75" customHeight="1">
      <c r="M292" s="354"/>
      <c r="N292" s="296"/>
      <c r="O292" s="353"/>
      <c r="Q292" s="354"/>
      <c r="R292" s="355"/>
      <c r="T292" s="367"/>
      <c r="U292" s="296"/>
      <c r="V292" s="355"/>
    </row>
    <row r="293" ht="12.75" customHeight="1">
      <c r="M293" s="354"/>
      <c r="N293" s="296"/>
      <c r="O293" s="353"/>
      <c r="Q293" s="354"/>
      <c r="R293" s="355"/>
      <c r="T293" s="367"/>
      <c r="U293" s="296"/>
      <c r="V293" s="355"/>
    </row>
    <row r="294" ht="12.75" customHeight="1">
      <c r="M294" s="354"/>
      <c r="N294" s="296"/>
      <c r="O294" s="353"/>
      <c r="Q294" s="354"/>
      <c r="R294" s="355"/>
      <c r="T294" s="367"/>
      <c r="U294" s="296"/>
      <c r="V294" s="355"/>
    </row>
    <row r="295" ht="12.75" customHeight="1">
      <c r="M295" s="354"/>
      <c r="N295" s="296"/>
      <c r="O295" s="353"/>
      <c r="Q295" s="354"/>
      <c r="R295" s="355"/>
      <c r="T295" s="367"/>
      <c r="U295" s="296"/>
      <c r="V295" s="355"/>
    </row>
    <row r="296" ht="12.75" customHeight="1">
      <c r="M296" s="354"/>
      <c r="N296" s="296"/>
      <c r="O296" s="353"/>
      <c r="Q296" s="354"/>
      <c r="R296" s="355"/>
      <c r="T296" s="367"/>
      <c r="U296" s="296"/>
      <c r="V296" s="355"/>
    </row>
    <row r="297" ht="12.75" customHeight="1">
      <c r="M297" s="354"/>
      <c r="N297" s="296"/>
      <c r="O297" s="353"/>
      <c r="Q297" s="354"/>
      <c r="R297" s="355"/>
      <c r="T297" s="367"/>
      <c r="U297" s="296"/>
      <c r="V297" s="355"/>
    </row>
    <row r="298" ht="12.75" customHeight="1">
      <c r="M298" s="354"/>
      <c r="N298" s="296"/>
      <c r="O298" s="353"/>
      <c r="Q298" s="354"/>
      <c r="R298" s="355"/>
      <c r="T298" s="367"/>
      <c r="U298" s="296"/>
      <c r="V298" s="355"/>
    </row>
    <row r="299" ht="12.75" customHeight="1">
      <c r="M299" s="354"/>
      <c r="N299" s="296"/>
      <c r="O299" s="353"/>
      <c r="Q299" s="354"/>
      <c r="R299" s="355"/>
      <c r="T299" s="367"/>
      <c r="U299" s="296"/>
      <c r="V299" s="355"/>
    </row>
    <row r="300" ht="12.75" customHeight="1">
      <c r="M300" s="354"/>
      <c r="N300" s="296"/>
      <c r="O300" s="353"/>
      <c r="Q300" s="354"/>
      <c r="R300" s="355"/>
      <c r="T300" s="367"/>
      <c r="U300" s="296"/>
      <c r="V300" s="355"/>
    </row>
    <row r="301" ht="12.75" customHeight="1">
      <c r="M301" s="354"/>
      <c r="N301" s="296"/>
      <c r="O301" s="353"/>
      <c r="Q301" s="354"/>
      <c r="R301" s="355"/>
      <c r="T301" s="367"/>
      <c r="U301" s="296"/>
      <c r="V301" s="355"/>
    </row>
    <row r="302" ht="12.75" customHeight="1">
      <c r="M302" s="354"/>
      <c r="N302" s="296"/>
      <c r="O302" s="353"/>
      <c r="Q302" s="354"/>
      <c r="R302" s="355"/>
      <c r="T302" s="367"/>
      <c r="U302" s="296"/>
      <c r="V302" s="355"/>
    </row>
    <row r="303" ht="12.75" customHeight="1">
      <c r="M303" s="354"/>
      <c r="N303" s="296"/>
      <c r="O303" s="353"/>
      <c r="Q303" s="354"/>
      <c r="R303" s="355"/>
      <c r="T303" s="367"/>
      <c r="U303" s="296"/>
      <c r="V303" s="355"/>
    </row>
    <row r="304" ht="12.75" customHeight="1">
      <c r="M304" s="354"/>
      <c r="N304" s="296"/>
      <c r="O304" s="353"/>
      <c r="Q304" s="354"/>
      <c r="R304" s="355"/>
      <c r="T304" s="367"/>
      <c r="U304" s="296"/>
      <c r="V304" s="355"/>
    </row>
    <row r="305" ht="12.75" customHeight="1">
      <c r="M305" s="354"/>
      <c r="N305" s="296"/>
      <c r="O305" s="353"/>
      <c r="Q305" s="354"/>
      <c r="R305" s="355"/>
      <c r="T305" s="367"/>
      <c r="U305" s="296"/>
      <c r="V305" s="355"/>
    </row>
    <row r="306" ht="12.75" customHeight="1">
      <c r="M306" s="354"/>
      <c r="N306" s="296"/>
      <c r="O306" s="353"/>
      <c r="Q306" s="354"/>
      <c r="R306" s="355"/>
      <c r="T306" s="367"/>
      <c r="U306" s="296"/>
      <c r="V306" s="355"/>
    </row>
    <row r="307" ht="12.75" customHeight="1">
      <c r="M307" s="354"/>
      <c r="N307" s="296"/>
      <c r="O307" s="353"/>
      <c r="Q307" s="354"/>
      <c r="R307" s="355"/>
      <c r="T307" s="367"/>
      <c r="U307" s="296"/>
      <c r="V307" s="355"/>
    </row>
    <row r="308" ht="12.75" customHeight="1">
      <c r="M308" s="354"/>
      <c r="N308" s="296"/>
      <c r="O308" s="353"/>
      <c r="Q308" s="354"/>
      <c r="R308" s="355"/>
      <c r="T308" s="367"/>
      <c r="U308" s="296"/>
      <c r="V308" s="355"/>
    </row>
    <row r="309" ht="12.75" customHeight="1">
      <c r="M309" s="354"/>
      <c r="N309" s="296"/>
      <c r="O309" s="353"/>
      <c r="Q309" s="354"/>
      <c r="R309" s="355"/>
      <c r="T309" s="367"/>
      <c r="U309" s="296"/>
      <c r="V309" s="355"/>
    </row>
    <row r="310" ht="12.75" customHeight="1">
      <c r="M310" s="354"/>
      <c r="N310" s="296"/>
      <c r="O310" s="353"/>
      <c r="Q310" s="354"/>
      <c r="R310" s="355"/>
      <c r="T310" s="367"/>
      <c r="U310" s="296"/>
      <c r="V310" s="355"/>
    </row>
    <row r="311" ht="12.75" customHeight="1">
      <c r="M311" s="354"/>
      <c r="N311" s="296"/>
      <c r="O311" s="353"/>
      <c r="Q311" s="354"/>
      <c r="R311" s="355"/>
      <c r="T311" s="367"/>
      <c r="U311" s="296"/>
      <c r="V311" s="355"/>
    </row>
    <row r="312" ht="12.75" customHeight="1">
      <c r="M312" s="354"/>
      <c r="N312" s="296"/>
      <c r="O312" s="353"/>
      <c r="Q312" s="354"/>
      <c r="R312" s="355"/>
      <c r="T312" s="367"/>
      <c r="U312" s="296"/>
      <c r="V312" s="355"/>
    </row>
    <row r="313" ht="12.75" customHeight="1">
      <c r="M313" s="354"/>
      <c r="N313" s="296"/>
      <c r="O313" s="353"/>
      <c r="Q313" s="354"/>
      <c r="R313" s="355"/>
      <c r="T313" s="367"/>
      <c r="U313" s="296"/>
      <c r="V313" s="355"/>
    </row>
    <row r="314" ht="12.75" customHeight="1">
      <c r="M314" s="354"/>
      <c r="N314" s="296"/>
      <c r="O314" s="353"/>
      <c r="Q314" s="354"/>
      <c r="R314" s="355"/>
      <c r="T314" s="367"/>
      <c r="U314" s="296"/>
      <c r="V314" s="355"/>
    </row>
    <row r="315" ht="12.75" customHeight="1">
      <c r="M315" s="354"/>
      <c r="N315" s="296"/>
      <c r="O315" s="353"/>
      <c r="Q315" s="354"/>
      <c r="R315" s="355"/>
      <c r="T315" s="367"/>
      <c r="U315" s="296"/>
      <c r="V315" s="355"/>
    </row>
    <row r="316" ht="12.75" customHeight="1">
      <c r="M316" s="354"/>
      <c r="N316" s="296"/>
      <c r="O316" s="353"/>
      <c r="Q316" s="354"/>
      <c r="R316" s="355"/>
      <c r="T316" s="367"/>
      <c r="U316" s="296"/>
      <c r="V316" s="355"/>
    </row>
    <row r="317" ht="12.75" customHeight="1">
      <c r="M317" s="354"/>
      <c r="N317" s="296"/>
      <c r="O317" s="353"/>
      <c r="Q317" s="354"/>
      <c r="R317" s="355"/>
      <c r="T317" s="367"/>
      <c r="U317" s="296"/>
      <c r="V317" s="355"/>
    </row>
    <row r="318" ht="12.75" customHeight="1">
      <c r="M318" s="354"/>
      <c r="N318" s="296"/>
      <c r="O318" s="353"/>
      <c r="Q318" s="354"/>
      <c r="R318" s="355"/>
      <c r="T318" s="367"/>
      <c r="U318" s="296"/>
      <c r="V318" s="355"/>
    </row>
    <row r="319" ht="12.75" customHeight="1">
      <c r="M319" s="354"/>
      <c r="N319" s="296"/>
      <c r="O319" s="353"/>
      <c r="Q319" s="354"/>
      <c r="R319" s="355"/>
      <c r="T319" s="367"/>
      <c r="U319" s="296"/>
      <c r="V319" s="355"/>
    </row>
    <row r="320" ht="12.75" customHeight="1">
      <c r="M320" s="354"/>
      <c r="N320" s="296"/>
      <c r="O320" s="353"/>
      <c r="Q320" s="354"/>
      <c r="R320" s="355"/>
      <c r="T320" s="367"/>
      <c r="U320" s="296"/>
      <c r="V320" s="355"/>
    </row>
    <row r="321" ht="12.75" customHeight="1">
      <c r="M321" s="354"/>
      <c r="N321" s="296"/>
      <c r="O321" s="353"/>
      <c r="Q321" s="354"/>
      <c r="R321" s="355"/>
      <c r="T321" s="367"/>
      <c r="U321" s="296"/>
      <c r="V321" s="355"/>
    </row>
    <row r="322" ht="12.75" customHeight="1">
      <c r="M322" s="354"/>
      <c r="N322" s="296"/>
      <c r="O322" s="353"/>
      <c r="Q322" s="354"/>
      <c r="R322" s="355"/>
      <c r="T322" s="367"/>
      <c r="U322" s="296"/>
      <c r="V322" s="355"/>
    </row>
    <row r="323" ht="12.75" customHeight="1">
      <c r="M323" s="354"/>
      <c r="N323" s="296"/>
      <c r="O323" s="353"/>
      <c r="Q323" s="354"/>
      <c r="R323" s="355"/>
      <c r="T323" s="367"/>
      <c r="U323" s="296"/>
      <c r="V323" s="355"/>
    </row>
    <row r="324" ht="12.75" customHeight="1">
      <c r="M324" s="354"/>
      <c r="N324" s="296"/>
      <c r="O324" s="353"/>
      <c r="Q324" s="354"/>
      <c r="R324" s="355"/>
      <c r="T324" s="367"/>
      <c r="U324" s="296"/>
      <c r="V324" s="355"/>
    </row>
    <row r="325" ht="12.75" customHeight="1">
      <c r="M325" s="354"/>
      <c r="N325" s="296"/>
      <c r="O325" s="353"/>
      <c r="Q325" s="354"/>
      <c r="R325" s="355"/>
      <c r="T325" s="367"/>
      <c r="U325" s="296"/>
      <c r="V325" s="355"/>
    </row>
    <row r="326" ht="12.75" customHeight="1">
      <c r="M326" s="354"/>
      <c r="N326" s="296"/>
      <c r="O326" s="353"/>
      <c r="Q326" s="354"/>
      <c r="R326" s="355"/>
      <c r="T326" s="367"/>
      <c r="U326" s="296"/>
      <c r="V326" s="355"/>
    </row>
    <row r="327" ht="12.75" customHeight="1">
      <c r="M327" s="354"/>
      <c r="N327" s="296"/>
      <c r="O327" s="353"/>
      <c r="Q327" s="354"/>
      <c r="R327" s="355"/>
      <c r="T327" s="367"/>
      <c r="U327" s="296"/>
      <c r="V327" s="355"/>
    </row>
    <row r="328" ht="12.75" customHeight="1">
      <c r="M328" s="354"/>
      <c r="N328" s="296"/>
      <c r="O328" s="353"/>
      <c r="Q328" s="354"/>
      <c r="R328" s="355"/>
      <c r="T328" s="367"/>
      <c r="U328" s="296"/>
      <c r="V328" s="355"/>
    </row>
    <row r="329" ht="12.75" customHeight="1">
      <c r="M329" s="354"/>
      <c r="N329" s="296"/>
      <c r="O329" s="353"/>
      <c r="Q329" s="354"/>
      <c r="R329" s="355"/>
      <c r="T329" s="367"/>
      <c r="U329" s="296"/>
      <c r="V329" s="355"/>
    </row>
    <row r="330" ht="12.75" customHeight="1">
      <c r="M330" s="354"/>
      <c r="N330" s="296"/>
      <c r="O330" s="353"/>
      <c r="Q330" s="354"/>
      <c r="R330" s="355"/>
      <c r="T330" s="367"/>
      <c r="U330" s="296"/>
      <c r="V330" s="355"/>
    </row>
    <row r="331" ht="12.75" customHeight="1">
      <c r="M331" s="354"/>
      <c r="N331" s="296"/>
      <c r="O331" s="353"/>
      <c r="Q331" s="354"/>
      <c r="R331" s="355"/>
      <c r="T331" s="367"/>
      <c r="U331" s="296"/>
      <c r="V331" s="355"/>
    </row>
    <row r="332" ht="12.75" customHeight="1">
      <c r="M332" s="354"/>
      <c r="N332" s="296"/>
      <c r="O332" s="353"/>
      <c r="Q332" s="354"/>
      <c r="R332" s="355"/>
      <c r="T332" s="367"/>
      <c r="U332" s="296"/>
      <c r="V332" s="355"/>
    </row>
    <row r="333" ht="12.75" customHeight="1">
      <c r="M333" s="354"/>
      <c r="N333" s="296"/>
      <c r="O333" s="353"/>
      <c r="Q333" s="354"/>
      <c r="R333" s="355"/>
      <c r="T333" s="367"/>
      <c r="U333" s="296"/>
      <c r="V333" s="355"/>
    </row>
    <row r="334" ht="12.75" customHeight="1">
      <c r="M334" s="354"/>
      <c r="N334" s="296"/>
      <c r="O334" s="353"/>
      <c r="Q334" s="354"/>
      <c r="R334" s="355"/>
      <c r="T334" s="367"/>
      <c r="U334" s="296"/>
      <c r="V334" s="355"/>
    </row>
    <row r="335" ht="12.75" customHeight="1">
      <c r="M335" s="354"/>
      <c r="N335" s="296"/>
      <c r="O335" s="353"/>
      <c r="Q335" s="354"/>
      <c r="R335" s="355"/>
      <c r="T335" s="367"/>
      <c r="U335" s="296"/>
      <c r="V335" s="355"/>
    </row>
    <row r="336" ht="12.75" customHeight="1">
      <c r="M336" s="354"/>
      <c r="N336" s="296"/>
      <c r="O336" s="353"/>
      <c r="Q336" s="354"/>
      <c r="R336" s="355"/>
      <c r="T336" s="367"/>
      <c r="U336" s="296"/>
      <c r="V336" s="355"/>
    </row>
    <row r="337" ht="12.75" customHeight="1">
      <c r="M337" s="354"/>
      <c r="N337" s="296"/>
      <c r="O337" s="353"/>
      <c r="Q337" s="354"/>
      <c r="R337" s="355"/>
      <c r="T337" s="367"/>
      <c r="U337" s="296"/>
      <c r="V337" s="355"/>
    </row>
    <row r="338" ht="12.75" customHeight="1">
      <c r="M338" s="354"/>
      <c r="N338" s="296"/>
      <c r="O338" s="353"/>
      <c r="Q338" s="354"/>
      <c r="R338" s="355"/>
      <c r="T338" s="367"/>
      <c r="U338" s="296"/>
      <c r="V338" s="355"/>
    </row>
    <row r="339" ht="12.75" customHeight="1">
      <c r="M339" s="354"/>
      <c r="N339" s="296"/>
      <c r="O339" s="353"/>
      <c r="Q339" s="354"/>
      <c r="R339" s="355"/>
      <c r="T339" s="367"/>
      <c r="U339" s="296"/>
      <c r="V339" s="355"/>
    </row>
    <row r="340" ht="12.75" customHeight="1">
      <c r="M340" s="354"/>
      <c r="N340" s="296"/>
      <c r="O340" s="353"/>
      <c r="Q340" s="354"/>
      <c r="R340" s="355"/>
      <c r="T340" s="367"/>
      <c r="U340" s="296"/>
      <c r="V340" s="355"/>
    </row>
    <row r="341" ht="12.75" customHeight="1">
      <c r="M341" s="354"/>
      <c r="N341" s="296"/>
      <c r="O341" s="353"/>
      <c r="Q341" s="354"/>
      <c r="R341" s="355"/>
      <c r="T341" s="367"/>
      <c r="U341" s="296"/>
      <c r="V341" s="355"/>
    </row>
    <row r="342" ht="12.75" customHeight="1">
      <c r="M342" s="354"/>
      <c r="N342" s="296"/>
      <c r="O342" s="353"/>
      <c r="Q342" s="354"/>
      <c r="R342" s="355"/>
      <c r="T342" s="367"/>
      <c r="U342" s="296"/>
      <c r="V342" s="355"/>
    </row>
    <row r="343" ht="12.75" customHeight="1">
      <c r="M343" s="354"/>
      <c r="N343" s="296"/>
      <c r="O343" s="353"/>
      <c r="Q343" s="354"/>
      <c r="R343" s="355"/>
      <c r="T343" s="367"/>
      <c r="U343" s="296"/>
      <c r="V343" s="355"/>
    </row>
    <row r="344" ht="12.75" customHeight="1">
      <c r="M344" s="354"/>
      <c r="N344" s="296"/>
      <c r="O344" s="353"/>
      <c r="Q344" s="354"/>
      <c r="R344" s="355"/>
      <c r="T344" s="367"/>
      <c r="U344" s="296"/>
      <c r="V344" s="355"/>
    </row>
    <row r="345" ht="12.75" customHeight="1">
      <c r="M345" s="354"/>
      <c r="N345" s="296"/>
      <c r="O345" s="353"/>
      <c r="Q345" s="354"/>
      <c r="R345" s="355"/>
      <c r="T345" s="367"/>
      <c r="U345" s="296"/>
      <c r="V345" s="355"/>
    </row>
    <row r="346" ht="12.75" customHeight="1">
      <c r="M346" s="354"/>
      <c r="N346" s="296"/>
      <c r="O346" s="353"/>
      <c r="Q346" s="354"/>
      <c r="R346" s="355"/>
      <c r="T346" s="367"/>
      <c r="U346" s="296"/>
      <c r="V346" s="355"/>
    </row>
    <row r="347" ht="12.75" customHeight="1">
      <c r="M347" s="354"/>
      <c r="N347" s="296"/>
      <c r="O347" s="353"/>
      <c r="Q347" s="354"/>
      <c r="R347" s="355"/>
      <c r="T347" s="367"/>
      <c r="U347" s="296"/>
      <c r="V347" s="355"/>
    </row>
    <row r="348" ht="12.75" customHeight="1">
      <c r="M348" s="354"/>
      <c r="N348" s="296"/>
      <c r="O348" s="353"/>
      <c r="Q348" s="354"/>
      <c r="R348" s="355"/>
      <c r="T348" s="367"/>
      <c r="U348" s="296"/>
      <c r="V348" s="355"/>
    </row>
    <row r="349" ht="12.75" customHeight="1">
      <c r="M349" s="354"/>
      <c r="N349" s="296"/>
      <c r="O349" s="353"/>
      <c r="Q349" s="354"/>
      <c r="R349" s="355"/>
      <c r="T349" s="367"/>
      <c r="U349" s="296"/>
      <c r="V349" s="355"/>
    </row>
    <row r="350" ht="12.75" customHeight="1">
      <c r="M350" s="354"/>
      <c r="N350" s="296"/>
      <c r="O350" s="353"/>
      <c r="Q350" s="354"/>
      <c r="R350" s="355"/>
      <c r="T350" s="367"/>
      <c r="U350" s="296"/>
      <c r="V350" s="355"/>
    </row>
    <row r="351" ht="12.75" customHeight="1">
      <c r="M351" s="354"/>
      <c r="N351" s="296"/>
      <c r="O351" s="353"/>
      <c r="Q351" s="354"/>
      <c r="R351" s="355"/>
      <c r="T351" s="367"/>
      <c r="U351" s="296"/>
      <c r="V351" s="355"/>
    </row>
    <row r="352" ht="12.75" customHeight="1">
      <c r="M352" s="354"/>
      <c r="N352" s="296"/>
      <c r="O352" s="353"/>
      <c r="Q352" s="354"/>
      <c r="R352" s="355"/>
      <c r="T352" s="367"/>
      <c r="U352" s="296"/>
      <c r="V352" s="355"/>
    </row>
    <row r="353" ht="12.75" customHeight="1">
      <c r="M353" s="354"/>
      <c r="N353" s="296"/>
      <c r="O353" s="353"/>
      <c r="Q353" s="354"/>
      <c r="R353" s="355"/>
      <c r="T353" s="367"/>
      <c r="U353" s="296"/>
      <c r="V353" s="355"/>
    </row>
    <row r="354" ht="12.75" customHeight="1">
      <c r="M354" s="354"/>
      <c r="N354" s="296"/>
      <c r="O354" s="353"/>
      <c r="Q354" s="354"/>
      <c r="R354" s="355"/>
      <c r="T354" s="367"/>
      <c r="U354" s="296"/>
      <c r="V354" s="355"/>
    </row>
    <row r="355" ht="12.75" customHeight="1">
      <c r="M355" s="354"/>
      <c r="N355" s="296"/>
      <c r="O355" s="353"/>
      <c r="Q355" s="354"/>
      <c r="R355" s="355"/>
      <c r="T355" s="367"/>
      <c r="U355" s="296"/>
      <c r="V355" s="355"/>
    </row>
    <row r="356" ht="12.75" customHeight="1">
      <c r="M356" s="354"/>
      <c r="N356" s="296"/>
      <c r="O356" s="353"/>
      <c r="Q356" s="354"/>
      <c r="R356" s="355"/>
      <c r="T356" s="367"/>
      <c r="U356" s="296"/>
      <c r="V356" s="355"/>
    </row>
    <row r="357" ht="12.75" customHeight="1">
      <c r="M357" s="354"/>
      <c r="N357" s="296"/>
      <c r="O357" s="353"/>
      <c r="Q357" s="354"/>
      <c r="R357" s="355"/>
      <c r="T357" s="367"/>
      <c r="U357" s="296"/>
      <c r="V357" s="355"/>
    </row>
    <row r="358" ht="12.75" customHeight="1">
      <c r="M358" s="354"/>
      <c r="N358" s="296"/>
      <c r="O358" s="353"/>
      <c r="Q358" s="354"/>
      <c r="R358" s="355"/>
      <c r="T358" s="367"/>
      <c r="U358" s="296"/>
      <c r="V358" s="355"/>
    </row>
    <row r="359" ht="12.75" customHeight="1">
      <c r="M359" s="354"/>
      <c r="N359" s="296"/>
      <c r="O359" s="353"/>
      <c r="Q359" s="354"/>
      <c r="R359" s="355"/>
      <c r="T359" s="367"/>
      <c r="U359" s="296"/>
      <c r="V359" s="355"/>
    </row>
    <row r="360" ht="12.75" customHeight="1">
      <c r="M360" s="354"/>
      <c r="N360" s="296"/>
      <c r="O360" s="353"/>
      <c r="Q360" s="354"/>
      <c r="R360" s="355"/>
      <c r="T360" s="367"/>
      <c r="U360" s="296"/>
      <c r="V360" s="355"/>
    </row>
    <row r="361" ht="12.75" customHeight="1">
      <c r="M361" s="354"/>
      <c r="N361" s="296"/>
      <c r="O361" s="353"/>
      <c r="Q361" s="354"/>
      <c r="R361" s="355"/>
      <c r="T361" s="367"/>
      <c r="U361" s="296"/>
      <c r="V361" s="355"/>
    </row>
    <row r="362" ht="12.75" customHeight="1">
      <c r="M362" s="354"/>
      <c r="N362" s="296"/>
      <c r="O362" s="353"/>
      <c r="Q362" s="354"/>
      <c r="R362" s="355"/>
      <c r="T362" s="367"/>
      <c r="U362" s="296"/>
      <c r="V362" s="355"/>
    </row>
    <row r="363" ht="12.75" customHeight="1">
      <c r="M363" s="354"/>
      <c r="N363" s="296"/>
      <c r="O363" s="353"/>
      <c r="Q363" s="354"/>
      <c r="R363" s="355"/>
      <c r="T363" s="367"/>
      <c r="U363" s="296"/>
      <c r="V363" s="355"/>
    </row>
    <row r="364" ht="12.75" customHeight="1">
      <c r="M364" s="354"/>
      <c r="N364" s="296"/>
      <c r="O364" s="353"/>
      <c r="Q364" s="354"/>
      <c r="R364" s="355"/>
      <c r="T364" s="367"/>
      <c r="U364" s="296"/>
      <c r="V364" s="355"/>
    </row>
    <row r="365" ht="12.75" customHeight="1">
      <c r="M365" s="354"/>
      <c r="N365" s="296"/>
      <c r="O365" s="353"/>
      <c r="Q365" s="354"/>
      <c r="R365" s="355"/>
      <c r="T365" s="367"/>
      <c r="U365" s="296"/>
      <c r="V365" s="355"/>
    </row>
    <row r="366" ht="12.75" customHeight="1">
      <c r="M366" s="354"/>
      <c r="N366" s="296"/>
      <c r="O366" s="353"/>
      <c r="Q366" s="354"/>
      <c r="R366" s="355"/>
      <c r="T366" s="367"/>
      <c r="U366" s="296"/>
      <c r="V366" s="355"/>
    </row>
    <row r="367" ht="12.75" customHeight="1">
      <c r="M367" s="354"/>
      <c r="N367" s="296"/>
      <c r="O367" s="353"/>
      <c r="Q367" s="354"/>
      <c r="R367" s="355"/>
      <c r="T367" s="367"/>
      <c r="U367" s="296"/>
      <c r="V367" s="355"/>
    </row>
    <row r="368" ht="12.75" customHeight="1">
      <c r="M368" s="354"/>
      <c r="N368" s="296"/>
      <c r="O368" s="353"/>
      <c r="Q368" s="354"/>
      <c r="R368" s="355"/>
      <c r="T368" s="367"/>
      <c r="U368" s="296"/>
      <c r="V368" s="355"/>
    </row>
    <row r="369" ht="12.75" customHeight="1">
      <c r="M369" s="354"/>
      <c r="N369" s="296"/>
      <c r="O369" s="353"/>
      <c r="Q369" s="354"/>
      <c r="R369" s="355"/>
      <c r="T369" s="367"/>
      <c r="U369" s="296"/>
      <c r="V369" s="355"/>
    </row>
    <row r="370" ht="12.75" customHeight="1">
      <c r="M370" s="354"/>
      <c r="N370" s="296"/>
      <c r="O370" s="353"/>
      <c r="Q370" s="354"/>
      <c r="R370" s="355"/>
      <c r="T370" s="367"/>
      <c r="U370" s="296"/>
      <c r="V370" s="355"/>
    </row>
    <row r="371" ht="12.75" customHeight="1">
      <c r="M371" s="354"/>
      <c r="N371" s="296"/>
      <c r="O371" s="353"/>
      <c r="Q371" s="354"/>
      <c r="R371" s="355"/>
      <c r="T371" s="367"/>
      <c r="U371" s="296"/>
      <c r="V371" s="355"/>
    </row>
    <row r="372" ht="12.75" customHeight="1">
      <c r="M372" s="354"/>
      <c r="N372" s="296"/>
      <c r="O372" s="353"/>
      <c r="Q372" s="354"/>
      <c r="R372" s="355"/>
      <c r="T372" s="367"/>
      <c r="U372" s="296"/>
      <c r="V372" s="355"/>
    </row>
    <row r="373" ht="12.75" customHeight="1">
      <c r="M373" s="354"/>
      <c r="N373" s="296"/>
      <c r="O373" s="353"/>
      <c r="Q373" s="354"/>
      <c r="R373" s="355"/>
      <c r="T373" s="367"/>
      <c r="U373" s="296"/>
      <c r="V373" s="355"/>
    </row>
    <row r="374" ht="12.75" customHeight="1">
      <c r="M374" s="354"/>
      <c r="N374" s="296"/>
      <c r="O374" s="353"/>
      <c r="Q374" s="354"/>
      <c r="R374" s="355"/>
      <c r="T374" s="367"/>
      <c r="U374" s="296"/>
      <c r="V374" s="355"/>
    </row>
    <row r="375" ht="12.75" customHeight="1">
      <c r="M375" s="354"/>
      <c r="N375" s="296"/>
      <c r="O375" s="353"/>
      <c r="Q375" s="354"/>
      <c r="R375" s="355"/>
      <c r="T375" s="367"/>
      <c r="U375" s="296"/>
      <c r="V375" s="355"/>
    </row>
    <row r="376" ht="12.75" customHeight="1">
      <c r="M376" s="354"/>
      <c r="N376" s="296"/>
      <c r="O376" s="353"/>
      <c r="Q376" s="354"/>
      <c r="R376" s="355"/>
      <c r="T376" s="367"/>
      <c r="U376" s="296"/>
      <c r="V376" s="355"/>
    </row>
    <row r="377" ht="12.75" customHeight="1">
      <c r="M377" s="354"/>
      <c r="N377" s="296"/>
      <c r="O377" s="353"/>
      <c r="Q377" s="354"/>
      <c r="R377" s="355"/>
      <c r="T377" s="367"/>
      <c r="U377" s="296"/>
      <c r="V377" s="355"/>
    </row>
    <row r="378" ht="12.75" customHeight="1">
      <c r="M378" s="354"/>
      <c r="N378" s="296"/>
      <c r="O378" s="353"/>
      <c r="Q378" s="354"/>
      <c r="R378" s="355"/>
      <c r="T378" s="367"/>
      <c r="U378" s="296"/>
      <c r="V378" s="355"/>
    </row>
    <row r="379" ht="12.75" customHeight="1">
      <c r="M379" s="354"/>
      <c r="N379" s="296"/>
      <c r="O379" s="353"/>
      <c r="Q379" s="354"/>
      <c r="R379" s="355"/>
      <c r="T379" s="367"/>
      <c r="U379" s="296"/>
      <c r="V379" s="355"/>
    </row>
    <row r="380" ht="12.75" customHeight="1">
      <c r="M380" s="354"/>
      <c r="N380" s="296"/>
      <c r="O380" s="353"/>
      <c r="Q380" s="354"/>
      <c r="R380" s="355"/>
      <c r="T380" s="367"/>
      <c r="U380" s="296"/>
      <c r="V380" s="355"/>
    </row>
    <row r="381" ht="12.75" customHeight="1">
      <c r="M381" s="354"/>
      <c r="N381" s="296"/>
      <c r="O381" s="353"/>
      <c r="Q381" s="354"/>
      <c r="R381" s="355"/>
      <c r="T381" s="367"/>
      <c r="U381" s="296"/>
      <c r="V381" s="355"/>
    </row>
    <row r="382" ht="12.75" customHeight="1">
      <c r="M382" s="354"/>
      <c r="N382" s="296"/>
      <c r="O382" s="353"/>
      <c r="Q382" s="354"/>
      <c r="R382" s="355"/>
      <c r="T382" s="367"/>
      <c r="U382" s="296"/>
      <c r="V382" s="355"/>
    </row>
    <row r="383" ht="12.75" customHeight="1">
      <c r="M383" s="354"/>
      <c r="N383" s="296"/>
      <c r="O383" s="353"/>
      <c r="Q383" s="354"/>
      <c r="R383" s="355"/>
      <c r="T383" s="367"/>
      <c r="U383" s="296"/>
      <c r="V383" s="355"/>
    </row>
    <row r="384" ht="12.75" customHeight="1">
      <c r="M384" s="354"/>
      <c r="N384" s="296"/>
      <c r="O384" s="353"/>
      <c r="Q384" s="354"/>
      <c r="R384" s="355"/>
      <c r="T384" s="367"/>
      <c r="U384" s="296"/>
      <c r="V384" s="355"/>
    </row>
    <row r="385" ht="12.75" customHeight="1">
      <c r="M385" s="354"/>
      <c r="N385" s="296"/>
      <c r="O385" s="353"/>
      <c r="Q385" s="354"/>
      <c r="R385" s="355"/>
      <c r="T385" s="367"/>
      <c r="U385" s="296"/>
      <c r="V385" s="355"/>
    </row>
    <row r="386" ht="12.75" customHeight="1">
      <c r="M386" s="354"/>
      <c r="N386" s="296"/>
      <c r="O386" s="353"/>
      <c r="Q386" s="354"/>
      <c r="R386" s="355"/>
      <c r="T386" s="367"/>
      <c r="U386" s="296"/>
      <c r="V386" s="355"/>
    </row>
    <row r="387" ht="12.75" customHeight="1">
      <c r="M387" s="354"/>
      <c r="N387" s="296"/>
      <c r="O387" s="353"/>
      <c r="Q387" s="354"/>
      <c r="R387" s="355"/>
      <c r="T387" s="367"/>
      <c r="U387" s="296"/>
      <c r="V387" s="355"/>
    </row>
    <row r="388" ht="12.75" customHeight="1">
      <c r="M388" s="354"/>
      <c r="N388" s="296"/>
      <c r="O388" s="353"/>
      <c r="Q388" s="354"/>
      <c r="R388" s="355"/>
      <c r="T388" s="367"/>
      <c r="U388" s="296"/>
      <c r="V388" s="355"/>
    </row>
    <row r="389" ht="12.75" customHeight="1">
      <c r="M389" s="354"/>
      <c r="N389" s="296"/>
      <c r="O389" s="353"/>
      <c r="Q389" s="354"/>
      <c r="R389" s="355"/>
      <c r="T389" s="367"/>
      <c r="U389" s="296"/>
      <c r="V389" s="355"/>
    </row>
    <row r="390" ht="12.75" customHeight="1">
      <c r="M390" s="354"/>
      <c r="N390" s="296"/>
      <c r="O390" s="353"/>
      <c r="Q390" s="354"/>
      <c r="R390" s="355"/>
      <c r="T390" s="367"/>
      <c r="U390" s="296"/>
      <c r="V390" s="355"/>
    </row>
    <row r="391" ht="12.75" customHeight="1">
      <c r="M391" s="354"/>
      <c r="N391" s="296"/>
      <c r="O391" s="353"/>
      <c r="Q391" s="354"/>
      <c r="R391" s="355"/>
      <c r="T391" s="367"/>
      <c r="U391" s="296"/>
      <c r="V391" s="355"/>
    </row>
    <row r="392" ht="12.75" customHeight="1">
      <c r="M392" s="354"/>
      <c r="N392" s="296"/>
      <c r="O392" s="353"/>
      <c r="Q392" s="354"/>
      <c r="R392" s="355"/>
      <c r="T392" s="367"/>
      <c r="U392" s="296"/>
      <c r="V392" s="355"/>
    </row>
    <row r="393" ht="12.75" customHeight="1">
      <c r="M393" s="354"/>
      <c r="N393" s="296"/>
      <c r="O393" s="353"/>
      <c r="Q393" s="354"/>
      <c r="R393" s="355"/>
      <c r="T393" s="367"/>
      <c r="U393" s="296"/>
      <c r="V393" s="355"/>
    </row>
    <row r="394" ht="12.75" customHeight="1">
      <c r="M394" s="354"/>
      <c r="N394" s="296"/>
      <c r="O394" s="353"/>
      <c r="Q394" s="354"/>
      <c r="R394" s="355"/>
      <c r="T394" s="367"/>
      <c r="U394" s="296"/>
      <c r="V394" s="355"/>
    </row>
    <row r="395" ht="12.75" customHeight="1">
      <c r="M395" s="354"/>
      <c r="N395" s="296"/>
      <c r="O395" s="353"/>
      <c r="Q395" s="354"/>
      <c r="R395" s="355"/>
      <c r="T395" s="367"/>
      <c r="U395" s="296"/>
      <c r="V395" s="355"/>
    </row>
    <row r="396" ht="12.75" customHeight="1">
      <c r="M396" s="354"/>
      <c r="N396" s="296"/>
      <c r="O396" s="353"/>
      <c r="Q396" s="354"/>
      <c r="R396" s="355"/>
      <c r="T396" s="367"/>
      <c r="U396" s="296"/>
      <c r="V396" s="355"/>
    </row>
    <row r="397" ht="12.75" customHeight="1">
      <c r="M397" s="354"/>
      <c r="N397" s="296"/>
      <c r="O397" s="353"/>
      <c r="Q397" s="354"/>
      <c r="R397" s="355"/>
      <c r="T397" s="367"/>
      <c r="U397" s="296"/>
      <c r="V397" s="355"/>
    </row>
    <row r="398" ht="12.75" customHeight="1">
      <c r="M398" s="354"/>
      <c r="N398" s="296"/>
      <c r="O398" s="353"/>
      <c r="Q398" s="354"/>
      <c r="R398" s="355"/>
      <c r="T398" s="367"/>
      <c r="U398" s="296"/>
      <c r="V398" s="355"/>
    </row>
    <row r="399" ht="12.75" customHeight="1">
      <c r="M399" s="354"/>
      <c r="N399" s="296"/>
      <c r="O399" s="353"/>
      <c r="Q399" s="354"/>
      <c r="R399" s="355"/>
      <c r="T399" s="367"/>
      <c r="U399" s="296"/>
      <c r="V399" s="355"/>
    </row>
    <row r="400" ht="12.75" customHeight="1">
      <c r="M400" s="354"/>
      <c r="N400" s="296"/>
      <c r="O400" s="353"/>
      <c r="Q400" s="354"/>
      <c r="R400" s="355"/>
      <c r="T400" s="367"/>
      <c r="U400" s="296"/>
      <c r="V400" s="355"/>
    </row>
    <row r="401" ht="12.75" customHeight="1">
      <c r="M401" s="354"/>
      <c r="N401" s="296"/>
      <c r="O401" s="353"/>
      <c r="Q401" s="354"/>
      <c r="R401" s="355"/>
      <c r="T401" s="367"/>
      <c r="U401" s="296"/>
      <c r="V401" s="355"/>
    </row>
    <row r="402" ht="12.75" customHeight="1">
      <c r="M402" s="354"/>
      <c r="N402" s="296"/>
      <c r="O402" s="353"/>
      <c r="Q402" s="354"/>
      <c r="R402" s="355"/>
      <c r="T402" s="367"/>
      <c r="U402" s="296"/>
      <c r="V402" s="355"/>
    </row>
    <row r="403" ht="12.75" customHeight="1">
      <c r="M403" s="354"/>
      <c r="N403" s="296"/>
      <c r="O403" s="353"/>
      <c r="Q403" s="354"/>
      <c r="R403" s="355"/>
      <c r="T403" s="367"/>
      <c r="U403" s="296"/>
      <c r="V403" s="355"/>
    </row>
    <row r="404" ht="12.75" customHeight="1">
      <c r="M404" s="354"/>
      <c r="N404" s="296"/>
      <c r="O404" s="353"/>
      <c r="Q404" s="354"/>
      <c r="R404" s="355"/>
      <c r="T404" s="367"/>
      <c r="U404" s="296"/>
      <c r="V404" s="355"/>
    </row>
    <row r="405" ht="12.75" customHeight="1">
      <c r="M405" s="354"/>
      <c r="N405" s="296"/>
      <c r="O405" s="353"/>
      <c r="Q405" s="354"/>
      <c r="R405" s="355"/>
      <c r="T405" s="367"/>
      <c r="U405" s="296"/>
      <c r="V405" s="355"/>
    </row>
    <row r="406" ht="12.75" customHeight="1">
      <c r="M406" s="354"/>
      <c r="N406" s="296"/>
      <c r="O406" s="353"/>
      <c r="Q406" s="354"/>
      <c r="R406" s="355"/>
      <c r="T406" s="367"/>
      <c r="U406" s="296"/>
      <c r="V406" s="355"/>
    </row>
    <row r="407" ht="12.75" customHeight="1">
      <c r="M407" s="354"/>
      <c r="N407" s="296"/>
      <c r="O407" s="353"/>
      <c r="Q407" s="354"/>
      <c r="R407" s="355"/>
      <c r="T407" s="367"/>
      <c r="U407" s="296"/>
      <c r="V407" s="355"/>
    </row>
    <row r="408" ht="12.75" customHeight="1">
      <c r="M408" s="354"/>
      <c r="N408" s="296"/>
      <c r="O408" s="353"/>
      <c r="Q408" s="354"/>
      <c r="R408" s="355"/>
      <c r="T408" s="367"/>
      <c r="U408" s="296"/>
      <c r="V408" s="355"/>
    </row>
    <row r="409" ht="12.75" customHeight="1">
      <c r="M409" s="354"/>
      <c r="N409" s="296"/>
      <c r="O409" s="353"/>
      <c r="Q409" s="354"/>
      <c r="R409" s="355"/>
      <c r="T409" s="367"/>
      <c r="U409" s="296"/>
      <c r="V409" s="355"/>
    </row>
    <row r="410" ht="12.75" customHeight="1">
      <c r="M410" s="354"/>
      <c r="N410" s="296"/>
      <c r="O410" s="353"/>
      <c r="Q410" s="354"/>
      <c r="R410" s="355"/>
      <c r="T410" s="367"/>
      <c r="U410" s="296"/>
      <c r="V410" s="355"/>
    </row>
    <row r="411" ht="12.75" customHeight="1">
      <c r="M411" s="354"/>
      <c r="N411" s="296"/>
      <c r="O411" s="353"/>
      <c r="Q411" s="354"/>
      <c r="R411" s="355"/>
      <c r="T411" s="367"/>
      <c r="U411" s="296"/>
      <c r="V411" s="355"/>
    </row>
    <row r="412" ht="12.75" customHeight="1">
      <c r="M412" s="354"/>
      <c r="N412" s="296"/>
      <c r="O412" s="353"/>
      <c r="Q412" s="354"/>
      <c r="R412" s="355"/>
      <c r="T412" s="367"/>
      <c r="U412" s="296"/>
      <c r="V412" s="355"/>
    </row>
    <row r="413" ht="12.75" customHeight="1">
      <c r="M413" s="354"/>
      <c r="N413" s="296"/>
      <c r="O413" s="353"/>
      <c r="Q413" s="354"/>
      <c r="R413" s="355"/>
      <c r="T413" s="367"/>
      <c r="U413" s="296"/>
      <c r="V413" s="355"/>
    </row>
    <row r="414" ht="12.75" customHeight="1">
      <c r="M414" s="354"/>
      <c r="N414" s="296"/>
      <c r="O414" s="353"/>
      <c r="Q414" s="354"/>
      <c r="R414" s="355"/>
      <c r="T414" s="367"/>
      <c r="U414" s="296"/>
      <c r="V414" s="355"/>
    </row>
    <row r="415" ht="12.75" customHeight="1">
      <c r="M415" s="354"/>
      <c r="N415" s="296"/>
      <c r="O415" s="353"/>
      <c r="Q415" s="354"/>
      <c r="R415" s="355"/>
      <c r="T415" s="367"/>
      <c r="U415" s="296"/>
      <c r="V415" s="355"/>
    </row>
    <row r="416" ht="12.75" customHeight="1">
      <c r="M416" s="354"/>
      <c r="N416" s="296"/>
      <c r="O416" s="353"/>
      <c r="Q416" s="354"/>
      <c r="R416" s="355"/>
      <c r="T416" s="367"/>
      <c r="U416" s="296"/>
      <c r="V416" s="355"/>
    </row>
    <row r="417" ht="12.75" customHeight="1">
      <c r="M417" s="354"/>
      <c r="N417" s="296"/>
      <c r="O417" s="353"/>
      <c r="Q417" s="354"/>
      <c r="R417" s="355"/>
      <c r="T417" s="367"/>
      <c r="U417" s="296"/>
      <c r="V417" s="355"/>
    </row>
    <row r="418" ht="12.75" customHeight="1">
      <c r="M418" s="354"/>
      <c r="N418" s="296"/>
      <c r="O418" s="353"/>
      <c r="Q418" s="354"/>
      <c r="R418" s="355"/>
      <c r="T418" s="367"/>
      <c r="U418" s="296"/>
      <c r="V418" s="355"/>
    </row>
    <row r="419" ht="12.75" customHeight="1">
      <c r="M419" s="354"/>
      <c r="N419" s="296"/>
      <c r="O419" s="353"/>
      <c r="Q419" s="354"/>
      <c r="R419" s="355"/>
      <c r="T419" s="367"/>
      <c r="U419" s="296"/>
      <c r="V419" s="355"/>
    </row>
    <row r="420" ht="12.75" customHeight="1">
      <c r="M420" s="354"/>
      <c r="N420" s="296"/>
      <c r="O420" s="353"/>
      <c r="Q420" s="354"/>
      <c r="R420" s="355"/>
      <c r="T420" s="367"/>
      <c r="U420" s="296"/>
      <c r="V420" s="355"/>
    </row>
    <row r="421" ht="12.75" customHeight="1">
      <c r="M421" s="354"/>
      <c r="N421" s="296"/>
      <c r="O421" s="353"/>
      <c r="Q421" s="354"/>
      <c r="R421" s="355"/>
      <c r="T421" s="367"/>
      <c r="U421" s="296"/>
      <c r="V421" s="355"/>
    </row>
    <row r="422" ht="12.75" customHeight="1">
      <c r="M422" s="354"/>
      <c r="N422" s="296"/>
      <c r="O422" s="353"/>
      <c r="Q422" s="354"/>
      <c r="R422" s="355"/>
      <c r="T422" s="367"/>
      <c r="U422" s="296"/>
      <c r="V422" s="355"/>
    </row>
    <row r="423" ht="12.75" customHeight="1">
      <c r="M423" s="354"/>
      <c r="N423" s="296"/>
      <c r="O423" s="353"/>
      <c r="Q423" s="354"/>
      <c r="R423" s="355"/>
      <c r="T423" s="367"/>
      <c r="U423" s="296"/>
      <c r="V423" s="355"/>
    </row>
    <row r="424" ht="12.75" customHeight="1">
      <c r="M424" s="354"/>
      <c r="N424" s="296"/>
      <c r="O424" s="353"/>
      <c r="Q424" s="354"/>
      <c r="R424" s="355"/>
      <c r="T424" s="367"/>
      <c r="U424" s="296"/>
      <c r="V424" s="355"/>
    </row>
    <row r="425" ht="12.75" customHeight="1">
      <c r="M425" s="354"/>
      <c r="N425" s="296"/>
      <c r="O425" s="353"/>
      <c r="Q425" s="354"/>
      <c r="R425" s="355"/>
      <c r="T425" s="367"/>
      <c r="U425" s="296"/>
      <c r="V425" s="355"/>
    </row>
    <row r="426" ht="12.75" customHeight="1">
      <c r="M426" s="354"/>
      <c r="N426" s="296"/>
      <c r="O426" s="353"/>
      <c r="Q426" s="354"/>
      <c r="R426" s="355"/>
      <c r="T426" s="367"/>
      <c r="U426" s="296"/>
      <c r="V426" s="355"/>
    </row>
    <row r="427" ht="12.75" customHeight="1">
      <c r="M427" s="354"/>
      <c r="N427" s="296"/>
      <c r="O427" s="353"/>
      <c r="Q427" s="354"/>
      <c r="R427" s="355"/>
      <c r="T427" s="367"/>
      <c r="U427" s="296"/>
      <c r="V427" s="355"/>
    </row>
    <row r="428" ht="12.75" customHeight="1">
      <c r="M428" s="354"/>
      <c r="N428" s="296"/>
      <c r="O428" s="353"/>
      <c r="Q428" s="354"/>
      <c r="R428" s="355"/>
      <c r="T428" s="367"/>
      <c r="U428" s="296"/>
      <c r="V428" s="355"/>
    </row>
    <row r="429" ht="12.75" customHeight="1">
      <c r="M429" s="354"/>
      <c r="N429" s="296"/>
      <c r="O429" s="353"/>
      <c r="Q429" s="354"/>
      <c r="R429" s="355"/>
      <c r="T429" s="367"/>
      <c r="U429" s="296"/>
      <c r="V429" s="355"/>
    </row>
    <row r="430" ht="12.75" customHeight="1">
      <c r="M430" s="354"/>
      <c r="N430" s="296"/>
      <c r="O430" s="353"/>
      <c r="Q430" s="354"/>
      <c r="R430" s="355"/>
      <c r="T430" s="367"/>
      <c r="U430" s="296"/>
      <c r="V430" s="355"/>
    </row>
    <row r="431" ht="12.75" customHeight="1">
      <c r="M431" s="354"/>
      <c r="N431" s="296"/>
      <c r="O431" s="353"/>
      <c r="Q431" s="354"/>
      <c r="R431" s="355"/>
      <c r="T431" s="367"/>
      <c r="U431" s="296"/>
      <c r="V431" s="355"/>
    </row>
    <row r="432" ht="12.75" customHeight="1">
      <c r="M432" s="354"/>
      <c r="N432" s="296"/>
      <c r="O432" s="353"/>
      <c r="Q432" s="354"/>
      <c r="R432" s="355"/>
      <c r="T432" s="367"/>
      <c r="U432" s="296"/>
      <c r="V432" s="355"/>
    </row>
    <row r="433" ht="12.75" customHeight="1">
      <c r="M433" s="354"/>
      <c r="N433" s="296"/>
      <c r="O433" s="353"/>
      <c r="Q433" s="354"/>
      <c r="R433" s="355"/>
      <c r="T433" s="367"/>
      <c r="U433" s="296"/>
      <c r="V433" s="355"/>
    </row>
    <row r="434" ht="12.75" customHeight="1">
      <c r="M434" s="354"/>
      <c r="N434" s="296"/>
      <c r="O434" s="353"/>
      <c r="Q434" s="354"/>
      <c r="R434" s="355"/>
      <c r="T434" s="367"/>
      <c r="U434" s="296"/>
      <c r="V434" s="355"/>
    </row>
    <row r="435" ht="12.75" customHeight="1">
      <c r="M435" s="354"/>
      <c r="N435" s="296"/>
      <c r="O435" s="353"/>
      <c r="Q435" s="354"/>
      <c r="R435" s="355"/>
      <c r="T435" s="367"/>
      <c r="U435" s="296"/>
      <c r="V435" s="355"/>
    </row>
    <row r="436" ht="12.75" customHeight="1">
      <c r="M436" s="354"/>
      <c r="N436" s="296"/>
      <c r="O436" s="353"/>
      <c r="Q436" s="354"/>
      <c r="R436" s="355"/>
      <c r="T436" s="367"/>
      <c r="U436" s="296"/>
      <c r="V436" s="355"/>
    </row>
    <row r="437" ht="12.75" customHeight="1">
      <c r="M437" s="354"/>
      <c r="N437" s="296"/>
      <c r="O437" s="353"/>
      <c r="Q437" s="354"/>
      <c r="R437" s="355"/>
      <c r="T437" s="367"/>
      <c r="U437" s="296"/>
      <c r="V437" s="355"/>
    </row>
    <row r="438" ht="12.75" customHeight="1">
      <c r="M438" s="354"/>
      <c r="N438" s="296"/>
      <c r="O438" s="353"/>
      <c r="Q438" s="354"/>
      <c r="R438" s="355"/>
      <c r="T438" s="367"/>
      <c r="U438" s="296"/>
      <c r="V438" s="355"/>
    </row>
    <row r="439" ht="12.75" customHeight="1">
      <c r="M439" s="354"/>
      <c r="N439" s="296"/>
      <c r="O439" s="353"/>
      <c r="Q439" s="354"/>
      <c r="R439" s="355"/>
      <c r="T439" s="367"/>
      <c r="U439" s="296"/>
      <c r="V439" s="355"/>
    </row>
    <row r="440" ht="12.75" customHeight="1">
      <c r="M440" s="354"/>
      <c r="N440" s="296"/>
      <c r="O440" s="353"/>
      <c r="Q440" s="354"/>
      <c r="R440" s="355"/>
      <c r="T440" s="367"/>
      <c r="U440" s="296"/>
      <c r="V440" s="355"/>
    </row>
    <row r="441" ht="12.75" customHeight="1">
      <c r="M441" s="354"/>
      <c r="N441" s="296"/>
      <c r="O441" s="353"/>
      <c r="Q441" s="354"/>
      <c r="R441" s="355"/>
      <c r="T441" s="367"/>
      <c r="U441" s="296"/>
      <c r="V441" s="355"/>
    </row>
    <row r="442" ht="12.75" customHeight="1">
      <c r="M442" s="354"/>
      <c r="N442" s="296"/>
      <c r="O442" s="353"/>
      <c r="Q442" s="354"/>
      <c r="R442" s="355"/>
      <c r="T442" s="367"/>
      <c r="U442" s="296"/>
      <c r="V442" s="355"/>
    </row>
    <row r="443" ht="12.75" customHeight="1">
      <c r="M443" s="354"/>
      <c r="N443" s="296"/>
      <c r="O443" s="353"/>
      <c r="Q443" s="354"/>
      <c r="R443" s="355"/>
      <c r="T443" s="367"/>
      <c r="U443" s="296"/>
      <c r="V443" s="355"/>
    </row>
    <row r="444" ht="12.75" customHeight="1">
      <c r="M444" s="354"/>
      <c r="N444" s="296"/>
      <c r="O444" s="353"/>
      <c r="Q444" s="354"/>
      <c r="R444" s="355"/>
      <c r="T444" s="367"/>
      <c r="U444" s="296"/>
      <c r="V444" s="355"/>
    </row>
    <row r="445" ht="12.75" customHeight="1">
      <c r="M445" s="354"/>
      <c r="N445" s="296"/>
      <c r="O445" s="353"/>
      <c r="Q445" s="354"/>
      <c r="R445" s="355"/>
      <c r="T445" s="367"/>
      <c r="U445" s="296"/>
      <c r="V445" s="355"/>
    </row>
    <row r="446" ht="12.75" customHeight="1">
      <c r="M446" s="354"/>
      <c r="N446" s="296"/>
      <c r="O446" s="353"/>
      <c r="Q446" s="354"/>
      <c r="R446" s="355"/>
      <c r="T446" s="367"/>
      <c r="U446" s="296"/>
      <c r="V446" s="355"/>
    </row>
    <row r="447" ht="12.75" customHeight="1">
      <c r="M447" s="354"/>
      <c r="N447" s="296"/>
      <c r="O447" s="353"/>
      <c r="Q447" s="354"/>
      <c r="R447" s="355"/>
      <c r="T447" s="367"/>
      <c r="U447" s="296"/>
      <c r="V447" s="355"/>
    </row>
    <row r="448" ht="12.75" customHeight="1">
      <c r="M448" s="354"/>
      <c r="N448" s="296"/>
      <c r="O448" s="353"/>
      <c r="Q448" s="354"/>
      <c r="R448" s="355"/>
      <c r="T448" s="367"/>
      <c r="U448" s="296"/>
      <c r="V448" s="355"/>
    </row>
    <row r="449" ht="12.75" customHeight="1">
      <c r="M449" s="354"/>
      <c r="N449" s="296"/>
      <c r="O449" s="353"/>
      <c r="Q449" s="354"/>
      <c r="R449" s="355"/>
      <c r="T449" s="367"/>
      <c r="U449" s="296"/>
      <c r="V449" s="355"/>
    </row>
    <row r="450" ht="12.75" customHeight="1">
      <c r="M450" s="354"/>
      <c r="N450" s="296"/>
      <c r="O450" s="353"/>
      <c r="Q450" s="354"/>
      <c r="R450" s="355"/>
      <c r="T450" s="367"/>
      <c r="U450" s="296"/>
      <c r="V450" s="355"/>
    </row>
    <row r="451" ht="12.75" customHeight="1">
      <c r="M451" s="354"/>
      <c r="N451" s="296"/>
      <c r="O451" s="353"/>
      <c r="Q451" s="354"/>
      <c r="R451" s="355"/>
      <c r="T451" s="367"/>
      <c r="U451" s="296"/>
      <c r="V451" s="355"/>
    </row>
    <row r="452" ht="12.75" customHeight="1">
      <c r="M452" s="354"/>
      <c r="N452" s="296"/>
      <c r="O452" s="353"/>
      <c r="Q452" s="354"/>
      <c r="R452" s="355"/>
      <c r="T452" s="367"/>
      <c r="U452" s="296"/>
      <c r="V452" s="355"/>
    </row>
    <row r="453" ht="12.75" customHeight="1">
      <c r="M453" s="354"/>
      <c r="N453" s="296"/>
      <c r="O453" s="353"/>
      <c r="Q453" s="354"/>
      <c r="R453" s="355"/>
      <c r="T453" s="367"/>
      <c r="U453" s="296"/>
      <c r="V453" s="355"/>
    </row>
    <row r="454" ht="12.75" customHeight="1">
      <c r="M454" s="354"/>
      <c r="N454" s="296"/>
      <c r="O454" s="353"/>
      <c r="Q454" s="354"/>
      <c r="R454" s="355"/>
      <c r="T454" s="367"/>
      <c r="U454" s="296"/>
      <c r="V454" s="355"/>
    </row>
    <row r="455" ht="12.75" customHeight="1">
      <c r="M455" s="354"/>
      <c r="N455" s="296"/>
      <c r="O455" s="353"/>
      <c r="Q455" s="354"/>
      <c r="R455" s="355"/>
      <c r="T455" s="367"/>
      <c r="U455" s="296"/>
      <c r="V455" s="355"/>
    </row>
    <row r="456" ht="12.75" customHeight="1">
      <c r="M456" s="354"/>
      <c r="N456" s="296"/>
      <c r="O456" s="353"/>
      <c r="Q456" s="354"/>
      <c r="R456" s="355"/>
      <c r="T456" s="367"/>
      <c r="U456" s="296"/>
      <c r="V456" s="355"/>
    </row>
    <row r="457" ht="12.75" customHeight="1">
      <c r="M457" s="354"/>
      <c r="N457" s="296"/>
      <c r="O457" s="353"/>
      <c r="Q457" s="354"/>
      <c r="R457" s="355"/>
      <c r="T457" s="367"/>
      <c r="U457" s="296"/>
      <c r="V457" s="355"/>
    </row>
    <row r="458" ht="12.75" customHeight="1">
      <c r="M458" s="354"/>
      <c r="N458" s="296"/>
      <c r="O458" s="353"/>
      <c r="Q458" s="354"/>
      <c r="R458" s="355"/>
      <c r="T458" s="367"/>
      <c r="U458" s="296"/>
      <c r="V458" s="355"/>
    </row>
    <row r="459" ht="12.75" customHeight="1">
      <c r="M459" s="354"/>
      <c r="N459" s="296"/>
      <c r="O459" s="353"/>
      <c r="Q459" s="354"/>
      <c r="R459" s="355"/>
      <c r="T459" s="367"/>
      <c r="U459" s="296"/>
      <c r="V459" s="355"/>
    </row>
    <row r="460" ht="12.75" customHeight="1">
      <c r="M460" s="354"/>
      <c r="N460" s="296"/>
      <c r="O460" s="353"/>
      <c r="Q460" s="354"/>
      <c r="R460" s="355"/>
      <c r="T460" s="367"/>
      <c r="U460" s="296"/>
      <c r="V460" s="355"/>
    </row>
    <row r="461" ht="12.75" customHeight="1">
      <c r="M461" s="354"/>
      <c r="N461" s="296"/>
      <c r="O461" s="353"/>
      <c r="Q461" s="354"/>
      <c r="R461" s="355"/>
      <c r="T461" s="367"/>
      <c r="U461" s="296"/>
      <c r="V461" s="355"/>
    </row>
    <row r="462" ht="12.75" customHeight="1">
      <c r="M462" s="354"/>
      <c r="N462" s="296"/>
      <c r="O462" s="353"/>
      <c r="Q462" s="354"/>
      <c r="R462" s="355"/>
      <c r="T462" s="367"/>
      <c r="U462" s="296"/>
      <c r="V462" s="355"/>
    </row>
    <row r="463" ht="12.75" customHeight="1">
      <c r="M463" s="354"/>
      <c r="N463" s="296"/>
      <c r="O463" s="353"/>
      <c r="Q463" s="354"/>
      <c r="R463" s="355"/>
      <c r="T463" s="367"/>
      <c r="U463" s="296"/>
      <c r="V463" s="355"/>
    </row>
    <row r="464" ht="12.75" customHeight="1">
      <c r="M464" s="354"/>
      <c r="N464" s="296"/>
      <c r="O464" s="353"/>
      <c r="Q464" s="354"/>
      <c r="R464" s="355"/>
      <c r="T464" s="367"/>
      <c r="U464" s="296"/>
      <c r="V464" s="355"/>
    </row>
    <row r="465" ht="12.75" customHeight="1">
      <c r="M465" s="354"/>
      <c r="N465" s="296"/>
      <c r="O465" s="353"/>
      <c r="Q465" s="354"/>
      <c r="R465" s="355"/>
      <c r="T465" s="367"/>
      <c r="U465" s="296"/>
      <c r="V465" s="355"/>
    </row>
    <row r="466" ht="12.75" customHeight="1">
      <c r="M466" s="354"/>
      <c r="N466" s="296"/>
      <c r="O466" s="353"/>
      <c r="Q466" s="354"/>
      <c r="R466" s="355"/>
      <c r="T466" s="367"/>
      <c r="U466" s="296"/>
      <c r="V466" s="355"/>
    </row>
    <row r="467" ht="12.75" customHeight="1">
      <c r="M467" s="354"/>
      <c r="N467" s="296"/>
      <c r="O467" s="353"/>
      <c r="Q467" s="354"/>
      <c r="R467" s="355"/>
      <c r="T467" s="367"/>
      <c r="U467" s="296"/>
      <c r="V467" s="355"/>
    </row>
    <row r="468" ht="12.75" customHeight="1">
      <c r="M468" s="354"/>
      <c r="N468" s="296"/>
      <c r="O468" s="353"/>
      <c r="Q468" s="354"/>
      <c r="R468" s="355"/>
      <c r="T468" s="367"/>
      <c r="U468" s="296"/>
      <c r="V468" s="355"/>
    </row>
    <row r="469" ht="12.75" customHeight="1">
      <c r="M469" s="354"/>
      <c r="N469" s="296"/>
      <c r="O469" s="353"/>
      <c r="Q469" s="354"/>
      <c r="R469" s="355"/>
      <c r="T469" s="367"/>
      <c r="U469" s="296"/>
      <c r="V469" s="355"/>
    </row>
    <row r="470" ht="12.75" customHeight="1">
      <c r="M470" s="354"/>
      <c r="N470" s="296"/>
      <c r="O470" s="353"/>
      <c r="Q470" s="354"/>
      <c r="R470" s="355"/>
      <c r="T470" s="367"/>
      <c r="U470" s="296"/>
      <c r="V470" s="355"/>
    </row>
    <row r="471" ht="12.75" customHeight="1">
      <c r="M471" s="354"/>
      <c r="N471" s="296"/>
      <c r="O471" s="353"/>
      <c r="Q471" s="354"/>
      <c r="R471" s="355"/>
      <c r="T471" s="367"/>
      <c r="U471" s="296"/>
      <c r="V471" s="355"/>
    </row>
    <row r="472" ht="12.75" customHeight="1">
      <c r="M472" s="354"/>
      <c r="N472" s="296"/>
      <c r="O472" s="353"/>
      <c r="Q472" s="354"/>
      <c r="R472" s="355"/>
      <c r="T472" s="367"/>
      <c r="U472" s="296"/>
      <c r="V472" s="355"/>
    </row>
    <row r="473" ht="12.75" customHeight="1">
      <c r="M473" s="354"/>
      <c r="N473" s="296"/>
      <c r="O473" s="353"/>
      <c r="Q473" s="354"/>
      <c r="R473" s="355"/>
      <c r="T473" s="367"/>
      <c r="U473" s="296"/>
      <c r="V473" s="355"/>
    </row>
    <row r="474" ht="12.75" customHeight="1">
      <c r="M474" s="354"/>
      <c r="N474" s="296"/>
      <c r="O474" s="353"/>
      <c r="Q474" s="354"/>
      <c r="R474" s="355"/>
      <c r="T474" s="367"/>
      <c r="U474" s="296"/>
      <c r="V474" s="355"/>
    </row>
    <row r="475" ht="12.75" customHeight="1">
      <c r="M475" s="354"/>
      <c r="N475" s="296"/>
      <c r="O475" s="353"/>
      <c r="Q475" s="354"/>
      <c r="R475" s="355"/>
      <c r="T475" s="367"/>
      <c r="U475" s="296"/>
      <c r="V475" s="355"/>
    </row>
    <row r="476" ht="12.75" customHeight="1">
      <c r="M476" s="354"/>
      <c r="N476" s="296"/>
      <c r="O476" s="353"/>
      <c r="Q476" s="354"/>
      <c r="R476" s="355"/>
      <c r="T476" s="367"/>
      <c r="U476" s="296"/>
      <c r="V476" s="355"/>
    </row>
    <row r="477" ht="12.75" customHeight="1">
      <c r="M477" s="354"/>
      <c r="N477" s="296"/>
      <c r="O477" s="353"/>
      <c r="Q477" s="354"/>
      <c r="R477" s="355"/>
      <c r="T477" s="367"/>
      <c r="U477" s="296"/>
      <c r="V477" s="355"/>
    </row>
    <row r="478" ht="12.75" customHeight="1">
      <c r="M478" s="354"/>
      <c r="N478" s="296"/>
      <c r="O478" s="353"/>
      <c r="Q478" s="354"/>
      <c r="R478" s="355"/>
      <c r="T478" s="367"/>
      <c r="U478" s="296"/>
      <c r="V478" s="355"/>
    </row>
    <row r="479" ht="12.75" customHeight="1">
      <c r="M479" s="354"/>
      <c r="N479" s="296"/>
      <c r="O479" s="353"/>
      <c r="Q479" s="354"/>
      <c r="R479" s="355"/>
      <c r="T479" s="367"/>
      <c r="U479" s="296"/>
      <c r="V479" s="355"/>
    </row>
    <row r="480" ht="12.75" customHeight="1">
      <c r="M480" s="354"/>
      <c r="N480" s="296"/>
      <c r="O480" s="353"/>
      <c r="Q480" s="354"/>
      <c r="R480" s="355"/>
      <c r="T480" s="367"/>
      <c r="U480" s="296"/>
      <c r="V480" s="355"/>
    </row>
    <row r="481" ht="12.75" customHeight="1">
      <c r="M481" s="354"/>
      <c r="N481" s="296"/>
      <c r="O481" s="353"/>
      <c r="Q481" s="354"/>
      <c r="R481" s="355"/>
      <c r="T481" s="367"/>
      <c r="U481" s="296"/>
      <c r="V481" s="355"/>
    </row>
    <row r="482" ht="12.75" customHeight="1">
      <c r="M482" s="354"/>
      <c r="N482" s="296"/>
      <c r="O482" s="353"/>
      <c r="Q482" s="354"/>
      <c r="R482" s="355"/>
      <c r="T482" s="367"/>
      <c r="U482" s="296"/>
      <c r="V482" s="355"/>
    </row>
    <row r="483" ht="12.75" customHeight="1">
      <c r="M483" s="354"/>
      <c r="N483" s="296"/>
      <c r="O483" s="353"/>
      <c r="Q483" s="354"/>
      <c r="R483" s="355"/>
      <c r="T483" s="367"/>
      <c r="U483" s="296"/>
      <c r="V483" s="355"/>
    </row>
    <row r="484" ht="12.75" customHeight="1">
      <c r="M484" s="354"/>
      <c r="N484" s="296"/>
      <c r="O484" s="353"/>
      <c r="Q484" s="354"/>
      <c r="R484" s="355"/>
      <c r="T484" s="367"/>
      <c r="U484" s="296"/>
      <c r="V484" s="355"/>
    </row>
    <row r="485" ht="12.75" customHeight="1">
      <c r="M485" s="354"/>
      <c r="N485" s="296"/>
      <c r="O485" s="353"/>
      <c r="Q485" s="354"/>
      <c r="R485" s="355"/>
      <c r="T485" s="367"/>
      <c r="U485" s="296"/>
      <c r="V485" s="355"/>
    </row>
    <row r="486" ht="12.75" customHeight="1">
      <c r="M486" s="354"/>
      <c r="N486" s="296"/>
      <c r="O486" s="353"/>
      <c r="Q486" s="354"/>
      <c r="R486" s="355"/>
      <c r="T486" s="367"/>
      <c r="U486" s="296"/>
      <c r="V486" s="355"/>
    </row>
    <row r="487" ht="12.75" customHeight="1">
      <c r="M487" s="354"/>
      <c r="N487" s="296"/>
      <c r="O487" s="353"/>
      <c r="Q487" s="354"/>
      <c r="R487" s="355"/>
      <c r="T487" s="367"/>
      <c r="U487" s="296"/>
      <c r="V487" s="355"/>
    </row>
    <row r="488" ht="12.75" customHeight="1">
      <c r="M488" s="354"/>
      <c r="N488" s="296"/>
      <c r="O488" s="353"/>
      <c r="Q488" s="354"/>
      <c r="R488" s="355"/>
      <c r="T488" s="367"/>
      <c r="U488" s="296"/>
      <c r="V488" s="355"/>
    </row>
    <row r="489" ht="12.75" customHeight="1">
      <c r="M489" s="354"/>
      <c r="N489" s="296"/>
      <c r="O489" s="353"/>
      <c r="Q489" s="354"/>
      <c r="R489" s="355"/>
      <c r="T489" s="367"/>
      <c r="U489" s="296"/>
      <c r="V489" s="355"/>
    </row>
    <row r="490" ht="12.75" customHeight="1">
      <c r="M490" s="354"/>
      <c r="N490" s="296"/>
      <c r="O490" s="353"/>
      <c r="Q490" s="354"/>
      <c r="R490" s="355"/>
      <c r="T490" s="367"/>
      <c r="U490" s="296"/>
      <c r="V490" s="355"/>
    </row>
    <row r="491" ht="12.75" customHeight="1">
      <c r="M491" s="354"/>
      <c r="N491" s="296"/>
      <c r="O491" s="353"/>
      <c r="Q491" s="354"/>
      <c r="R491" s="355"/>
      <c r="T491" s="367"/>
      <c r="U491" s="296"/>
      <c r="V491" s="355"/>
    </row>
    <row r="492" ht="12.75" customHeight="1">
      <c r="M492" s="354"/>
      <c r="N492" s="296"/>
      <c r="O492" s="353"/>
      <c r="Q492" s="354"/>
      <c r="R492" s="355"/>
      <c r="T492" s="367"/>
      <c r="U492" s="296"/>
      <c r="V492" s="355"/>
    </row>
    <row r="493" ht="12.75" customHeight="1">
      <c r="M493" s="354"/>
      <c r="N493" s="296"/>
      <c r="O493" s="353"/>
      <c r="Q493" s="354"/>
      <c r="R493" s="355"/>
      <c r="T493" s="367"/>
      <c r="U493" s="296"/>
      <c r="V493" s="355"/>
    </row>
    <row r="494" ht="12.75" customHeight="1">
      <c r="M494" s="354"/>
      <c r="N494" s="296"/>
      <c r="O494" s="353"/>
      <c r="Q494" s="354"/>
      <c r="R494" s="355"/>
      <c r="T494" s="367"/>
      <c r="U494" s="296"/>
      <c r="V494" s="355"/>
    </row>
    <row r="495" ht="12.75" customHeight="1">
      <c r="M495" s="354"/>
      <c r="N495" s="296"/>
      <c r="O495" s="353"/>
      <c r="Q495" s="354"/>
      <c r="R495" s="355"/>
      <c r="T495" s="367"/>
      <c r="U495" s="296"/>
      <c r="V495" s="355"/>
    </row>
    <row r="496" ht="12.75" customHeight="1">
      <c r="M496" s="354"/>
      <c r="N496" s="296"/>
      <c r="O496" s="353"/>
      <c r="Q496" s="354"/>
      <c r="R496" s="355"/>
      <c r="T496" s="367"/>
      <c r="U496" s="296"/>
      <c r="V496" s="355"/>
    </row>
    <row r="497" ht="12.75" customHeight="1">
      <c r="M497" s="354"/>
      <c r="N497" s="296"/>
      <c r="O497" s="353"/>
      <c r="Q497" s="354"/>
      <c r="R497" s="355"/>
      <c r="T497" s="367"/>
      <c r="U497" s="296"/>
      <c r="V497" s="355"/>
    </row>
    <row r="498" ht="12.75" customHeight="1">
      <c r="M498" s="354"/>
      <c r="N498" s="296"/>
      <c r="O498" s="353"/>
      <c r="Q498" s="354"/>
      <c r="R498" s="355"/>
      <c r="T498" s="367"/>
      <c r="U498" s="296"/>
      <c r="V498" s="355"/>
    </row>
    <row r="499" ht="12.75" customHeight="1">
      <c r="M499" s="354"/>
      <c r="N499" s="296"/>
      <c r="O499" s="353"/>
      <c r="Q499" s="354"/>
      <c r="R499" s="355"/>
      <c r="T499" s="367"/>
      <c r="U499" s="296"/>
      <c r="V499" s="355"/>
    </row>
    <row r="500" ht="12.75" customHeight="1">
      <c r="M500" s="354"/>
      <c r="N500" s="296"/>
      <c r="O500" s="353"/>
      <c r="Q500" s="354"/>
      <c r="R500" s="355"/>
      <c r="T500" s="367"/>
      <c r="U500" s="296"/>
      <c r="V500" s="355"/>
    </row>
    <row r="501" ht="12.75" customHeight="1">
      <c r="M501" s="354"/>
      <c r="N501" s="296"/>
      <c r="O501" s="353"/>
      <c r="Q501" s="354"/>
      <c r="R501" s="355"/>
      <c r="T501" s="367"/>
      <c r="U501" s="296"/>
      <c r="V501" s="355"/>
    </row>
    <row r="502" ht="12.75" customHeight="1">
      <c r="M502" s="354"/>
      <c r="N502" s="296"/>
      <c r="O502" s="353"/>
      <c r="Q502" s="354"/>
      <c r="R502" s="355"/>
      <c r="T502" s="367"/>
      <c r="U502" s="296"/>
      <c r="V502" s="355"/>
    </row>
    <row r="503" ht="12.75" customHeight="1">
      <c r="M503" s="354"/>
      <c r="N503" s="296"/>
      <c r="O503" s="353"/>
      <c r="Q503" s="354"/>
      <c r="R503" s="355"/>
      <c r="T503" s="367"/>
      <c r="U503" s="296"/>
      <c r="V503" s="355"/>
    </row>
    <row r="504" ht="12.75" customHeight="1">
      <c r="M504" s="354"/>
      <c r="N504" s="296"/>
      <c r="O504" s="353"/>
      <c r="Q504" s="354"/>
      <c r="R504" s="355"/>
      <c r="T504" s="367"/>
      <c r="U504" s="296"/>
      <c r="V504" s="355"/>
    </row>
    <row r="505" ht="12.75" customHeight="1">
      <c r="M505" s="354"/>
      <c r="N505" s="296"/>
      <c r="O505" s="353"/>
      <c r="Q505" s="354"/>
      <c r="R505" s="355"/>
      <c r="T505" s="367"/>
      <c r="U505" s="296"/>
      <c r="V505" s="355"/>
    </row>
    <row r="506" ht="12.75" customHeight="1">
      <c r="M506" s="354"/>
      <c r="N506" s="296"/>
      <c r="O506" s="353"/>
      <c r="Q506" s="354"/>
      <c r="R506" s="355"/>
      <c r="T506" s="367"/>
      <c r="U506" s="296"/>
      <c r="V506" s="355"/>
    </row>
    <row r="507" ht="12.75" customHeight="1">
      <c r="M507" s="354"/>
      <c r="N507" s="296"/>
      <c r="O507" s="353"/>
      <c r="Q507" s="354"/>
      <c r="R507" s="355"/>
      <c r="T507" s="367"/>
      <c r="U507" s="296"/>
      <c r="V507" s="355"/>
    </row>
    <row r="508" ht="12.75" customHeight="1">
      <c r="M508" s="354"/>
      <c r="N508" s="296"/>
      <c r="O508" s="353"/>
      <c r="Q508" s="354"/>
      <c r="R508" s="355"/>
      <c r="T508" s="367"/>
      <c r="U508" s="296"/>
      <c r="V508" s="355"/>
    </row>
    <row r="509" ht="12.75" customHeight="1">
      <c r="M509" s="354"/>
      <c r="N509" s="296"/>
      <c r="O509" s="353"/>
      <c r="Q509" s="354"/>
      <c r="R509" s="355"/>
      <c r="T509" s="367"/>
      <c r="U509" s="296"/>
      <c r="V509" s="355"/>
    </row>
    <row r="510" ht="12.75" customHeight="1">
      <c r="M510" s="354"/>
      <c r="N510" s="296"/>
      <c r="O510" s="353"/>
      <c r="Q510" s="354"/>
      <c r="R510" s="355"/>
      <c r="T510" s="367"/>
      <c r="U510" s="296"/>
      <c r="V510" s="355"/>
    </row>
    <row r="511" ht="12.75" customHeight="1">
      <c r="M511" s="354"/>
      <c r="N511" s="296"/>
      <c r="O511" s="353"/>
      <c r="Q511" s="354"/>
      <c r="R511" s="355"/>
      <c r="T511" s="367"/>
      <c r="U511" s="296"/>
      <c r="V511" s="355"/>
    </row>
    <row r="512" ht="12.75" customHeight="1">
      <c r="M512" s="354"/>
      <c r="N512" s="296"/>
      <c r="O512" s="353"/>
      <c r="Q512" s="354"/>
      <c r="R512" s="355"/>
      <c r="T512" s="367"/>
      <c r="U512" s="296"/>
      <c r="V512" s="355"/>
    </row>
    <row r="513" ht="12.75" customHeight="1">
      <c r="M513" s="354"/>
      <c r="N513" s="296"/>
      <c r="O513" s="353"/>
      <c r="Q513" s="354"/>
      <c r="R513" s="355"/>
      <c r="T513" s="367"/>
      <c r="U513" s="296"/>
      <c r="V513" s="355"/>
    </row>
    <row r="514" ht="12.75" customHeight="1">
      <c r="M514" s="354"/>
      <c r="N514" s="296"/>
      <c r="O514" s="353"/>
      <c r="Q514" s="354"/>
      <c r="R514" s="355"/>
      <c r="T514" s="367"/>
      <c r="U514" s="296"/>
      <c r="V514" s="355"/>
    </row>
    <row r="515" ht="12.75" customHeight="1">
      <c r="M515" s="354"/>
      <c r="N515" s="296"/>
      <c r="O515" s="353"/>
      <c r="Q515" s="354"/>
      <c r="R515" s="355"/>
      <c r="T515" s="367"/>
      <c r="U515" s="296"/>
      <c r="V515" s="355"/>
    </row>
    <row r="516" ht="12.75" customHeight="1">
      <c r="M516" s="354"/>
      <c r="N516" s="296"/>
      <c r="O516" s="353"/>
      <c r="Q516" s="354"/>
      <c r="R516" s="355"/>
      <c r="T516" s="367"/>
      <c r="U516" s="296"/>
      <c r="V516" s="355"/>
    </row>
    <row r="517" ht="12.75" customHeight="1">
      <c r="M517" s="354"/>
      <c r="N517" s="296"/>
      <c r="O517" s="353"/>
      <c r="Q517" s="354"/>
      <c r="R517" s="355"/>
      <c r="T517" s="367"/>
      <c r="U517" s="296"/>
      <c r="V517" s="355"/>
    </row>
    <row r="518" ht="12.75" customHeight="1">
      <c r="M518" s="354"/>
      <c r="N518" s="296"/>
      <c r="O518" s="353"/>
      <c r="Q518" s="354"/>
      <c r="R518" s="355"/>
      <c r="T518" s="367"/>
      <c r="U518" s="296"/>
      <c r="V518" s="355"/>
    </row>
    <row r="519" ht="12.75" customHeight="1">
      <c r="M519" s="354"/>
      <c r="N519" s="296"/>
      <c r="O519" s="353"/>
      <c r="Q519" s="354"/>
      <c r="R519" s="355"/>
      <c r="T519" s="367"/>
      <c r="U519" s="296"/>
      <c r="V519" s="355"/>
    </row>
    <row r="520" ht="12.75" customHeight="1">
      <c r="M520" s="354"/>
      <c r="N520" s="296"/>
      <c r="O520" s="353"/>
      <c r="Q520" s="354"/>
      <c r="R520" s="355"/>
      <c r="T520" s="367"/>
      <c r="U520" s="296"/>
      <c r="V520" s="355"/>
    </row>
    <row r="521" ht="12.75" customHeight="1">
      <c r="M521" s="354"/>
      <c r="N521" s="296"/>
      <c r="O521" s="353"/>
      <c r="Q521" s="354"/>
      <c r="R521" s="355"/>
      <c r="T521" s="367"/>
      <c r="U521" s="296"/>
      <c r="V521" s="355"/>
    </row>
    <row r="522" ht="12.75" customHeight="1">
      <c r="M522" s="354"/>
      <c r="N522" s="296"/>
      <c r="O522" s="353"/>
      <c r="Q522" s="354"/>
      <c r="R522" s="355"/>
      <c r="T522" s="367"/>
      <c r="U522" s="296"/>
      <c r="V522" s="355"/>
    </row>
    <row r="523" ht="12.75" customHeight="1">
      <c r="M523" s="354"/>
      <c r="N523" s="296"/>
      <c r="O523" s="353"/>
      <c r="Q523" s="354"/>
      <c r="R523" s="355"/>
      <c r="T523" s="367"/>
      <c r="U523" s="296"/>
      <c r="V523" s="355"/>
    </row>
    <row r="524" ht="12.75" customHeight="1">
      <c r="M524" s="354"/>
      <c r="N524" s="296"/>
      <c r="O524" s="353"/>
      <c r="Q524" s="354"/>
      <c r="R524" s="355"/>
      <c r="T524" s="367"/>
      <c r="U524" s="296"/>
      <c r="V524" s="355"/>
    </row>
    <row r="525" ht="12.75" customHeight="1">
      <c r="M525" s="354"/>
      <c r="N525" s="296"/>
      <c r="O525" s="353"/>
      <c r="Q525" s="354"/>
      <c r="R525" s="355"/>
      <c r="T525" s="367"/>
      <c r="U525" s="296"/>
      <c r="V525" s="355"/>
    </row>
    <row r="526" ht="12.75" customHeight="1">
      <c r="M526" s="354"/>
      <c r="N526" s="296"/>
      <c r="O526" s="353"/>
      <c r="Q526" s="354"/>
      <c r="R526" s="355"/>
      <c r="T526" s="367"/>
      <c r="U526" s="296"/>
      <c r="V526" s="355"/>
    </row>
    <row r="527" ht="12.75" customHeight="1">
      <c r="M527" s="354"/>
      <c r="N527" s="296"/>
      <c r="O527" s="353"/>
      <c r="Q527" s="354"/>
      <c r="R527" s="355"/>
      <c r="T527" s="367"/>
      <c r="U527" s="296"/>
      <c r="V527" s="355"/>
    </row>
    <row r="528" ht="12.75" customHeight="1">
      <c r="M528" s="354"/>
      <c r="N528" s="296"/>
      <c r="O528" s="353"/>
      <c r="Q528" s="354"/>
      <c r="R528" s="355"/>
      <c r="T528" s="367"/>
      <c r="U528" s="296"/>
      <c r="V528" s="355"/>
    </row>
    <row r="529" ht="12.75" customHeight="1">
      <c r="M529" s="354"/>
      <c r="N529" s="296"/>
      <c r="O529" s="353"/>
      <c r="Q529" s="354"/>
      <c r="R529" s="355"/>
      <c r="T529" s="367"/>
      <c r="U529" s="296"/>
      <c r="V529" s="355"/>
    </row>
    <row r="530" ht="12.75" customHeight="1">
      <c r="M530" s="354"/>
      <c r="N530" s="296"/>
      <c r="O530" s="353"/>
      <c r="Q530" s="354"/>
      <c r="R530" s="355"/>
      <c r="T530" s="367"/>
      <c r="U530" s="296"/>
      <c r="V530" s="355"/>
    </row>
    <row r="531" ht="12.75" customHeight="1">
      <c r="M531" s="354"/>
      <c r="N531" s="296"/>
      <c r="O531" s="353"/>
      <c r="Q531" s="354"/>
      <c r="R531" s="355"/>
      <c r="T531" s="367"/>
      <c r="U531" s="296"/>
      <c r="V531" s="355"/>
    </row>
    <row r="532" ht="12.75" customHeight="1">
      <c r="M532" s="354"/>
      <c r="N532" s="296"/>
      <c r="O532" s="353"/>
      <c r="Q532" s="354"/>
      <c r="R532" s="355"/>
      <c r="T532" s="367"/>
      <c r="U532" s="296"/>
      <c r="V532" s="355"/>
    </row>
    <row r="533" ht="12.75" customHeight="1">
      <c r="M533" s="354"/>
      <c r="N533" s="296"/>
      <c r="O533" s="353"/>
      <c r="Q533" s="354"/>
      <c r="R533" s="355"/>
      <c r="T533" s="367"/>
      <c r="U533" s="296"/>
      <c r="V533" s="355"/>
    </row>
    <row r="534" ht="12.75" customHeight="1">
      <c r="M534" s="354"/>
      <c r="N534" s="296"/>
      <c r="O534" s="353"/>
      <c r="Q534" s="354"/>
      <c r="R534" s="355"/>
      <c r="T534" s="367"/>
      <c r="U534" s="296"/>
      <c r="V534" s="355"/>
    </row>
    <row r="535" ht="12.75" customHeight="1">
      <c r="M535" s="354"/>
      <c r="N535" s="296"/>
      <c r="O535" s="353"/>
      <c r="Q535" s="354"/>
      <c r="R535" s="355"/>
      <c r="T535" s="367"/>
      <c r="U535" s="296"/>
      <c r="V535" s="355"/>
    </row>
    <row r="536" ht="12.75" customHeight="1">
      <c r="M536" s="354"/>
      <c r="N536" s="296"/>
      <c r="O536" s="353"/>
      <c r="Q536" s="354"/>
      <c r="R536" s="355"/>
      <c r="T536" s="367"/>
      <c r="U536" s="296"/>
      <c r="V536" s="355"/>
    </row>
    <row r="537" ht="12.75" customHeight="1">
      <c r="M537" s="354"/>
      <c r="N537" s="296"/>
      <c r="O537" s="353"/>
      <c r="Q537" s="354"/>
      <c r="R537" s="355"/>
      <c r="T537" s="367"/>
      <c r="U537" s="296"/>
      <c r="V537" s="355"/>
    </row>
    <row r="538" ht="12.75" customHeight="1">
      <c r="M538" s="354"/>
      <c r="N538" s="296"/>
      <c r="O538" s="353"/>
      <c r="Q538" s="354"/>
      <c r="R538" s="355"/>
      <c r="T538" s="367"/>
      <c r="U538" s="296"/>
      <c r="V538" s="355"/>
    </row>
    <row r="539" ht="12.75" customHeight="1">
      <c r="M539" s="354"/>
      <c r="N539" s="296"/>
      <c r="O539" s="353"/>
      <c r="Q539" s="354"/>
      <c r="R539" s="355"/>
      <c r="T539" s="367"/>
      <c r="U539" s="296"/>
      <c r="V539" s="355"/>
    </row>
    <row r="540" ht="12.75" customHeight="1">
      <c r="M540" s="354"/>
      <c r="N540" s="296"/>
      <c r="O540" s="353"/>
      <c r="Q540" s="354"/>
      <c r="R540" s="355"/>
      <c r="T540" s="367"/>
      <c r="U540" s="296"/>
      <c r="V540" s="355"/>
    </row>
    <row r="541" ht="12.75" customHeight="1">
      <c r="M541" s="354"/>
      <c r="N541" s="296"/>
      <c r="O541" s="353"/>
      <c r="Q541" s="354"/>
      <c r="R541" s="355"/>
      <c r="T541" s="367"/>
      <c r="U541" s="296"/>
      <c r="V541" s="355"/>
    </row>
    <row r="542" ht="12.75" customHeight="1">
      <c r="M542" s="354"/>
      <c r="N542" s="296"/>
      <c r="O542" s="353"/>
      <c r="Q542" s="354"/>
      <c r="R542" s="355"/>
      <c r="T542" s="367"/>
      <c r="U542" s="296"/>
      <c r="V542" s="355"/>
    </row>
    <row r="543" ht="12.75" customHeight="1">
      <c r="M543" s="354"/>
      <c r="N543" s="296"/>
      <c r="O543" s="353"/>
      <c r="Q543" s="354"/>
      <c r="R543" s="355"/>
      <c r="T543" s="367"/>
      <c r="U543" s="296"/>
      <c r="V543" s="355"/>
    </row>
    <row r="544" ht="12.75" customHeight="1">
      <c r="M544" s="354"/>
      <c r="N544" s="296"/>
      <c r="O544" s="353"/>
      <c r="Q544" s="354"/>
      <c r="R544" s="355"/>
      <c r="T544" s="367"/>
      <c r="U544" s="296"/>
      <c r="V544" s="355"/>
    </row>
    <row r="545" ht="12.75" customHeight="1">
      <c r="M545" s="354"/>
      <c r="N545" s="296"/>
      <c r="O545" s="353"/>
      <c r="Q545" s="354"/>
      <c r="R545" s="355"/>
      <c r="T545" s="367"/>
      <c r="U545" s="296"/>
      <c r="V545" s="355"/>
    </row>
    <row r="546" ht="12.75" customHeight="1">
      <c r="M546" s="354"/>
      <c r="N546" s="296"/>
      <c r="O546" s="353"/>
      <c r="Q546" s="354"/>
      <c r="R546" s="355"/>
      <c r="T546" s="367"/>
      <c r="U546" s="296"/>
      <c r="V546" s="355"/>
    </row>
    <row r="547" ht="12.75" customHeight="1">
      <c r="M547" s="354"/>
      <c r="N547" s="296"/>
      <c r="O547" s="353"/>
      <c r="Q547" s="354"/>
      <c r="R547" s="355"/>
      <c r="T547" s="367"/>
      <c r="U547" s="296"/>
      <c r="V547" s="355"/>
    </row>
    <row r="548" ht="12.75" customHeight="1">
      <c r="M548" s="354"/>
      <c r="N548" s="296"/>
      <c r="O548" s="353"/>
      <c r="Q548" s="354"/>
      <c r="R548" s="355"/>
      <c r="T548" s="367"/>
      <c r="U548" s="296"/>
      <c r="V548" s="355"/>
    </row>
    <row r="549" ht="12.75" customHeight="1">
      <c r="M549" s="354"/>
      <c r="N549" s="296"/>
      <c r="O549" s="353"/>
      <c r="Q549" s="354"/>
      <c r="R549" s="355"/>
      <c r="T549" s="367"/>
      <c r="U549" s="296"/>
      <c r="V549" s="355"/>
    </row>
    <row r="550" ht="12.75" customHeight="1">
      <c r="M550" s="354"/>
      <c r="N550" s="296"/>
      <c r="O550" s="353"/>
      <c r="Q550" s="354"/>
      <c r="R550" s="355"/>
      <c r="T550" s="367"/>
      <c r="U550" s="296"/>
      <c r="V550" s="355"/>
    </row>
    <row r="551" ht="12.75" customHeight="1">
      <c r="M551" s="354"/>
      <c r="N551" s="296"/>
      <c r="O551" s="353"/>
      <c r="Q551" s="354"/>
      <c r="R551" s="355"/>
      <c r="T551" s="367"/>
      <c r="U551" s="296"/>
      <c r="V551" s="355"/>
    </row>
    <row r="552" ht="12.75" customHeight="1">
      <c r="M552" s="354"/>
      <c r="N552" s="296"/>
      <c r="O552" s="353"/>
      <c r="Q552" s="354"/>
      <c r="R552" s="355"/>
      <c r="T552" s="367"/>
      <c r="U552" s="296"/>
      <c r="V552" s="355"/>
    </row>
    <row r="553" ht="12.75" customHeight="1">
      <c r="M553" s="354"/>
      <c r="N553" s="296"/>
      <c r="O553" s="353"/>
      <c r="Q553" s="354"/>
      <c r="R553" s="355"/>
      <c r="T553" s="367"/>
      <c r="U553" s="296"/>
      <c r="V553" s="355"/>
    </row>
    <row r="554" ht="12.75" customHeight="1">
      <c r="M554" s="354"/>
      <c r="N554" s="296"/>
      <c r="O554" s="353"/>
      <c r="Q554" s="354"/>
      <c r="R554" s="355"/>
      <c r="T554" s="367"/>
      <c r="U554" s="296"/>
      <c r="V554" s="355"/>
    </row>
    <row r="555" ht="12.75" customHeight="1">
      <c r="M555" s="354"/>
      <c r="N555" s="296"/>
      <c r="O555" s="353"/>
      <c r="Q555" s="354"/>
      <c r="R555" s="355"/>
      <c r="T555" s="367"/>
      <c r="U555" s="296"/>
      <c r="V555" s="355"/>
    </row>
    <row r="556" ht="12.75" customHeight="1">
      <c r="M556" s="354"/>
      <c r="N556" s="296"/>
      <c r="O556" s="353"/>
      <c r="Q556" s="354"/>
      <c r="R556" s="355"/>
      <c r="T556" s="367"/>
      <c r="U556" s="296"/>
      <c r="V556" s="355"/>
    </row>
    <row r="557" ht="12.75" customHeight="1">
      <c r="M557" s="354"/>
      <c r="N557" s="296"/>
      <c r="O557" s="353"/>
      <c r="Q557" s="354"/>
      <c r="R557" s="355"/>
      <c r="T557" s="367"/>
      <c r="U557" s="296"/>
      <c r="V557" s="355"/>
    </row>
    <row r="558" ht="12.75" customHeight="1">
      <c r="M558" s="354"/>
      <c r="N558" s="296"/>
      <c r="O558" s="353"/>
      <c r="Q558" s="354"/>
      <c r="R558" s="355"/>
      <c r="T558" s="367"/>
      <c r="U558" s="296"/>
      <c r="V558" s="355"/>
    </row>
    <row r="559" ht="12.75" customHeight="1">
      <c r="M559" s="354"/>
      <c r="N559" s="296"/>
      <c r="O559" s="353"/>
      <c r="Q559" s="354"/>
      <c r="R559" s="355"/>
      <c r="T559" s="367"/>
      <c r="U559" s="296"/>
      <c r="V559" s="355"/>
    </row>
    <row r="560" ht="12.75" customHeight="1">
      <c r="M560" s="354"/>
      <c r="N560" s="296"/>
      <c r="O560" s="353"/>
      <c r="Q560" s="354"/>
      <c r="R560" s="355"/>
      <c r="T560" s="367"/>
      <c r="U560" s="296"/>
      <c r="V560" s="355"/>
    </row>
    <row r="561" ht="12.75" customHeight="1">
      <c r="M561" s="354"/>
      <c r="N561" s="296"/>
      <c r="O561" s="353"/>
      <c r="Q561" s="354"/>
      <c r="R561" s="355"/>
      <c r="T561" s="367"/>
      <c r="U561" s="296"/>
      <c r="V561" s="355"/>
    </row>
    <row r="562" ht="12.75" customHeight="1">
      <c r="M562" s="354"/>
      <c r="N562" s="296"/>
      <c r="O562" s="353"/>
      <c r="Q562" s="354"/>
      <c r="R562" s="355"/>
      <c r="T562" s="367"/>
      <c r="U562" s="296"/>
      <c r="V562" s="355"/>
    </row>
    <row r="563" ht="12.75" customHeight="1">
      <c r="M563" s="354"/>
      <c r="N563" s="296"/>
      <c r="O563" s="353"/>
      <c r="Q563" s="354"/>
      <c r="R563" s="355"/>
      <c r="T563" s="367"/>
      <c r="U563" s="296"/>
      <c r="V563" s="355"/>
    </row>
    <row r="564" ht="12.75" customHeight="1">
      <c r="M564" s="354"/>
      <c r="N564" s="296"/>
      <c r="O564" s="353"/>
      <c r="Q564" s="354"/>
      <c r="R564" s="355"/>
      <c r="T564" s="367"/>
      <c r="U564" s="296"/>
      <c r="V564" s="355"/>
    </row>
    <row r="565" ht="12.75" customHeight="1">
      <c r="M565" s="354"/>
      <c r="N565" s="296"/>
      <c r="O565" s="353"/>
      <c r="Q565" s="354"/>
      <c r="R565" s="355"/>
      <c r="T565" s="367"/>
      <c r="U565" s="296"/>
      <c r="V565" s="355"/>
    </row>
    <row r="566" ht="12.75" customHeight="1">
      <c r="M566" s="354"/>
      <c r="N566" s="296"/>
      <c r="O566" s="353"/>
      <c r="Q566" s="354"/>
      <c r="R566" s="355"/>
      <c r="T566" s="367"/>
      <c r="U566" s="296"/>
      <c r="V566" s="355"/>
    </row>
    <row r="567" ht="12.75" customHeight="1">
      <c r="M567" s="354"/>
      <c r="N567" s="296"/>
      <c r="O567" s="353"/>
      <c r="Q567" s="354"/>
      <c r="R567" s="355"/>
      <c r="T567" s="367"/>
      <c r="U567" s="296"/>
      <c r="V567" s="355"/>
    </row>
    <row r="568" ht="12.75" customHeight="1">
      <c r="M568" s="354"/>
      <c r="N568" s="296"/>
      <c r="O568" s="353"/>
      <c r="Q568" s="354"/>
      <c r="R568" s="355"/>
      <c r="T568" s="367"/>
      <c r="U568" s="296"/>
      <c r="V568" s="355"/>
    </row>
    <row r="569" ht="12.75" customHeight="1">
      <c r="M569" s="354"/>
      <c r="N569" s="296"/>
      <c r="O569" s="353"/>
      <c r="Q569" s="354"/>
      <c r="R569" s="355"/>
      <c r="T569" s="367"/>
      <c r="U569" s="296"/>
      <c r="V569" s="355"/>
    </row>
    <row r="570" ht="12.75" customHeight="1">
      <c r="M570" s="354"/>
      <c r="N570" s="296"/>
      <c r="O570" s="353"/>
      <c r="Q570" s="354"/>
      <c r="R570" s="355"/>
      <c r="T570" s="367"/>
      <c r="U570" s="296"/>
      <c r="V570" s="355"/>
    </row>
    <row r="571" ht="12.75" customHeight="1">
      <c r="M571" s="354"/>
      <c r="N571" s="296"/>
      <c r="O571" s="353"/>
      <c r="Q571" s="354"/>
      <c r="R571" s="355"/>
      <c r="T571" s="367"/>
      <c r="U571" s="296"/>
      <c r="V571" s="355"/>
    </row>
    <row r="572" ht="12.75" customHeight="1">
      <c r="M572" s="354"/>
      <c r="N572" s="296"/>
      <c r="O572" s="353"/>
      <c r="Q572" s="354"/>
      <c r="R572" s="355"/>
      <c r="T572" s="367"/>
      <c r="U572" s="296"/>
      <c r="V572" s="355"/>
    </row>
    <row r="573" ht="12.75" customHeight="1">
      <c r="M573" s="354"/>
      <c r="N573" s="296"/>
      <c r="O573" s="353"/>
      <c r="Q573" s="354"/>
      <c r="R573" s="355"/>
      <c r="T573" s="367"/>
      <c r="U573" s="296"/>
      <c r="V573" s="355"/>
    </row>
    <row r="574" ht="12.75" customHeight="1">
      <c r="M574" s="354"/>
      <c r="N574" s="296"/>
      <c r="O574" s="353"/>
      <c r="Q574" s="354"/>
      <c r="R574" s="355"/>
      <c r="T574" s="367"/>
      <c r="U574" s="296"/>
      <c r="V574" s="355"/>
    </row>
    <row r="575" ht="12.75" customHeight="1">
      <c r="M575" s="354"/>
      <c r="N575" s="296"/>
      <c r="O575" s="353"/>
      <c r="Q575" s="354"/>
      <c r="R575" s="355"/>
      <c r="T575" s="367"/>
      <c r="U575" s="296"/>
      <c r="V575" s="355"/>
    </row>
    <row r="576" ht="12.75" customHeight="1">
      <c r="M576" s="354"/>
      <c r="N576" s="296"/>
      <c r="O576" s="353"/>
      <c r="Q576" s="354"/>
      <c r="R576" s="355"/>
      <c r="T576" s="367"/>
      <c r="U576" s="296"/>
      <c r="V576" s="355"/>
    </row>
    <row r="577" ht="12.75" customHeight="1">
      <c r="M577" s="354"/>
      <c r="N577" s="296"/>
      <c r="O577" s="353"/>
      <c r="Q577" s="354"/>
      <c r="R577" s="355"/>
      <c r="T577" s="367"/>
      <c r="U577" s="296"/>
      <c r="V577" s="355"/>
    </row>
    <row r="578" ht="12.75" customHeight="1">
      <c r="M578" s="354"/>
      <c r="N578" s="296"/>
      <c r="O578" s="353"/>
      <c r="Q578" s="354"/>
      <c r="R578" s="355"/>
      <c r="T578" s="367"/>
      <c r="U578" s="296"/>
      <c r="V578" s="355"/>
    </row>
    <row r="579" ht="12.75" customHeight="1">
      <c r="M579" s="354"/>
      <c r="N579" s="296"/>
      <c r="O579" s="353"/>
      <c r="Q579" s="354"/>
      <c r="R579" s="355"/>
      <c r="T579" s="367"/>
      <c r="U579" s="296"/>
      <c r="V579" s="355"/>
    </row>
    <row r="580" ht="12.75" customHeight="1">
      <c r="M580" s="354"/>
      <c r="N580" s="296"/>
      <c r="O580" s="353"/>
      <c r="Q580" s="354"/>
      <c r="R580" s="355"/>
      <c r="T580" s="367"/>
      <c r="U580" s="296"/>
      <c r="V580" s="355"/>
    </row>
    <row r="581" ht="12.75" customHeight="1">
      <c r="M581" s="354"/>
      <c r="N581" s="296"/>
      <c r="O581" s="353"/>
      <c r="Q581" s="354"/>
      <c r="R581" s="355"/>
      <c r="T581" s="367"/>
      <c r="U581" s="296"/>
      <c r="V581" s="355"/>
    </row>
    <row r="582" ht="12.75" customHeight="1">
      <c r="M582" s="354"/>
      <c r="N582" s="296"/>
      <c r="O582" s="353"/>
      <c r="Q582" s="354"/>
      <c r="R582" s="355"/>
      <c r="T582" s="367"/>
      <c r="U582" s="296"/>
      <c r="V582" s="355"/>
    </row>
    <row r="583" ht="12.75" customHeight="1">
      <c r="M583" s="354"/>
      <c r="N583" s="296"/>
      <c r="O583" s="353"/>
      <c r="Q583" s="354"/>
      <c r="R583" s="355"/>
      <c r="T583" s="367"/>
      <c r="U583" s="296"/>
      <c r="V583" s="355"/>
    </row>
    <row r="584" ht="12.75" customHeight="1">
      <c r="M584" s="354"/>
      <c r="N584" s="296"/>
      <c r="O584" s="353"/>
      <c r="Q584" s="354"/>
      <c r="R584" s="355"/>
      <c r="T584" s="367"/>
      <c r="U584" s="296"/>
      <c r="V584" s="355"/>
    </row>
    <row r="585" ht="12.75" customHeight="1">
      <c r="M585" s="354"/>
      <c r="N585" s="296"/>
      <c r="O585" s="353"/>
      <c r="Q585" s="354"/>
      <c r="R585" s="355"/>
      <c r="T585" s="367"/>
      <c r="U585" s="296"/>
      <c r="V585" s="355"/>
    </row>
    <row r="586" ht="12.75" customHeight="1">
      <c r="M586" s="354"/>
      <c r="N586" s="296"/>
      <c r="O586" s="353"/>
      <c r="Q586" s="354"/>
      <c r="R586" s="355"/>
      <c r="T586" s="367"/>
      <c r="U586" s="296"/>
      <c r="V586" s="355"/>
    </row>
    <row r="587" ht="12.75" customHeight="1">
      <c r="M587" s="354"/>
      <c r="N587" s="296"/>
      <c r="O587" s="353"/>
      <c r="Q587" s="354"/>
      <c r="R587" s="355"/>
      <c r="T587" s="367"/>
      <c r="U587" s="296"/>
      <c r="V587" s="355"/>
    </row>
    <row r="588" ht="12.75" customHeight="1">
      <c r="M588" s="354"/>
      <c r="N588" s="296"/>
      <c r="O588" s="353"/>
      <c r="Q588" s="354"/>
      <c r="R588" s="355"/>
      <c r="T588" s="367"/>
      <c r="U588" s="296"/>
      <c r="V588" s="355"/>
    </row>
    <row r="589" ht="12.75" customHeight="1">
      <c r="M589" s="354"/>
      <c r="N589" s="296"/>
      <c r="O589" s="353"/>
      <c r="Q589" s="354"/>
      <c r="R589" s="355"/>
      <c r="T589" s="367"/>
      <c r="U589" s="296"/>
      <c r="V589" s="355"/>
    </row>
    <row r="590" ht="12.75" customHeight="1">
      <c r="M590" s="354"/>
      <c r="N590" s="296"/>
      <c r="O590" s="353"/>
      <c r="Q590" s="354"/>
      <c r="R590" s="355"/>
      <c r="T590" s="367"/>
      <c r="U590" s="296"/>
      <c r="V590" s="355"/>
    </row>
    <row r="591" ht="12.75" customHeight="1">
      <c r="M591" s="354"/>
      <c r="N591" s="296"/>
      <c r="O591" s="353"/>
      <c r="Q591" s="354"/>
      <c r="R591" s="355"/>
      <c r="T591" s="367"/>
      <c r="U591" s="296"/>
      <c r="V591" s="355"/>
    </row>
    <row r="592" ht="12.75" customHeight="1">
      <c r="M592" s="354"/>
      <c r="N592" s="296"/>
      <c r="O592" s="353"/>
      <c r="Q592" s="354"/>
      <c r="R592" s="355"/>
      <c r="T592" s="367"/>
      <c r="U592" s="296"/>
      <c r="V592" s="355"/>
    </row>
    <row r="593" ht="12.75" customHeight="1">
      <c r="M593" s="354"/>
      <c r="N593" s="296"/>
      <c r="O593" s="353"/>
      <c r="Q593" s="354"/>
      <c r="R593" s="355"/>
      <c r="T593" s="367"/>
      <c r="U593" s="296"/>
      <c r="V593" s="355"/>
    </row>
    <row r="594" ht="12.75" customHeight="1">
      <c r="M594" s="354"/>
      <c r="N594" s="296"/>
      <c r="O594" s="353"/>
      <c r="Q594" s="354"/>
      <c r="R594" s="355"/>
      <c r="T594" s="367"/>
      <c r="U594" s="296"/>
      <c r="V594" s="355"/>
    </row>
    <row r="595" ht="12.75" customHeight="1">
      <c r="M595" s="354"/>
      <c r="N595" s="296"/>
      <c r="O595" s="353"/>
      <c r="Q595" s="354"/>
      <c r="R595" s="355"/>
      <c r="T595" s="367"/>
      <c r="U595" s="296"/>
      <c r="V595" s="355"/>
    </row>
    <row r="596" ht="12.75" customHeight="1">
      <c r="M596" s="354"/>
      <c r="N596" s="296"/>
      <c r="O596" s="353"/>
      <c r="Q596" s="354"/>
      <c r="R596" s="355"/>
      <c r="T596" s="367"/>
      <c r="U596" s="296"/>
      <c r="V596" s="355"/>
    </row>
    <row r="597" ht="12.75" customHeight="1">
      <c r="M597" s="354"/>
      <c r="N597" s="296"/>
      <c r="O597" s="353"/>
      <c r="Q597" s="354"/>
      <c r="R597" s="355"/>
      <c r="T597" s="367"/>
      <c r="U597" s="296"/>
      <c r="V597" s="355"/>
    </row>
    <row r="598" ht="12.75" customHeight="1">
      <c r="M598" s="354"/>
      <c r="N598" s="296"/>
      <c r="O598" s="353"/>
      <c r="Q598" s="354"/>
      <c r="R598" s="355"/>
      <c r="T598" s="367"/>
      <c r="U598" s="296"/>
      <c r="V598" s="355"/>
    </row>
    <row r="599" ht="12.75" customHeight="1">
      <c r="M599" s="354"/>
      <c r="N599" s="296"/>
      <c r="O599" s="353"/>
      <c r="Q599" s="354"/>
      <c r="R599" s="355"/>
      <c r="T599" s="367"/>
      <c r="U599" s="296"/>
      <c r="V599" s="355"/>
    </row>
    <row r="600" ht="12.75" customHeight="1">
      <c r="M600" s="354"/>
      <c r="N600" s="296"/>
      <c r="O600" s="353"/>
      <c r="Q600" s="354"/>
      <c r="R600" s="355"/>
      <c r="T600" s="367"/>
      <c r="U600" s="296"/>
      <c r="V600" s="355"/>
    </row>
    <row r="601" ht="12.75" customHeight="1">
      <c r="M601" s="354"/>
      <c r="N601" s="296"/>
      <c r="O601" s="353"/>
      <c r="Q601" s="354"/>
      <c r="R601" s="355"/>
      <c r="T601" s="367"/>
      <c r="U601" s="296"/>
      <c r="V601" s="355"/>
    </row>
    <row r="602" ht="12.75" customHeight="1">
      <c r="M602" s="354"/>
      <c r="N602" s="296"/>
      <c r="O602" s="353"/>
      <c r="Q602" s="354"/>
      <c r="R602" s="355"/>
      <c r="T602" s="367"/>
      <c r="U602" s="296"/>
      <c r="V602" s="355"/>
    </row>
    <row r="603" ht="12.75" customHeight="1">
      <c r="M603" s="354"/>
      <c r="N603" s="296"/>
      <c r="O603" s="353"/>
      <c r="Q603" s="354"/>
      <c r="R603" s="355"/>
      <c r="T603" s="367"/>
      <c r="U603" s="296"/>
      <c r="V603" s="355"/>
    </row>
    <row r="604" ht="12.75" customHeight="1">
      <c r="M604" s="354"/>
      <c r="N604" s="296"/>
      <c r="O604" s="353"/>
      <c r="Q604" s="354"/>
      <c r="R604" s="355"/>
      <c r="T604" s="367"/>
      <c r="U604" s="296"/>
      <c r="V604" s="355"/>
    </row>
    <row r="605" ht="12.75" customHeight="1">
      <c r="M605" s="354"/>
      <c r="N605" s="296"/>
      <c r="O605" s="353"/>
      <c r="Q605" s="354"/>
      <c r="R605" s="355"/>
      <c r="T605" s="367"/>
      <c r="U605" s="296"/>
      <c r="V605" s="355"/>
    </row>
    <row r="606" ht="12.75" customHeight="1">
      <c r="M606" s="354"/>
      <c r="N606" s="296"/>
      <c r="O606" s="353"/>
      <c r="Q606" s="354"/>
      <c r="R606" s="355"/>
      <c r="T606" s="367"/>
      <c r="U606" s="296"/>
      <c r="V606" s="355"/>
    </row>
    <row r="607" ht="12.75" customHeight="1">
      <c r="M607" s="354"/>
      <c r="N607" s="296"/>
      <c r="O607" s="353"/>
      <c r="Q607" s="354"/>
      <c r="R607" s="355"/>
      <c r="T607" s="367"/>
      <c r="U607" s="296"/>
      <c r="V607" s="355"/>
    </row>
    <row r="608" ht="12.75" customHeight="1">
      <c r="M608" s="354"/>
      <c r="N608" s="296"/>
      <c r="O608" s="353"/>
      <c r="Q608" s="354"/>
      <c r="R608" s="355"/>
      <c r="T608" s="367"/>
      <c r="U608" s="296"/>
      <c r="V608" s="355"/>
    </row>
    <row r="609" ht="12.75" customHeight="1">
      <c r="M609" s="354"/>
      <c r="N609" s="296"/>
      <c r="O609" s="353"/>
      <c r="Q609" s="354"/>
      <c r="R609" s="355"/>
      <c r="T609" s="367"/>
      <c r="U609" s="296"/>
      <c r="V609" s="355"/>
    </row>
    <row r="610" ht="12.75" customHeight="1">
      <c r="M610" s="354"/>
      <c r="N610" s="296"/>
      <c r="O610" s="353"/>
      <c r="Q610" s="354"/>
      <c r="R610" s="355"/>
      <c r="T610" s="367"/>
      <c r="U610" s="296"/>
      <c r="V610" s="355"/>
    </row>
    <row r="611" ht="12.75" customHeight="1">
      <c r="M611" s="354"/>
      <c r="N611" s="296"/>
      <c r="O611" s="353"/>
      <c r="Q611" s="354"/>
      <c r="R611" s="355"/>
      <c r="T611" s="367"/>
      <c r="U611" s="296"/>
      <c r="V611" s="355"/>
    </row>
    <row r="612" ht="12.75" customHeight="1">
      <c r="M612" s="354"/>
      <c r="N612" s="296"/>
      <c r="O612" s="353"/>
      <c r="Q612" s="354"/>
      <c r="R612" s="355"/>
      <c r="T612" s="367"/>
      <c r="U612" s="296"/>
      <c r="V612" s="355"/>
    </row>
    <row r="613" ht="12.75" customHeight="1">
      <c r="M613" s="354"/>
      <c r="N613" s="296"/>
      <c r="O613" s="353"/>
      <c r="Q613" s="354"/>
      <c r="R613" s="355"/>
      <c r="T613" s="367"/>
      <c r="U613" s="296"/>
      <c r="V613" s="355"/>
    </row>
    <row r="614" ht="12.75" customHeight="1">
      <c r="M614" s="354"/>
      <c r="N614" s="296"/>
      <c r="O614" s="353"/>
      <c r="Q614" s="354"/>
      <c r="R614" s="355"/>
      <c r="T614" s="367"/>
      <c r="U614" s="296"/>
      <c r="V614" s="355"/>
    </row>
    <row r="615" ht="12.75" customHeight="1">
      <c r="M615" s="354"/>
      <c r="N615" s="296"/>
      <c r="O615" s="353"/>
      <c r="Q615" s="354"/>
      <c r="R615" s="355"/>
      <c r="T615" s="367"/>
      <c r="U615" s="296"/>
      <c r="V615" s="355"/>
    </row>
    <row r="616" ht="12.75" customHeight="1">
      <c r="M616" s="354"/>
      <c r="N616" s="296"/>
      <c r="O616" s="353"/>
      <c r="Q616" s="354"/>
      <c r="R616" s="355"/>
      <c r="T616" s="367"/>
      <c r="U616" s="296"/>
      <c r="V616" s="355"/>
    </row>
    <row r="617" ht="12.75" customHeight="1">
      <c r="M617" s="354"/>
      <c r="N617" s="296"/>
      <c r="O617" s="353"/>
      <c r="Q617" s="354"/>
      <c r="R617" s="355"/>
      <c r="T617" s="367"/>
      <c r="U617" s="296"/>
      <c r="V617" s="355"/>
    </row>
    <row r="618" ht="12.75" customHeight="1">
      <c r="M618" s="354"/>
      <c r="N618" s="296"/>
      <c r="O618" s="353"/>
      <c r="Q618" s="354"/>
      <c r="R618" s="355"/>
      <c r="T618" s="367"/>
      <c r="U618" s="296"/>
      <c r="V618" s="355"/>
    </row>
    <row r="619" ht="12.75" customHeight="1">
      <c r="M619" s="354"/>
      <c r="N619" s="296"/>
      <c r="O619" s="353"/>
      <c r="Q619" s="354"/>
      <c r="R619" s="355"/>
      <c r="T619" s="367"/>
      <c r="U619" s="296"/>
      <c r="V619" s="355"/>
    </row>
    <row r="620" ht="12.75" customHeight="1">
      <c r="M620" s="354"/>
      <c r="N620" s="296"/>
      <c r="O620" s="353"/>
      <c r="Q620" s="354"/>
      <c r="R620" s="355"/>
      <c r="T620" s="367"/>
      <c r="U620" s="296"/>
      <c r="V620" s="355"/>
    </row>
    <row r="621" ht="12.75" customHeight="1">
      <c r="M621" s="354"/>
      <c r="N621" s="296"/>
      <c r="O621" s="353"/>
      <c r="Q621" s="354"/>
      <c r="R621" s="355"/>
      <c r="T621" s="367"/>
      <c r="U621" s="296"/>
      <c r="V621" s="355"/>
    </row>
    <row r="622" ht="12.75" customHeight="1">
      <c r="M622" s="354"/>
      <c r="N622" s="296"/>
      <c r="O622" s="353"/>
      <c r="Q622" s="354"/>
      <c r="R622" s="355"/>
      <c r="T622" s="367"/>
      <c r="U622" s="296"/>
      <c r="V622" s="355"/>
    </row>
    <row r="623" ht="12.75" customHeight="1">
      <c r="M623" s="354"/>
      <c r="N623" s="296"/>
      <c r="O623" s="353"/>
      <c r="Q623" s="354"/>
      <c r="R623" s="355"/>
      <c r="T623" s="367"/>
      <c r="U623" s="296"/>
      <c r="V623" s="355"/>
    </row>
    <row r="624" ht="12.75" customHeight="1">
      <c r="M624" s="354"/>
      <c r="N624" s="296"/>
      <c r="O624" s="353"/>
      <c r="Q624" s="354"/>
      <c r="R624" s="355"/>
      <c r="T624" s="367"/>
      <c r="U624" s="296"/>
      <c r="V624" s="355"/>
    </row>
    <row r="625" ht="12.75" customHeight="1">
      <c r="M625" s="354"/>
      <c r="N625" s="296"/>
      <c r="O625" s="353"/>
      <c r="Q625" s="354"/>
      <c r="R625" s="355"/>
      <c r="T625" s="367"/>
      <c r="U625" s="296"/>
      <c r="V625" s="355"/>
    </row>
    <row r="626" ht="12.75" customHeight="1">
      <c r="M626" s="354"/>
      <c r="N626" s="296"/>
      <c r="O626" s="353"/>
      <c r="Q626" s="354"/>
      <c r="R626" s="355"/>
      <c r="T626" s="367"/>
      <c r="U626" s="296"/>
      <c r="V626" s="355"/>
    </row>
    <row r="627" ht="12.75" customHeight="1">
      <c r="M627" s="354"/>
      <c r="N627" s="296"/>
      <c r="O627" s="353"/>
      <c r="Q627" s="354"/>
      <c r="R627" s="355"/>
      <c r="T627" s="367"/>
      <c r="U627" s="296"/>
      <c r="V627" s="355"/>
    </row>
    <row r="628" ht="12.75" customHeight="1">
      <c r="M628" s="354"/>
      <c r="N628" s="296"/>
      <c r="O628" s="353"/>
      <c r="Q628" s="354"/>
      <c r="R628" s="355"/>
      <c r="T628" s="367"/>
      <c r="U628" s="296"/>
      <c r="V628" s="355"/>
    </row>
    <row r="629" ht="12.75" customHeight="1">
      <c r="M629" s="354"/>
      <c r="N629" s="296"/>
      <c r="O629" s="353"/>
      <c r="Q629" s="354"/>
      <c r="R629" s="355"/>
      <c r="T629" s="367"/>
      <c r="U629" s="296"/>
      <c r="V629" s="355"/>
    </row>
    <row r="630" ht="12.75" customHeight="1">
      <c r="M630" s="354"/>
      <c r="N630" s="296"/>
      <c r="O630" s="353"/>
      <c r="Q630" s="354"/>
      <c r="R630" s="355"/>
      <c r="T630" s="367"/>
      <c r="U630" s="296"/>
      <c r="V630" s="355"/>
    </row>
    <row r="631" ht="12.75" customHeight="1">
      <c r="M631" s="354"/>
      <c r="N631" s="296"/>
      <c r="O631" s="353"/>
      <c r="Q631" s="354"/>
      <c r="R631" s="355"/>
      <c r="T631" s="367"/>
      <c r="U631" s="296"/>
      <c r="V631" s="355"/>
    </row>
    <row r="632" ht="12.75" customHeight="1">
      <c r="M632" s="354"/>
      <c r="N632" s="296"/>
      <c r="O632" s="353"/>
      <c r="Q632" s="354"/>
      <c r="R632" s="355"/>
      <c r="T632" s="367"/>
      <c r="U632" s="296"/>
      <c r="V632" s="355"/>
    </row>
    <row r="633" ht="12.75" customHeight="1">
      <c r="M633" s="354"/>
      <c r="N633" s="296"/>
      <c r="O633" s="353"/>
      <c r="Q633" s="354"/>
      <c r="R633" s="355"/>
      <c r="T633" s="367"/>
      <c r="U633" s="296"/>
      <c r="V633" s="355"/>
    </row>
    <row r="634" ht="12.75" customHeight="1">
      <c r="M634" s="354"/>
      <c r="N634" s="296"/>
      <c r="O634" s="353"/>
      <c r="Q634" s="354"/>
      <c r="R634" s="355"/>
      <c r="T634" s="367"/>
      <c r="U634" s="296"/>
      <c r="V634" s="355"/>
    </row>
    <row r="635" ht="12.75" customHeight="1">
      <c r="M635" s="354"/>
      <c r="N635" s="296"/>
      <c r="O635" s="353"/>
      <c r="Q635" s="354"/>
      <c r="R635" s="355"/>
      <c r="T635" s="367"/>
      <c r="U635" s="296"/>
      <c r="V635" s="355"/>
    </row>
    <row r="636" ht="12.75" customHeight="1">
      <c r="M636" s="354"/>
      <c r="N636" s="296"/>
      <c r="O636" s="353"/>
      <c r="Q636" s="354"/>
      <c r="R636" s="355"/>
      <c r="T636" s="367"/>
      <c r="U636" s="296"/>
      <c r="V636" s="355"/>
    </row>
    <row r="637" ht="12.75" customHeight="1">
      <c r="M637" s="354"/>
      <c r="N637" s="296"/>
      <c r="O637" s="353"/>
      <c r="Q637" s="354"/>
      <c r="R637" s="355"/>
      <c r="T637" s="367"/>
      <c r="U637" s="296"/>
      <c r="V637" s="355"/>
    </row>
    <row r="638" ht="12.75" customHeight="1">
      <c r="M638" s="354"/>
      <c r="N638" s="296"/>
      <c r="O638" s="353"/>
      <c r="Q638" s="354"/>
      <c r="R638" s="355"/>
      <c r="T638" s="367"/>
      <c r="U638" s="296"/>
      <c r="V638" s="355"/>
    </row>
    <row r="639" ht="12.75" customHeight="1">
      <c r="M639" s="354"/>
      <c r="N639" s="296"/>
      <c r="O639" s="353"/>
      <c r="Q639" s="354"/>
      <c r="R639" s="355"/>
      <c r="T639" s="367"/>
      <c r="U639" s="296"/>
      <c r="V639" s="355"/>
    </row>
    <row r="640" ht="12.75" customHeight="1">
      <c r="M640" s="354"/>
      <c r="N640" s="296"/>
      <c r="O640" s="353"/>
      <c r="Q640" s="354"/>
      <c r="R640" s="355"/>
      <c r="T640" s="367"/>
      <c r="U640" s="296"/>
      <c r="V640" s="355"/>
    </row>
    <row r="641" ht="12.75" customHeight="1">
      <c r="M641" s="354"/>
      <c r="N641" s="296"/>
      <c r="O641" s="353"/>
      <c r="Q641" s="354"/>
      <c r="R641" s="355"/>
      <c r="T641" s="367"/>
      <c r="U641" s="296"/>
      <c r="V641" s="355"/>
    </row>
    <row r="642" ht="12.75" customHeight="1">
      <c r="M642" s="354"/>
      <c r="N642" s="296"/>
      <c r="O642" s="353"/>
      <c r="Q642" s="354"/>
      <c r="R642" s="355"/>
      <c r="T642" s="367"/>
      <c r="U642" s="296"/>
      <c r="V642" s="355"/>
    </row>
    <row r="643" ht="12.75" customHeight="1">
      <c r="M643" s="354"/>
      <c r="N643" s="296"/>
      <c r="O643" s="353"/>
      <c r="Q643" s="354"/>
      <c r="R643" s="355"/>
      <c r="T643" s="367"/>
      <c r="U643" s="296"/>
      <c r="V643" s="355"/>
    </row>
    <row r="644" ht="12.75" customHeight="1">
      <c r="M644" s="354"/>
      <c r="N644" s="296"/>
      <c r="O644" s="353"/>
      <c r="Q644" s="354"/>
      <c r="R644" s="355"/>
      <c r="T644" s="367"/>
      <c r="U644" s="296"/>
      <c r="V644" s="355"/>
    </row>
    <row r="645" ht="12.75" customHeight="1">
      <c r="M645" s="354"/>
      <c r="N645" s="296"/>
      <c r="O645" s="353"/>
      <c r="Q645" s="354"/>
      <c r="R645" s="355"/>
      <c r="T645" s="367"/>
      <c r="U645" s="296"/>
      <c r="V645" s="355"/>
    </row>
    <row r="646" ht="12.75" customHeight="1">
      <c r="M646" s="354"/>
      <c r="N646" s="296"/>
      <c r="O646" s="353"/>
      <c r="Q646" s="354"/>
      <c r="R646" s="355"/>
      <c r="T646" s="367"/>
      <c r="U646" s="296"/>
      <c r="V646" s="355"/>
    </row>
    <row r="647" ht="12.75" customHeight="1">
      <c r="M647" s="354"/>
      <c r="N647" s="296"/>
      <c r="O647" s="353"/>
      <c r="Q647" s="354"/>
      <c r="R647" s="355"/>
      <c r="T647" s="367"/>
      <c r="U647" s="296"/>
      <c r="V647" s="355"/>
    </row>
    <row r="648" ht="12.75" customHeight="1">
      <c r="M648" s="354"/>
      <c r="N648" s="296"/>
      <c r="O648" s="353"/>
      <c r="Q648" s="354"/>
      <c r="R648" s="355"/>
      <c r="T648" s="367"/>
      <c r="U648" s="296"/>
      <c r="V648" s="355"/>
    </row>
    <row r="649" ht="12.75" customHeight="1">
      <c r="M649" s="354"/>
      <c r="N649" s="296"/>
      <c r="O649" s="353"/>
      <c r="Q649" s="354"/>
      <c r="R649" s="355"/>
      <c r="T649" s="367"/>
      <c r="U649" s="296"/>
      <c r="V649" s="355"/>
    </row>
    <row r="650" ht="12.75" customHeight="1">
      <c r="M650" s="354"/>
      <c r="N650" s="296"/>
      <c r="O650" s="353"/>
      <c r="Q650" s="354"/>
      <c r="R650" s="355"/>
      <c r="T650" s="367"/>
      <c r="U650" s="296"/>
      <c r="V650" s="355"/>
    </row>
    <row r="651" ht="12.75" customHeight="1">
      <c r="M651" s="354"/>
      <c r="N651" s="296"/>
      <c r="O651" s="353"/>
      <c r="Q651" s="354"/>
      <c r="R651" s="355"/>
      <c r="T651" s="367"/>
      <c r="U651" s="296"/>
      <c r="V651" s="355"/>
    </row>
    <row r="652" ht="12.75" customHeight="1">
      <c r="M652" s="354"/>
      <c r="N652" s="296"/>
      <c r="O652" s="353"/>
      <c r="Q652" s="354"/>
      <c r="R652" s="355"/>
      <c r="T652" s="367"/>
      <c r="U652" s="296"/>
      <c r="V652" s="355"/>
    </row>
    <row r="653" ht="12.75" customHeight="1">
      <c r="M653" s="354"/>
      <c r="N653" s="296"/>
      <c r="O653" s="353"/>
      <c r="Q653" s="354"/>
      <c r="R653" s="355"/>
      <c r="T653" s="367"/>
      <c r="U653" s="296"/>
      <c r="V653" s="355"/>
    </row>
    <row r="654" ht="12.75" customHeight="1">
      <c r="M654" s="354"/>
      <c r="N654" s="296"/>
      <c r="O654" s="353"/>
      <c r="Q654" s="354"/>
      <c r="R654" s="355"/>
      <c r="T654" s="367"/>
      <c r="U654" s="296"/>
      <c r="V654" s="355"/>
    </row>
    <row r="655" ht="12.75" customHeight="1">
      <c r="M655" s="354"/>
      <c r="N655" s="296"/>
      <c r="O655" s="353"/>
      <c r="Q655" s="354"/>
      <c r="R655" s="355"/>
      <c r="T655" s="367"/>
      <c r="U655" s="296"/>
      <c r="V655" s="355"/>
    </row>
    <row r="656" ht="12.75" customHeight="1">
      <c r="M656" s="354"/>
      <c r="N656" s="296"/>
      <c r="O656" s="353"/>
      <c r="Q656" s="354"/>
      <c r="R656" s="355"/>
      <c r="T656" s="367"/>
      <c r="U656" s="296"/>
      <c r="V656" s="355"/>
    </row>
    <row r="657" ht="12.75" customHeight="1">
      <c r="M657" s="354"/>
      <c r="N657" s="296"/>
      <c r="O657" s="353"/>
      <c r="Q657" s="354"/>
      <c r="R657" s="355"/>
      <c r="T657" s="367"/>
      <c r="U657" s="296"/>
      <c r="V657" s="355"/>
    </row>
    <row r="658" ht="12.75" customHeight="1">
      <c r="M658" s="354"/>
      <c r="N658" s="296"/>
      <c r="O658" s="353"/>
      <c r="Q658" s="354"/>
      <c r="R658" s="355"/>
      <c r="T658" s="367"/>
      <c r="U658" s="296"/>
      <c r="V658" s="355"/>
    </row>
    <row r="659" ht="12.75" customHeight="1">
      <c r="M659" s="354"/>
      <c r="N659" s="296"/>
      <c r="O659" s="353"/>
      <c r="Q659" s="354"/>
      <c r="R659" s="355"/>
      <c r="T659" s="367"/>
      <c r="U659" s="296"/>
      <c r="V659" s="355"/>
    </row>
    <row r="660" ht="12.75" customHeight="1">
      <c r="M660" s="354"/>
      <c r="N660" s="296"/>
      <c r="O660" s="353"/>
      <c r="Q660" s="354"/>
      <c r="R660" s="355"/>
      <c r="T660" s="367"/>
      <c r="U660" s="296"/>
      <c r="V660" s="355"/>
    </row>
    <row r="661" ht="12.75" customHeight="1">
      <c r="M661" s="354"/>
      <c r="N661" s="296"/>
      <c r="O661" s="353"/>
      <c r="Q661" s="354"/>
      <c r="R661" s="355"/>
      <c r="T661" s="367"/>
      <c r="U661" s="296"/>
      <c r="V661" s="355"/>
    </row>
    <row r="662" ht="12.75" customHeight="1">
      <c r="M662" s="354"/>
      <c r="N662" s="296"/>
      <c r="O662" s="353"/>
      <c r="Q662" s="354"/>
      <c r="R662" s="355"/>
      <c r="T662" s="367"/>
      <c r="U662" s="296"/>
      <c r="V662" s="355"/>
    </row>
    <row r="663" ht="12.75" customHeight="1">
      <c r="M663" s="354"/>
      <c r="N663" s="296"/>
      <c r="O663" s="353"/>
      <c r="Q663" s="354"/>
      <c r="R663" s="355"/>
      <c r="T663" s="367"/>
      <c r="U663" s="296"/>
      <c r="V663" s="355"/>
    </row>
    <row r="664" ht="12.75" customHeight="1">
      <c r="M664" s="354"/>
      <c r="N664" s="296"/>
      <c r="O664" s="353"/>
      <c r="Q664" s="354"/>
      <c r="R664" s="355"/>
      <c r="T664" s="367"/>
      <c r="U664" s="296"/>
      <c r="V664" s="355"/>
    </row>
    <row r="665" ht="12.75" customHeight="1">
      <c r="M665" s="354"/>
      <c r="N665" s="296"/>
      <c r="O665" s="353"/>
      <c r="Q665" s="354"/>
      <c r="R665" s="355"/>
      <c r="T665" s="367"/>
      <c r="U665" s="296"/>
      <c r="V665" s="355"/>
    </row>
    <row r="666" ht="12.75" customHeight="1">
      <c r="M666" s="354"/>
      <c r="N666" s="296"/>
      <c r="O666" s="353"/>
      <c r="Q666" s="354"/>
      <c r="R666" s="355"/>
      <c r="T666" s="367"/>
      <c r="U666" s="296"/>
      <c r="V666" s="355"/>
    </row>
    <row r="667" ht="12.75" customHeight="1">
      <c r="M667" s="354"/>
      <c r="N667" s="296"/>
      <c r="O667" s="353"/>
      <c r="Q667" s="354"/>
      <c r="R667" s="355"/>
      <c r="T667" s="367"/>
      <c r="U667" s="296"/>
      <c r="V667" s="355"/>
    </row>
    <row r="668" ht="12.75" customHeight="1">
      <c r="M668" s="354"/>
      <c r="N668" s="296"/>
      <c r="O668" s="353"/>
      <c r="Q668" s="354"/>
      <c r="R668" s="355"/>
      <c r="T668" s="367"/>
      <c r="U668" s="296"/>
      <c r="V668" s="355"/>
    </row>
    <row r="669" ht="12.75" customHeight="1">
      <c r="M669" s="354"/>
      <c r="N669" s="296"/>
      <c r="O669" s="353"/>
      <c r="Q669" s="354"/>
      <c r="R669" s="355"/>
      <c r="T669" s="367"/>
      <c r="U669" s="296"/>
      <c r="V669" s="355"/>
    </row>
    <row r="670" ht="12.75" customHeight="1">
      <c r="M670" s="354"/>
      <c r="N670" s="296"/>
      <c r="O670" s="353"/>
      <c r="Q670" s="354"/>
      <c r="R670" s="355"/>
      <c r="T670" s="367"/>
      <c r="U670" s="296"/>
      <c r="V670" s="355"/>
    </row>
    <row r="671" ht="12.75" customHeight="1">
      <c r="M671" s="354"/>
      <c r="N671" s="296"/>
      <c r="O671" s="353"/>
      <c r="Q671" s="354"/>
      <c r="R671" s="355"/>
      <c r="T671" s="367"/>
      <c r="U671" s="296"/>
      <c r="V671" s="355"/>
    </row>
    <row r="672" ht="12.75" customHeight="1">
      <c r="M672" s="354"/>
      <c r="N672" s="296"/>
      <c r="O672" s="353"/>
      <c r="Q672" s="354"/>
      <c r="R672" s="355"/>
      <c r="T672" s="367"/>
      <c r="U672" s="296"/>
      <c r="V672" s="355"/>
    </row>
    <row r="673" ht="12.75" customHeight="1">
      <c r="M673" s="354"/>
      <c r="N673" s="296"/>
      <c r="O673" s="353"/>
      <c r="Q673" s="354"/>
      <c r="R673" s="355"/>
      <c r="T673" s="367"/>
      <c r="U673" s="296"/>
      <c r="V673" s="355"/>
    </row>
    <row r="674" ht="12.75" customHeight="1">
      <c r="M674" s="354"/>
      <c r="N674" s="296"/>
      <c r="O674" s="353"/>
      <c r="Q674" s="354"/>
      <c r="R674" s="355"/>
      <c r="T674" s="367"/>
      <c r="U674" s="296"/>
      <c r="V674" s="355"/>
    </row>
    <row r="675" ht="12.75" customHeight="1">
      <c r="M675" s="354"/>
      <c r="N675" s="296"/>
      <c r="O675" s="353"/>
      <c r="Q675" s="354"/>
      <c r="R675" s="355"/>
      <c r="T675" s="367"/>
      <c r="U675" s="296"/>
      <c r="V675" s="355"/>
    </row>
    <row r="676" ht="12.75" customHeight="1">
      <c r="M676" s="354"/>
      <c r="N676" s="296"/>
      <c r="O676" s="353"/>
      <c r="Q676" s="354"/>
      <c r="R676" s="355"/>
      <c r="T676" s="367"/>
      <c r="U676" s="296"/>
      <c r="V676" s="355"/>
    </row>
    <row r="677" ht="12.75" customHeight="1">
      <c r="M677" s="354"/>
      <c r="N677" s="296"/>
      <c r="O677" s="353"/>
      <c r="Q677" s="354"/>
      <c r="R677" s="355"/>
      <c r="T677" s="367"/>
      <c r="U677" s="296"/>
      <c r="V677" s="355"/>
    </row>
    <row r="678" ht="12.75" customHeight="1">
      <c r="M678" s="354"/>
      <c r="N678" s="296"/>
      <c r="O678" s="353"/>
      <c r="Q678" s="354"/>
      <c r="R678" s="355"/>
      <c r="T678" s="367"/>
      <c r="U678" s="296"/>
      <c r="V678" s="355"/>
    </row>
    <row r="679" ht="12.75" customHeight="1">
      <c r="M679" s="354"/>
      <c r="N679" s="296"/>
      <c r="O679" s="353"/>
      <c r="Q679" s="354"/>
      <c r="R679" s="355"/>
      <c r="T679" s="367"/>
      <c r="U679" s="296"/>
      <c r="V679" s="355"/>
    </row>
    <row r="680" ht="12.75" customHeight="1">
      <c r="M680" s="354"/>
      <c r="N680" s="296"/>
      <c r="O680" s="353"/>
      <c r="Q680" s="354"/>
      <c r="R680" s="355"/>
      <c r="T680" s="367"/>
      <c r="U680" s="296"/>
      <c r="V680" s="355"/>
    </row>
    <row r="681" ht="12.75" customHeight="1">
      <c r="M681" s="354"/>
      <c r="N681" s="296"/>
      <c r="O681" s="353"/>
      <c r="Q681" s="354"/>
      <c r="R681" s="355"/>
      <c r="T681" s="367"/>
      <c r="U681" s="296"/>
      <c r="V681" s="355"/>
    </row>
    <row r="682" ht="12.75" customHeight="1">
      <c r="M682" s="354"/>
      <c r="N682" s="296"/>
      <c r="O682" s="353"/>
      <c r="Q682" s="354"/>
      <c r="R682" s="355"/>
      <c r="T682" s="367"/>
      <c r="U682" s="296"/>
      <c r="V682" s="355"/>
    </row>
    <row r="683" ht="12.75" customHeight="1">
      <c r="M683" s="354"/>
      <c r="N683" s="296"/>
      <c r="O683" s="353"/>
      <c r="Q683" s="354"/>
      <c r="R683" s="355"/>
      <c r="T683" s="367"/>
      <c r="U683" s="296"/>
      <c r="V683" s="355"/>
    </row>
    <row r="684" ht="12.75" customHeight="1">
      <c r="M684" s="354"/>
      <c r="N684" s="296"/>
      <c r="O684" s="353"/>
      <c r="Q684" s="354"/>
      <c r="R684" s="355"/>
      <c r="T684" s="367"/>
      <c r="U684" s="296"/>
      <c r="V684" s="355"/>
    </row>
    <row r="685" ht="12.75" customHeight="1">
      <c r="M685" s="354"/>
      <c r="N685" s="296"/>
      <c r="O685" s="353"/>
      <c r="Q685" s="354"/>
      <c r="R685" s="355"/>
      <c r="T685" s="367"/>
      <c r="U685" s="296"/>
      <c r="V685" s="355"/>
    </row>
    <row r="686" ht="12.75" customHeight="1">
      <c r="M686" s="354"/>
      <c r="N686" s="296"/>
      <c r="O686" s="353"/>
      <c r="Q686" s="354"/>
      <c r="R686" s="355"/>
      <c r="T686" s="367"/>
      <c r="U686" s="296"/>
      <c r="V686" s="355"/>
    </row>
    <row r="687" ht="12.75" customHeight="1">
      <c r="M687" s="354"/>
      <c r="N687" s="296"/>
      <c r="O687" s="353"/>
      <c r="Q687" s="354"/>
      <c r="R687" s="355"/>
      <c r="T687" s="367"/>
      <c r="U687" s="296"/>
      <c r="V687" s="355"/>
    </row>
    <row r="688" ht="12.75" customHeight="1">
      <c r="M688" s="354"/>
      <c r="N688" s="296"/>
      <c r="O688" s="353"/>
      <c r="Q688" s="354"/>
      <c r="R688" s="355"/>
      <c r="T688" s="367"/>
      <c r="U688" s="296"/>
      <c r="V688" s="355"/>
    </row>
    <row r="689" ht="12.75" customHeight="1">
      <c r="M689" s="354"/>
      <c r="N689" s="296"/>
      <c r="O689" s="353"/>
      <c r="Q689" s="354"/>
      <c r="R689" s="355"/>
      <c r="T689" s="367"/>
      <c r="U689" s="296"/>
      <c r="V689" s="355"/>
    </row>
    <row r="690" ht="12.75" customHeight="1">
      <c r="M690" s="354"/>
      <c r="N690" s="296"/>
      <c r="O690" s="353"/>
      <c r="Q690" s="354"/>
      <c r="R690" s="355"/>
      <c r="T690" s="367"/>
      <c r="U690" s="296"/>
      <c r="V690" s="355"/>
    </row>
    <row r="691" ht="12.75" customHeight="1">
      <c r="M691" s="354"/>
      <c r="N691" s="296"/>
      <c r="O691" s="353"/>
      <c r="Q691" s="354"/>
      <c r="R691" s="355"/>
      <c r="T691" s="367"/>
      <c r="U691" s="296"/>
      <c r="V691" s="355"/>
    </row>
    <row r="692" ht="12.75" customHeight="1">
      <c r="M692" s="354"/>
      <c r="N692" s="296"/>
      <c r="O692" s="353"/>
      <c r="Q692" s="354"/>
      <c r="R692" s="355"/>
      <c r="T692" s="367"/>
      <c r="U692" s="296"/>
      <c r="V692" s="355"/>
    </row>
    <row r="693" ht="12.75" customHeight="1">
      <c r="M693" s="354"/>
      <c r="N693" s="296"/>
      <c r="O693" s="353"/>
      <c r="Q693" s="354"/>
      <c r="R693" s="355"/>
      <c r="T693" s="367"/>
      <c r="U693" s="296"/>
      <c r="V693" s="355"/>
    </row>
    <row r="694" ht="12.75" customHeight="1">
      <c r="M694" s="354"/>
      <c r="N694" s="296"/>
      <c r="O694" s="353"/>
      <c r="Q694" s="354"/>
      <c r="R694" s="355"/>
      <c r="T694" s="367"/>
      <c r="U694" s="296"/>
      <c r="V694" s="355"/>
    </row>
    <row r="695" ht="12.75" customHeight="1">
      <c r="M695" s="354"/>
      <c r="N695" s="296"/>
      <c r="O695" s="353"/>
      <c r="Q695" s="354"/>
      <c r="R695" s="355"/>
      <c r="T695" s="367"/>
      <c r="U695" s="296"/>
      <c r="V695" s="355"/>
    </row>
    <row r="696" ht="12.75" customHeight="1">
      <c r="M696" s="354"/>
      <c r="N696" s="296"/>
      <c r="O696" s="353"/>
      <c r="Q696" s="354"/>
      <c r="R696" s="355"/>
      <c r="T696" s="367"/>
      <c r="U696" s="296"/>
      <c r="V696" s="355"/>
    </row>
    <row r="697" ht="12.75" customHeight="1">
      <c r="M697" s="354"/>
      <c r="N697" s="296"/>
      <c r="O697" s="353"/>
      <c r="Q697" s="354"/>
      <c r="R697" s="355"/>
      <c r="T697" s="367"/>
      <c r="U697" s="296"/>
      <c r="V697" s="355"/>
    </row>
    <row r="698" ht="12.75" customHeight="1">
      <c r="M698" s="354"/>
      <c r="N698" s="296"/>
      <c r="O698" s="353"/>
      <c r="Q698" s="354"/>
      <c r="R698" s="355"/>
      <c r="T698" s="367"/>
      <c r="U698" s="296"/>
      <c r="V698" s="355"/>
    </row>
    <row r="699" ht="12.75" customHeight="1">
      <c r="M699" s="354"/>
      <c r="N699" s="296"/>
      <c r="O699" s="353"/>
      <c r="Q699" s="354"/>
      <c r="R699" s="355"/>
      <c r="T699" s="367"/>
      <c r="U699" s="296"/>
      <c r="V699" s="355"/>
    </row>
    <row r="700" ht="12.75" customHeight="1">
      <c r="M700" s="354"/>
      <c r="N700" s="296"/>
      <c r="O700" s="353"/>
      <c r="Q700" s="354"/>
      <c r="R700" s="355"/>
      <c r="T700" s="367"/>
      <c r="U700" s="296"/>
      <c r="V700" s="355"/>
    </row>
    <row r="701" ht="12.75" customHeight="1">
      <c r="M701" s="354"/>
      <c r="N701" s="296"/>
      <c r="O701" s="353"/>
      <c r="Q701" s="354"/>
      <c r="R701" s="355"/>
      <c r="T701" s="367"/>
      <c r="U701" s="296"/>
      <c r="V701" s="355"/>
    </row>
    <row r="702" ht="12.75" customHeight="1">
      <c r="M702" s="354"/>
      <c r="N702" s="296"/>
      <c r="O702" s="353"/>
      <c r="Q702" s="354"/>
      <c r="R702" s="355"/>
      <c r="T702" s="367"/>
      <c r="U702" s="296"/>
      <c r="V702" s="355"/>
    </row>
    <row r="703" ht="12.75" customHeight="1">
      <c r="M703" s="354"/>
      <c r="N703" s="296"/>
      <c r="O703" s="353"/>
      <c r="Q703" s="354"/>
      <c r="R703" s="355"/>
      <c r="T703" s="367"/>
      <c r="U703" s="296"/>
      <c r="V703" s="355"/>
    </row>
    <row r="704" ht="12.75" customHeight="1">
      <c r="M704" s="354"/>
      <c r="N704" s="296"/>
      <c r="O704" s="353"/>
      <c r="Q704" s="354"/>
      <c r="R704" s="355"/>
      <c r="T704" s="367"/>
      <c r="U704" s="296"/>
      <c r="V704" s="355"/>
    </row>
    <row r="705" ht="12.75" customHeight="1">
      <c r="M705" s="354"/>
      <c r="N705" s="296"/>
      <c r="O705" s="353"/>
      <c r="Q705" s="354"/>
      <c r="R705" s="355"/>
      <c r="T705" s="367"/>
      <c r="U705" s="296"/>
      <c r="V705" s="355"/>
    </row>
    <row r="706" ht="12.75" customHeight="1">
      <c r="M706" s="354"/>
      <c r="N706" s="296"/>
      <c r="O706" s="353"/>
      <c r="Q706" s="354"/>
      <c r="R706" s="355"/>
      <c r="T706" s="367"/>
      <c r="U706" s="296"/>
      <c r="V706" s="355"/>
    </row>
    <row r="707" ht="12.75" customHeight="1">
      <c r="M707" s="354"/>
      <c r="N707" s="296"/>
      <c r="O707" s="353"/>
      <c r="Q707" s="354"/>
      <c r="R707" s="355"/>
      <c r="T707" s="367"/>
      <c r="U707" s="296"/>
      <c r="V707" s="355"/>
    </row>
    <row r="708" ht="12.75" customHeight="1">
      <c r="M708" s="354"/>
      <c r="N708" s="296"/>
      <c r="O708" s="353"/>
      <c r="Q708" s="354"/>
      <c r="R708" s="355"/>
      <c r="T708" s="367"/>
      <c r="U708" s="296"/>
      <c r="V708" s="355"/>
    </row>
    <row r="709" ht="12.75" customHeight="1">
      <c r="M709" s="354"/>
      <c r="N709" s="296"/>
      <c r="O709" s="353"/>
      <c r="Q709" s="354"/>
      <c r="R709" s="355"/>
      <c r="T709" s="367"/>
      <c r="U709" s="296"/>
      <c r="V709" s="355"/>
    </row>
    <row r="710" ht="12.75" customHeight="1">
      <c r="M710" s="354"/>
      <c r="N710" s="296"/>
      <c r="O710" s="353"/>
      <c r="Q710" s="354"/>
      <c r="R710" s="355"/>
      <c r="T710" s="367"/>
      <c r="U710" s="296"/>
      <c r="V710" s="355"/>
    </row>
    <row r="711" ht="12.75" customHeight="1">
      <c r="M711" s="354"/>
      <c r="N711" s="296"/>
      <c r="O711" s="353"/>
      <c r="Q711" s="354"/>
      <c r="R711" s="355"/>
      <c r="T711" s="367"/>
      <c r="U711" s="296"/>
      <c r="V711" s="355"/>
    </row>
    <row r="712" ht="12.75" customHeight="1">
      <c r="M712" s="354"/>
      <c r="N712" s="296"/>
      <c r="O712" s="353"/>
      <c r="Q712" s="354"/>
      <c r="R712" s="355"/>
      <c r="T712" s="367"/>
      <c r="U712" s="296"/>
      <c r="V712" s="355"/>
    </row>
    <row r="713" ht="12.75" customHeight="1">
      <c r="M713" s="354"/>
      <c r="N713" s="296"/>
      <c r="O713" s="353"/>
      <c r="Q713" s="354"/>
      <c r="R713" s="355"/>
      <c r="T713" s="367"/>
      <c r="U713" s="296"/>
      <c r="V713" s="355"/>
    </row>
    <row r="714" ht="12.75" customHeight="1">
      <c r="M714" s="354"/>
      <c r="N714" s="296"/>
      <c r="O714" s="353"/>
      <c r="Q714" s="354"/>
      <c r="R714" s="355"/>
      <c r="T714" s="367"/>
      <c r="U714" s="296"/>
      <c r="V714" s="355"/>
    </row>
    <row r="715" ht="12.75" customHeight="1">
      <c r="M715" s="354"/>
      <c r="N715" s="296"/>
      <c r="O715" s="353"/>
      <c r="Q715" s="354"/>
      <c r="R715" s="355"/>
      <c r="T715" s="367"/>
      <c r="U715" s="296"/>
      <c r="V715" s="355"/>
    </row>
    <row r="716" ht="12.75" customHeight="1">
      <c r="M716" s="354"/>
      <c r="N716" s="296"/>
      <c r="O716" s="353"/>
      <c r="Q716" s="354"/>
      <c r="R716" s="355"/>
      <c r="T716" s="367"/>
      <c r="U716" s="296"/>
      <c r="V716" s="355"/>
    </row>
    <row r="717" ht="12.75" customHeight="1">
      <c r="M717" s="354"/>
      <c r="N717" s="296"/>
      <c r="O717" s="353"/>
      <c r="Q717" s="354"/>
      <c r="R717" s="355"/>
      <c r="T717" s="367"/>
      <c r="U717" s="296"/>
      <c r="V717" s="355"/>
    </row>
    <row r="718" ht="12.75" customHeight="1">
      <c r="M718" s="354"/>
      <c r="N718" s="296"/>
      <c r="O718" s="353"/>
      <c r="Q718" s="354"/>
      <c r="R718" s="355"/>
      <c r="T718" s="367"/>
      <c r="U718" s="296"/>
      <c r="V718" s="355"/>
    </row>
    <row r="719" ht="12.75" customHeight="1">
      <c r="M719" s="354"/>
      <c r="N719" s="296"/>
      <c r="O719" s="353"/>
      <c r="Q719" s="354"/>
      <c r="R719" s="355"/>
      <c r="T719" s="367"/>
      <c r="U719" s="296"/>
      <c r="V719" s="355"/>
    </row>
    <row r="720" ht="12.75" customHeight="1">
      <c r="M720" s="354"/>
      <c r="N720" s="296"/>
      <c r="O720" s="353"/>
      <c r="Q720" s="354"/>
      <c r="R720" s="355"/>
      <c r="T720" s="367"/>
      <c r="U720" s="296"/>
      <c r="V720" s="355"/>
    </row>
    <row r="721" ht="12.75" customHeight="1">
      <c r="M721" s="354"/>
      <c r="N721" s="296"/>
      <c r="O721" s="353"/>
      <c r="Q721" s="354"/>
      <c r="R721" s="355"/>
      <c r="T721" s="367"/>
      <c r="U721" s="296"/>
      <c r="V721" s="355"/>
    </row>
    <row r="722" ht="12.75" customHeight="1">
      <c r="M722" s="354"/>
      <c r="N722" s="296"/>
      <c r="O722" s="353"/>
      <c r="Q722" s="354"/>
      <c r="R722" s="355"/>
      <c r="T722" s="367"/>
      <c r="U722" s="296"/>
      <c r="V722" s="355"/>
    </row>
    <row r="723" ht="12.75" customHeight="1">
      <c r="M723" s="354"/>
      <c r="N723" s="296"/>
      <c r="O723" s="353"/>
      <c r="Q723" s="354"/>
      <c r="R723" s="355"/>
      <c r="T723" s="367"/>
      <c r="U723" s="296"/>
      <c r="V723" s="355"/>
    </row>
    <row r="724" ht="12.75" customHeight="1">
      <c r="M724" s="354"/>
      <c r="N724" s="296"/>
      <c r="O724" s="353"/>
      <c r="Q724" s="354"/>
      <c r="R724" s="355"/>
      <c r="T724" s="367"/>
      <c r="U724" s="296"/>
      <c r="V724" s="355"/>
    </row>
    <row r="725" ht="12.75" customHeight="1">
      <c r="M725" s="354"/>
      <c r="N725" s="296"/>
      <c r="O725" s="353"/>
      <c r="Q725" s="354"/>
      <c r="R725" s="355"/>
      <c r="T725" s="367"/>
      <c r="U725" s="296"/>
      <c r="V725" s="355"/>
    </row>
    <row r="726" ht="12.75" customHeight="1">
      <c r="M726" s="354"/>
      <c r="N726" s="296"/>
      <c r="O726" s="353"/>
      <c r="Q726" s="354"/>
      <c r="R726" s="355"/>
      <c r="T726" s="367"/>
      <c r="U726" s="296"/>
      <c r="V726" s="355"/>
    </row>
    <row r="727" ht="12.75" customHeight="1">
      <c r="M727" s="354"/>
      <c r="N727" s="296"/>
      <c r="O727" s="353"/>
      <c r="Q727" s="354"/>
      <c r="R727" s="355"/>
      <c r="T727" s="367"/>
      <c r="U727" s="296"/>
      <c r="V727" s="355"/>
    </row>
    <row r="728" ht="12.75" customHeight="1">
      <c r="M728" s="354"/>
      <c r="N728" s="296"/>
      <c r="O728" s="353"/>
      <c r="Q728" s="354"/>
      <c r="R728" s="355"/>
      <c r="T728" s="367"/>
      <c r="U728" s="296"/>
      <c r="V728" s="355"/>
    </row>
    <row r="729" ht="12.75" customHeight="1">
      <c r="M729" s="354"/>
      <c r="N729" s="296"/>
      <c r="O729" s="353"/>
      <c r="Q729" s="354"/>
      <c r="R729" s="355"/>
      <c r="T729" s="367"/>
      <c r="U729" s="296"/>
      <c r="V729" s="355"/>
    </row>
    <row r="730" ht="12.75" customHeight="1">
      <c r="M730" s="354"/>
      <c r="N730" s="296"/>
      <c r="O730" s="353"/>
      <c r="Q730" s="354"/>
      <c r="R730" s="355"/>
      <c r="T730" s="367"/>
      <c r="U730" s="296"/>
      <c r="V730" s="355"/>
    </row>
    <row r="731" ht="12.75" customHeight="1">
      <c r="M731" s="354"/>
      <c r="N731" s="296"/>
      <c r="O731" s="353"/>
      <c r="Q731" s="354"/>
      <c r="R731" s="355"/>
      <c r="T731" s="367"/>
      <c r="U731" s="296"/>
      <c r="V731" s="355"/>
    </row>
    <row r="732" ht="12.75" customHeight="1">
      <c r="M732" s="354"/>
      <c r="N732" s="296"/>
      <c r="O732" s="353"/>
      <c r="Q732" s="354"/>
      <c r="R732" s="355"/>
      <c r="T732" s="367"/>
      <c r="U732" s="296"/>
      <c r="V732" s="355"/>
    </row>
    <row r="733" ht="12.75" customHeight="1">
      <c r="M733" s="354"/>
      <c r="N733" s="296"/>
      <c r="O733" s="353"/>
      <c r="Q733" s="354"/>
      <c r="R733" s="355"/>
      <c r="T733" s="367"/>
      <c r="U733" s="296"/>
      <c r="V733" s="355"/>
    </row>
    <row r="734" ht="12.75" customHeight="1">
      <c r="M734" s="354"/>
      <c r="N734" s="296"/>
      <c r="O734" s="353"/>
      <c r="Q734" s="354"/>
      <c r="R734" s="355"/>
      <c r="T734" s="367"/>
      <c r="U734" s="296"/>
      <c r="V734" s="355"/>
    </row>
    <row r="735" ht="12.75" customHeight="1">
      <c r="M735" s="354"/>
      <c r="N735" s="296"/>
      <c r="O735" s="353"/>
      <c r="Q735" s="354"/>
      <c r="R735" s="355"/>
      <c r="T735" s="367"/>
      <c r="U735" s="296"/>
      <c r="V735" s="355"/>
    </row>
    <row r="736" ht="12.75" customHeight="1">
      <c r="M736" s="354"/>
      <c r="N736" s="296"/>
      <c r="O736" s="353"/>
      <c r="Q736" s="354"/>
      <c r="R736" s="355"/>
      <c r="T736" s="367"/>
      <c r="U736" s="296"/>
      <c r="V736" s="355"/>
    </row>
    <row r="737" ht="12.75" customHeight="1">
      <c r="M737" s="354"/>
      <c r="N737" s="296"/>
      <c r="O737" s="353"/>
      <c r="Q737" s="354"/>
      <c r="R737" s="355"/>
      <c r="T737" s="367"/>
      <c r="U737" s="296"/>
      <c r="V737" s="355"/>
    </row>
    <row r="738" ht="12.75" customHeight="1">
      <c r="M738" s="354"/>
      <c r="N738" s="296"/>
      <c r="O738" s="353"/>
      <c r="Q738" s="354"/>
      <c r="R738" s="355"/>
      <c r="T738" s="367"/>
      <c r="U738" s="296"/>
      <c r="V738" s="355"/>
    </row>
    <row r="739" ht="12.75" customHeight="1">
      <c r="M739" s="354"/>
      <c r="N739" s="296"/>
      <c r="O739" s="353"/>
      <c r="Q739" s="354"/>
      <c r="R739" s="355"/>
      <c r="T739" s="367"/>
      <c r="U739" s="296"/>
      <c r="V739" s="355"/>
    </row>
    <row r="740" ht="12.75" customHeight="1">
      <c r="M740" s="354"/>
      <c r="N740" s="296"/>
      <c r="O740" s="353"/>
      <c r="Q740" s="354"/>
      <c r="R740" s="355"/>
      <c r="T740" s="367"/>
      <c r="U740" s="296"/>
      <c r="V740" s="355"/>
    </row>
    <row r="741" ht="12.75" customHeight="1">
      <c r="M741" s="354"/>
      <c r="N741" s="296"/>
      <c r="O741" s="353"/>
      <c r="Q741" s="354"/>
      <c r="R741" s="355"/>
      <c r="T741" s="367"/>
      <c r="U741" s="296"/>
      <c r="V741" s="355"/>
    </row>
    <row r="742" ht="12.75" customHeight="1">
      <c r="M742" s="354"/>
      <c r="N742" s="296"/>
      <c r="O742" s="353"/>
      <c r="Q742" s="354"/>
      <c r="R742" s="355"/>
      <c r="T742" s="367"/>
      <c r="U742" s="296"/>
      <c r="V742" s="355"/>
    </row>
    <row r="743" ht="12.75" customHeight="1">
      <c r="M743" s="354"/>
      <c r="N743" s="296"/>
      <c r="O743" s="353"/>
      <c r="Q743" s="354"/>
      <c r="R743" s="355"/>
      <c r="T743" s="367"/>
      <c r="U743" s="296"/>
      <c r="V743" s="355"/>
    </row>
    <row r="744" ht="12.75" customHeight="1">
      <c r="M744" s="354"/>
      <c r="N744" s="296"/>
      <c r="O744" s="353"/>
      <c r="Q744" s="354"/>
      <c r="R744" s="355"/>
      <c r="T744" s="367"/>
      <c r="U744" s="296"/>
      <c r="V744" s="355"/>
    </row>
    <row r="745" ht="12.75" customHeight="1">
      <c r="M745" s="354"/>
      <c r="N745" s="296"/>
      <c r="O745" s="353"/>
      <c r="Q745" s="354"/>
      <c r="R745" s="355"/>
      <c r="T745" s="367"/>
      <c r="U745" s="296"/>
      <c r="V745" s="355"/>
    </row>
    <row r="746" ht="12.75" customHeight="1">
      <c r="M746" s="354"/>
      <c r="N746" s="296"/>
      <c r="O746" s="353"/>
      <c r="Q746" s="354"/>
      <c r="R746" s="355"/>
      <c r="T746" s="367"/>
      <c r="U746" s="296"/>
      <c r="V746" s="355"/>
    </row>
    <row r="747" ht="12.75" customHeight="1">
      <c r="M747" s="354"/>
      <c r="N747" s="296"/>
      <c r="O747" s="353"/>
      <c r="Q747" s="354"/>
      <c r="R747" s="355"/>
      <c r="T747" s="367"/>
      <c r="U747" s="296"/>
      <c r="V747" s="355"/>
    </row>
    <row r="748" ht="12.75" customHeight="1">
      <c r="M748" s="354"/>
      <c r="N748" s="296"/>
      <c r="O748" s="353"/>
      <c r="Q748" s="354"/>
      <c r="R748" s="355"/>
      <c r="T748" s="367"/>
      <c r="U748" s="296"/>
      <c r="V748" s="355"/>
    </row>
    <row r="749" ht="12.75" customHeight="1">
      <c r="M749" s="354"/>
      <c r="N749" s="296"/>
      <c r="O749" s="353"/>
      <c r="Q749" s="354"/>
      <c r="R749" s="355"/>
      <c r="T749" s="367"/>
      <c r="U749" s="296"/>
      <c r="V749" s="355"/>
    </row>
    <row r="750" ht="12.75" customHeight="1">
      <c r="M750" s="354"/>
      <c r="N750" s="296"/>
      <c r="O750" s="353"/>
      <c r="Q750" s="354"/>
      <c r="R750" s="355"/>
      <c r="T750" s="367"/>
      <c r="U750" s="296"/>
      <c r="V750" s="355"/>
    </row>
    <row r="751" ht="12.75" customHeight="1">
      <c r="M751" s="354"/>
      <c r="N751" s="296"/>
      <c r="O751" s="353"/>
      <c r="Q751" s="354"/>
      <c r="R751" s="355"/>
      <c r="T751" s="367"/>
      <c r="U751" s="296"/>
      <c r="V751" s="355"/>
    </row>
    <row r="752" ht="12.75" customHeight="1">
      <c r="M752" s="354"/>
      <c r="N752" s="296"/>
      <c r="O752" s="353"/>
      <c r="Q752" s="354"/>
      <c r="R752" s="355"/>
      <c r="T752" s="367"/>
      <c r="U752" s="296"/>
      <c r="V752" s="355"/>
    </row>
    <row r="753" ht="12.75" customHeight="1">
      <c r="M753" s="354"/>
      <c r="N753" s="296"/>
      <c r="O753" s="353"/>
      <c r="Q753" s="354"/>
      <c r="R753" s="355"/>
      <c r="T753" s="367"/>
      <c r="U753" s="296"/>
      <c r="V753" s="355"/>
    </row>
    <row r="754" ht="12.75" customHeight="1">
      <c r="M754" s="354"/>
      <c r="N754" s="296"/>
      <c r="O754" s="353"/>
      <c r="Q754" s="354"/>
      <c r="R754" s="355"/>
      <c r="T754" s="367"/>
      <c r="U754" s="296"/>
      <c r="V754" s="355"/>
    </row>
    <row r="755" ht="12.75" customHeight="1">
      <c r="M755" s="354"/>
      <c r="N755" s="296"/>
      <c r="O755" s="353"/>
      <c r="Q755" s="354"/>
      <c r="R755" s="355"/>
      <c r="T755" s="367"/>
      <c r="U755" s="296"/>
      <c r="V755" s="355"/>
    </row>
    <row r="756" ht="12.75" customHeight="1">
      <c r="M756" s="354"/>
      <c r="N756" s="296"/>
      <c r="O756" s="353"/>
      <c r="Q756" s="354"/>
      <c r="R756" s="355"/>
      <c r="T756" s="367"/>
      <c r="U756" s="296"/>
      <c r="V756" s="355"/>
    </row>
    <row r="757" ht="12.75" customHeight="1">
      <c r="M757" s="354"/>
      <c r="N757" s="296"/>
      <c r="O757" s="353"/>
      <c r="Q757" s="354"/>
      <c r="R757" s="355"/>
      <c r="T757" s="367"/>
      <c r="U757" s="296"/>
      <c r="V757" s="355"/>
    </row>
    <row r="758" ht="12.75" customHeight="1">
      <c r="M758" s="354"/>
      <c r="N758" s="296"/>
      <c r="O758" s="353"/>
      <c r="Q758" s="354"/>
      <c r="R758" s="355"/>
      <c r="T758" s="367"/>
      <c r="U758" s="296"/>
      <c r="V758" s="355"/>
    </row>
    <row r="759" ht="12.75" customHeight="1">
      <c r="M759" s="354"/>
      <c r="N759" s="296"/>
      <c r="O759" s="353"/>
      <c r="Q759" s="354"/>
      <c r="R759" s="355"/>
      <c r="T759" s="367"/>
      <c r="U759" s="296"/>
      <c r="V759" s="355"/>
    </row>
    <row r="760" ht="12.75" customHeight="1">
      <c r="M760" s="354"/>
      <c r="N760" s="296"/>
      <c r="O760" s="353"/>
      <c r="Q760" s="354"/>
      <c r="R760" s="355"/>
      <c r="T760" s="367"/>
      <c r="U760" s="296"/>
      <c r="V760" s="355"/>
    </row>
    <row r="761" ht="12.75" customHeight="1">
      <c r="M761" s="354"/>
      <c r="N761" s="296"/>
      <c r="O761" s="353"/>
      <c r="Q761" s="354"/>
      <c r="R761" s="355"/>
      <c r="T761" s="367"/>
      <c r="U761" s="296"/>
      <c r="V761" s="355"/>
    </row>
    <row r="762" ht="12.75" customHeight="1">
      <c r="M762" s="354"/>
      <c r="N762" s="296"/>
      <c r="O762" s="353"/>
      <c r="Q762" s="354"/>
      <c r="R762" s="355"/>
      <c r="T762" s="367"/>
      <c r="U762" s="296"/>
      <c r="V762" s="355"/>
    </row>
    <row r="763" ht="12.75" customHeight="1">
      <c r="M763" s="354"/>
      <c r="N763" s="296"/>
      <c r="O763" s="353"/>
      <c r="Q763" s="354"/>
      <c r="R763" s="355"/>
      <c r="T763" s="367"/>
      <c r="U763" s="296"/>
      <c r="V763" s="355"/>
    </row>
    <row r="764" ht="12.75" customHeight="1">
      <c r="M764" s="354"/>
      <c r="N764" s="296"/>
      <c r="O764" s="353"/>
      <c r="Q764" s="354"/>
      <c r="R764" s="355"/>
      <c r="T764" s="367"/>
      <c r="U764" s="296"/>
      <c r="V764" s="355"/>
    </row>
    <row r="765" ht="12.75" customHeight="1">
      <c r="M765" s="354"/>
      <c r="N765" s="296"/>
      <c r="O765" s="353"/>
      <c r="Q765" s="354"/>
      <c r="R765" s="355"/>
      <c r="T765" s="367"/>
      <c r="U765" s="296"/>
      <c r="V765" s="355"/>
    </row>
    <row r="766" ht="12.75" customHeight="1">
      <c r="M766" s="354"/>
      <c r="N766" s="296"/>
      <c r="O766" s="353"/>
      <c r="Q766" s="354"/>
      <c r="R766" s="355"/>
      <c r="T766" s="367"/>
      <c r="U766" s="296"/>
      <c r="V766" s="355"/>
    </row>
    <row r="767" ht="12.75" customHeight="1">
      <c r="M767" s="354"/>
      <c r="N767" s="296"/>
      <c r="O767" s="353"/>
      <c r="Q767" s="354"/>
      <c r="R767" s="355"/>
      <c r="T767" s="367"/>
      <c r="U767" s="296"/>
      <c r="V767" s="355"/>
    </row>
    <row r="768" ht="12.75" customHeight="1">
      <c r="M768" s="354"/>
      <c r="N768" s="296"/>
      <c r="O768" s="353"/>
      <c r="Q768" s="354"/>
      <c r="R768" s="355"/>
      <c r="T768" s="367"/>
      <c r="U768" s="296"/>
      <c r="V768" s="355"/>
    </row>
    <row r="769" ht="12.75" customHeight="1">
      <c r="M769" s="354"/>
      <c r="N769" s="296"/>
      <c r="O769" s="353"/>
      <c r="Q769" s="354"/>
      <c r="R769" s="355"/>
      <c r="T769" s="367"/>
      <c r="U769" s="296"/>
      <c r="V769" s="355"/>
    </row>
    <row r="770" ht="12.75" customHeight="1">
      <c r="M770" s="354"/>
      <c r="N770" s="296"/>
      <c r="O770" s="353"/>
      <c r="Q770" s="354"/>
      <c r="R770" s="355"/>
      <c r="T770" s="367"/>
      <c r="U770" s="296"/>
      <c r="V770" s="355"/>
    </row>
    <row r="771" ht="12.75" customHeight="1">
      <c r="M771" s="354"/>
      <c r="N771" s="296"/>
      <c r="O771" s="353"/>
      <c r="Q771" s="354"/>
      <c r="R771" s="355"/>
      <c r="T771" s="367"/>
      <c r="U771" s="296"/>
      <c r="V771" s="355"/>
    </row>
    <row r="772" ht="12.75" customHeight="1">
      <c r="M772" s="354"/>
      <c r="N772" s="296"/>
      <c r="O772" s="353"/>
      <c r="Q772" s="354"/>
      <c r="R772" s="355"/>
      <c r="T772" s="367"/>
      <c r="U772" s="296"/>
      <c r="V772" s="355"/>
    </row>
    <row r="773" ht="12.75" customHeight="1">
      <c r="M773" s="354"/>
      <c r="N773" s="296"/>
      <c r="O773" s="353"/>
      <c r="Q773" s="354"/>
      <c r="R773" s="355"/>
      <c r="T773" s="367"/>
      <c r="U773" s="296"/>
      <c r="V773" s="355"/>
    </row>
    <row r="774" ht="12.75" customHeight="1">
      <c r="M774" s="354"/>
      <c r="N774" s="296"/>
      <c r="O774" s="353"/>
      <c r="Q774" s="354"/>
      <c r="R774" s="355"/>
      <c r="T774" s="367"/>
      <c r="U774" s="296"/>
      <c r="V774" s="355"/>
    </row>
    <row r="775" ht="12.75" customHeight="1">
      <c r="M775" s="354"/>
      <c r="N775" s="296"/>
      <c r="O775" s="353"/>
      <c r="Q775" s="354"/>
      <c r="R775" s="355"/>
      <c r="T775" s="367"/>
      <c r="U775" s="296"/>
      <c r="V775" s="355"/>
    </row>
    <row r="776" ht="12.75" customHeight="1">
      <c r="M776" s="354"/>
      <c r="N776" s="296"/>
      <c r="O776" s="353"/>
      <c r="Q776" s="354"/>
      <c r="R776" s="355"/>
      <c r="T776" s="367"/>
      <c r="U776" s="296"/>
      <c r="V776" s="355"/>
    </row>
    <row r="777" ht="12.75" customHeight="1">
      <c r="M777" s="354"/>
      <c r="N777" s="296"/>
      <c r="O777" s="353"/>
      <c r="Q777" s="354"/>
      <c r="R777" s="355"/>
      <c r="T777" s="367"/>
      <c r="U777" s="296"/>
      <c r="V777" s="355"/>
    </row>
    <row r="778" ht="12.75" customHeight="1">
      <c r="M778" s="354"/>
      <c r="N778" s="296"/>
      <c r="O778" s="353"/>
      <c r="Q778" s="354"/>
      <c r="R778" s="355"/>
      <c r="T778" s="367"/>
      <c r="U778" s="296"/>
      <c r="V778" s="355"/>
    </row>
    <row r="779" ht="12.75" customHeight="1">
      <c r="M779" s="354"/>
      <c r="N779" s="296"/>
      <c r="O779" s="353"/>
      <c r="Q779" s="354"/>
      <c r="R779" s="355"/>
      <c r="T779" s="367"/>
      <c r="U779" s="296"/>
      <c r="V779" s="355"/>
    </row>
    <row r="780" ht="12.75" customHeight="1">
      <c r="M780" s="354"/>
      <c r="N780" s="296"/>
      <c r="O780" s="353"/>
      <c r="Q780" s="354"/>
      <c r="R780" s="355"/>
      <c r="T780" s="367"/>
      <c r="U780" s="296"/>
      <c r="V780" s="355"/>
    </row>
    <row r="781" ht="12.75" customHeight="1">
      <c r="M781" s="354"/>
      <c r="N781" s="296"/>
      <c r="O781" s="353"/>
      <c r="Q781" s="354"/>
      <c r="R781" s="355"/>
      <c r="T781" s="367"/>
      <c r="U781" s="296"/>
      <c r="V781" s="355"/>
    </row>
    <row r="782" ht="12.75" customHeight="1">
      <c r="M782" s="354"/>
      <c r="N782" s="296"/>
      <c r="O782" s="353"/>
      <c r="Q782" s="354"/>
      <c r="R782" s="355"/>
      <c r="T782" s="367"/>
      <c r="U782" s="296"/>
      <c r="V782" s="355"/>
    </row>
    <row r="783" ht="12.75" customHeight="1">
      <c r="M783" s="354"/>
      <c r="N783" s="296"/>
      <c r="O783" s="353"/>
      <c r="Q783" s="354"/>
      <c r="R783" s="355"/>
      <c r="T783" s="367"/>
      <c r="U783" s="296"/>
      <c r="V783" s="355"/>
    </row>
    <row r="784" ht="12.75" customHeight="1">
      <c r="M784" s="354"/>
      <c r="N784" s="296"/>
      <c r="O784" s="353"/>
      <c r="Q784" s="354"/>
      <c r="R784" s="355"/>
      <c r="T784" s="367"/>
      <c r="U784" s="296"/>
      <c r="V784" s="355"/>
    </row>
    <row r="785" ht="12.75" customHeight="1">
      <c r="M785" s="354"/>
      <c r="N785" s="296"/>
      <c r="O785" s="353"/>
      <c r="Q785" s="354"/>
      <c r="R785" s="355"/>
      <c r="T785" s="367"/>
      <c r="U785" s="296"/>
      <c r="V785" s="355"/>
    </row>
    <row r="786" ht="12.75" customHeight="1">
      <c r="M786" s="354"/>
      <c r="N786" s="296"/>
      <c r="O786" s="353"/>
      <c r="Q786" s="354"/>
      <c r="R786" s="355"/>
      <c r="T786" s="367"/>
      <c r="U786" s="296"/>
      <c r="V786" s="355"/>
    </row>
    <row r="787" ht="12.75" customHeight="1">
      <c r="M787" s="354"/>
      <c r="N787" s="296"/>
      <c r="O787" s="353"/>
      <c r="Q787" s="354"/>
      <c r="R787" s="355"/>
      <c r="T787" s="367"/>
      <c r="U787" s="296"/>
      <c r="V787" s="355"/>
    </row>
    <row r="788" ht="12.75" customHeight="1">
      <c r="M788" s="354"/>
      <c r="N788" s="296"/>
      <c r="O788" s="353"/>
      <c r="Q788" s="354"/>
      <c r="R788" s="355"/>
      <c r="T788" s="367"/>
      <c r="U788" s="296"/>
      <c r="V788" s="355"/>
    </row>
    <row r="789" ht="12.75" customHeight="1">
      <c r="M789" s="354"/>
      <c r="N789" s="296"/>
      <c r="O789" s="353"/>
      <c r="Q789" s="354"/>
      <c r="R789" s="355"/>
      <c r="T789" s="367"/>
      <c r="U789" s="296"/>
      <c r="V789" s="355"/>
    </row>
    <row r="790" ht="12.75" customHeight="1">
      <c r="M790" s="354"/>
      <c r="N790" s="296"/>
      <c r="O790" s="353"/>
      <c r="Q790" s="354"/>
      <c r="R790" s="355"/>
      <c r="T790" s="367"/>
      <c r="U790" s="296"/>
      <c r="V790" s="355"/>
    </row>
    <row r="791" ht="12.75" customHeight="1">
      <c r="M791" s="354"/>
      <c r="N791" s="296"/>
      <c r="O791" s="353"/>
      <c r="Q791" s="354"/>
      <c r="R791" s="355"/>
      <c r="T791" s="367"/>
      <c r="U791" s="296"/>
      <c r="V791" s="355"/>
    </row>
    <row r="792" ht="12.75" customHeight="1">
      <c r="M792" s="354"/>
      <c r="N792" s="296"/>
      <c r="O792" s="353"/>
      <c r="Q792" s="354"/>
      <c r="R792" s="355"/>
      <c r="T792" s="367"/>
      <c r="U792" s="296"/>
      <c r="V792" s="355"/>
    </row>
    <row r="793" ht="12.75" customHeight="1">
      <c r="M793" s="354"/>
      <c r="N793" s="296"/>
      <c r="O793" s="353"/>
      <c r="Q793" s="354"/>
      <c r="R793" s="355"/>
      <c r="T793" s="367"/>
      <c r="U793" s="296"/>
      <c r="V793" s="355"/>
    </row>
    <row r="794" ht="12.75" customHeight="1">
      <c r="M794" s="354"/>
      <c r="N794" s="296"/>
      <c r="O794" s="353"/>
      <c r="Q794" s="354"/>
      <c r="R794" s="355"/>
      <c r="T794" s="367"/>
      <c r="U794" s="296"/>
      <c r="V794" s="355"/>
    </row>
    <row r="795" ht="12.75" customHeight="1">
      <c r="M795" s="354"/>
      <c r="N795" s="296"/>
      <c r="O795" s="353"/>
      <c r="Q795" s="354"/>
      <c r="R795" s="355"/>
      <c r="T795" s="367"/>
      <c r="U795" s="296"/>
      <c r="V795" s="355"/>
    </row>
    <row r="796" ht="12.75" customHeight="1">
      <c r="M796" s="354"/>
      <c r="N796" s="296"/>
      <c r="O796" s="353"/>
      <c r="Q796" s="354"/>
      <c r="R796" s="355"/>
      <c r="T796" s="367"/>
      <c r="U796" s="296"/>
      <c r="V796" s="355"/>
    </row>
    <row r="797" ht="12.75" customHeight="1">
      <c r="M797" s="354"/>
      <c r="N797" s="296"/>
      <c r="O797" s="353"/>
      <c r="Q797" s="354"/>
      <c r="R797" s="355"/>
      <c r="T797" s="367"/>
      <c r="U797" s="296"/>
      <c r="V797" s="355"/>
    </row>
    <row r="798" ht="12.75" customHeight="1">
      <c r="M798" s="354"/>
      <c r="N798" s="296"/>
      <c r="O798" s="353"/>
      <c r="Q798" s="354"/>
      <c r="R798" s="355"/>
      <c r="T798" s="367"/>
      <c r="U798" s="296"/>
      <c r="V798" s="355"/>
    </row>
    <row r="799" ht="12.75" customHeight="1">
      <c r="M799" s="354"/>
      <c r="N799" s="296"/>
      <c r="O799" s="353"/>
      <c r="Q799" s="354"/>
      <c r="R799" s="355"/>
      <c r="T799" s="367"/>
      <c r="U799" s="296"/>
      <c r="V799" s="355"/>
    </row>
    <row r="800" ht="12.75" customHeight="1">
      <c r="M800" s="354"/>
      <c r="N800" s="296"/>
      <c r="O800" s="353"/>
      <c r="Q800" s="354"/>
      <c r="R800" s="355"/>
      <c r="T800" s="367"/>
      <c r="U800" s="296"/>
      <c r="V800" s="355"/>
    </row>
    <row r="801" ht="12.75" customHeight="1">
      <c r="M801" s="354"/>
      <c r="N801" s="296"/>
      <c r="O801" s="353"/>
      <c r="Q801" s="354"/>
      <c r="R801" s="355"/>
      <c r="T801" s="367"/>
      <c r="U801" s="296"/>
      <c r="V801" s="355"/>
    </row>
    <row r="802" ht="12.75" customHeight="1">
      <c r="M802" s="354"/>
      <c r="N802" s="296"/>
      <c r="O802" s="353"/>
      <c r="Q802" s="354"/>
      <c r="R802" s="355"/>
      <c r="T802" s="367"/>
      <c r="U802" s="296"/>
      <c r="V802" s="355"/>
    </row>
    <row r="803" ht="12.75" customHeight="1">
      <c r="M803" s="354"/>
      <c r="N803" s="296"/>
      <c r="O803" s="353"/>
      <c r="Q803" s="354"/>
      <c r="R803" s="355"/>
      <c r="T803" s="367"/>
      <c r="U803" s="296"/>
      <c r="V803" s="355"/>
    </row>
    <row r="804" ht="12.75" customHeight="1">
      <c r="M804" s="354"/>
      <c r="N804" s="296"/>
      <c r="O804" s="353"/>
      <c r="Q804" s="354"/>
      <c r="R804" s="355"/>
      <c r="T804" s="367"/>
      <c r="U804" s="296"/>
      <c r="V804" s="355"/>
    </row>
    <row r="805" ht="12.75" customHeight="1">
      <c r="M805" s="354"/>
      <c r="N805" s="296"/>
      <c r="O805" s="353"/>
      <c r="Q805" s="354"/>
      <c r="R805" s="355"/>
      <c r="T805" s="367"/>
      <c r="U805" s="296"/>
      <c r="V805" s="355"/>
    </row>
    <row r="806" ht="12.75" customHeight="1">
      <c r="M806" s="354"/>
      <c r="N806" s="296"/>
      <c r="O806" s="353"/>
      <c r="Q806" s="354"/>
      <c r="R806" s="355"/>
      <c r="T806" s="367"/>
      <c r="U806" s="296"/>
      <c r="V806" s="355"/>
    </row>
    <row r="807" ht="12.75" customHeight="1">
      <c r="M807" s="354"/>
      <c r="N807" s="296"/>
      <c r="O807" s="353"/>
      <c r="Q807" s="354"/>
      <c r="R807" s="355"/>
      <c r="T807" s="367"/>
      <c r="U807" s="296"/>
      <c r="V807" s="355"/>
    </row>
    <row r="808" ht="12.75" customHeight="1">
      <c r="M808" s="354"/>
      <c r="N808" s="296"/>
      <c r="O808" s="353"/>
      <c r="Q808" s="354"/>
      <c r="R808" s="355"/>
      <c r="T808" s="367"/>
      <c r="U808" s="296"/>
      <c r="V808" s="355"/>
    </row>
    <row r="809" ht="12.75" customHeight="1">
      <c r="M809" s="354"/>
      <c r="N809" s="296"/>
      <c r="O809" s="353"/>
      <c r="Q809" s="354"/>
      <c r="R809" s="355"/>
      <c r="T809" s="367"/>
      <c r="U809" s="296"/>
      <c r="V809" s="355"/>
    </row>
    <row r="810" ht="12.75" customHeight="1">
      <c r="M810" s="354"/>
      <c r="N810" s="296"/>
      <c r="O810" s="353"/>
      <c r="Q810" s="354"/>
      <c r="R810" s="355"/>
      <c r="T810" s="367"/>
      <c r="U810" s="296"/>
      <c r="V810" s="355"/>
    </row>
    <row r="811" ht="12.75" customHeight="1">
      <c r="M811" s="354"/>
      <c r="N811" s="296"/>
      <c r="O811" s="353"/>
      <c r="Q811" s="354"/>
      <c r="R811" s="355"/>
      <c r="T811" s="367"/>
      <c r="U811" s="296"/>
      <c r="V811" s="355"/>
    </row>
    <row r="812" ht="12.75" customHeight="1">
      <c r="M812" s="354"/>
      <c r="N812" s="296"/>
      <c r="O812" s="353"/>
      <c r="Q812" s="354"/>
      <c r="R812" s="355"/>
      <c r="T812" s="367"/>
      <c r="U812" s="296"/>
      <c r="V812" s="355"/>
    </row>
    <row r="813" ht="12.75" customHeight="1">
      <c r="M813" s="354"/>
      <c r="N813" s="296"/>
      <c r="O813" s="353"/>
      <c r="Q813" s="354"/>
      <c r="R813" s="355"/>
      <c r="T813" s="367"/>
      <c r="U813" s="296"/>
      <c r="V813" s="355"/>
    </row>
    <row r="814" ht="12.75" customHeight="1">
      <c r="M814" s="354"/>
      <c r="N814" s="296"/>
      <c r="O814" s="353"/>
      <c r="Q814" s="354"/>
      <c r="R814" s="355"/>
      <c r="T814" s="367"/>
      <c r="U814" s="296"/>
      <c r="V814" s="355"/>
    </row>
    <row r="815" ht="12.75" customHeight="1">
      <c r="M815" s="354"/>
      <c r="N815" s="296"/>
      <c r="O815" s="353"/>
      <c r="Q815" s="354"/>
      <c r="R815" s="355"/>
      <c r="T815" s="367"/>
      <c r="U815" s="296"/>
      <c r="V815" s="355"/>
    </row>
    <row r="816" ht="12.75" customHeight="1">
      <c r="M816" s="354"/>
      <c r="N816" s="296"/>
      <c r="O816" s="353"/>
      <c r="Q816" s="354"/>
      <c r="R816" s="355"/>
      <c r="T816" s="367"/>
      <c r="U816" s="296"/>
      <c r="V816" s="355"/>
    </row>
    <row r="817" ht="12.75" customHeight="1">
      <c r="M817" s="354"/>
      <c r="N817" s="296"/>
      <c r="O817" s="353"/>
      <c r="Q817" s="354"/>
      <c r="R817" s="355"/>
      <c r="T817" s="367"/>
      <c r="U817" s="296"/>
      <c r="V817" s="355"/>
    </row>
    <row r="818" ht="12.75" customHeight="1">
      <c r="M818" s="354"/>
      <c r="N818" s="296"/>
      <c r="O818" s="353"/>
      <c r="Q818" s="354"/>
      <c r="R818" s="355"/>
      <c r="T818" s="367"/>
      <c r="U818" s="296"/>
      <c r="V818" s="355"/>
    </row>
    <row r="819" ht="12.75" customHeight="1">
      <c r="M819" s="354"/>
      <c r="N819" s="296"/>
      <c r="O819" s="353"/>
      <c r="Q819" s="354"/>
      <c r="R819" s="355"/>
      <c r="T819" s="367"/>
      <c r="U819" s="296"/>
      <c r="V819" s="355"/>
    </row>
    <row r="820" ht="12.75" customHeight="1">
      <c r="M820" s="354"/>
      <c r="N820" s="296"/>
      <c r="O820" s="353"/>
      <c r="Q820" s="354"/>
      <c r="R820" s="355"/>
      <c r="T820" s="367"/>
      <c r="U820" s="296"/>
      <c r="V820" s="355"/>
    </row>
    <row r="821" ht="12.75" customHeight="1">
      <c r="M821" s="354"/>
      <c r="N821" s="296"/>
      <c r="O821" s="353"/>
      <c r="Q821" s="354"/>
      <c r="R821" s="355"/>
      <c r="T821" s="367"/>
      <c r="U821" s="296"/>
      <c r="V821" s="355"/>
    </row>
    <row r="822" ht="12.75" customHeight="1">
      <c r="M822" s="354"/>
      <c r="N822" s="296"/>
      <c r="O822" s="353"/>
      <c r="Q822" s="354"/>
      <c r="R822" s="355"/>
      <c r="T822" s="367"/>
      <c r="U822" s="296"/>
      <c r="V822" s="355"/>
    </row>
    <row r="823" ht="12.75" customHeight="1">
      <c r="M823" s="354"/>
      <c r="N823" s="296"/>
      <c r="O823" s="353"/>
      <c r="Q823" s="354"/>
      <c r="R823" s="355"/>
      <c r="T823" s="367"/>
      <c r="U823" s="296"/>
      <c r="V823" s="355"/>
    </row>
    <row r="824" ht="12.75" customHeight="1">
      <c r="M824" s="354"/>
      <c r="N824" s="296"/>
      <c r="O824" s="353"/>
      <c r="Q824" s="354"/>
      <c r="R824" s="355"/>
      <c r="T824" s="367"/>
      <c r="U824" s="296"/>
      <c r="V824" s="355"/>
    </row>
    <row r="825" ht="12.75" customHeight="1">
      <c r="M825" s="354"/>
      <c r="N825" s="296"/>
      <c r="O825" s="353"/>
      <c r="Q825" s="354"/>
      <c r="R825" s="355"/>
      <c r="T825" s="367"/>
      <c r="U825" s="296"/>
      <c r="V825" s="355"/>
    </row>
    <row r="826" ht="12.75" customHeight="1">
      <c r="M826" s="354"/>
      <c r="N826" s="296"/>
      <c r="O826" s="353"/>
      <c r="Q826" s="354"/>
      <c r="R826" s="355"/>
      <c r="T826" s="367"/>
      <c r="U826" s="296"/>
      <c r="V826" s="355"/>
    </row>
    <row r="827" ht="12.75" customHeight="1">
      <c r="M827" s="354"/>
      <c r="N827" s="296"/>
      <c r="O827" s="353"/>
      <c r="Q827" s="354"/>
      <c r="R827" s="355"/>
      <c r="T827" s="367"/>
      <c r="U827" s="296"/>
      <c r="V827" s="355"/>
    </row>
    <row r="828" ht="12.75" customHeight="1">
      <c r="M828" s="354"/>
      <c r="N828" s="296"/>
      <c r="O828" s="353"/>
      <c r="Q828" s="354"/>
      <c r="R828" s="355"/>
      <c r="T828" s="367"/>
      <c r="U828" s="296"/>
      <c r="V828" s="355"/>
    </row>
    <row r="829" ht="12.75" customHeight="1">
      <c r="M829" s="354"/>
      <c r="N829" s="296"/>
      <c r="O829" s="353"/>
      <c r="Q829" s="354"/>
      <c r="R829" s="355"/>
      <c r="T829" s="367"/>
      <c r="U829" s="296"/>
      <c r="V829" s="355"/>
    </row>
    <row r="830" ht="12.75" customHeight="1">
      <c r="M830" s="354"/>
      <c r="N830" s="296"/>
      <c r="O830" s="353"/>
      <c r="Q830" s="354"/>
      <c r="R830" s="355"/>
      <c r="T830" s="367"/>
      <c r="U830" s="296"/>
      <c r="V830" s="355"/>
    </row>
    <row r="831" ht="12.75" customHeight="1">
      <c r="M831" s="354"/>
      <c r="N831" s="296"/>
      <c r="O831" s="353"/>
      <c r="Q831" s="354"/>
      <c r="R831" s="355"/>
      <c r="T831" s="367"/>
      <c r="U831" s="296"/>
      <c r="V831" s="355"/>
    </row>
    <row r="832" ht="12.75" customHeight="1">
      <c r="M832" s="354"/>
      <c r="N832" s="296"/>
      <c r="O832" s="353"/>
      <c r="Q832" s="354"/>
      <c r="R832" s="355"/>
      <c r="T832" s="367"/>
      <c r="U832" s="296"/>
      <c r="V832" s="355"/>
    </row>
    <row r="833" ht="12.75" customHeight="1">
      <c r="M833" s="354"/>
      <c r="N833" s="296"/>
      <c r="O833" s="353"/>
      <c r="Q833" s="354"/>
      <c r="R833" s="355"/>
      <c r="T833" s="367"/>
      <c r="U833" s="296"/>
      <c r="V833" s="355"/>
    </row>
    <row r="834" ht="12.75" customHeight="1">
      <c r="M834" s="354"/>
      <c r="N834" s="296"/>
      <c r="O834" s="353"/>
      <c r="Q834" s="354"/>
      <c r="R834" s="355"/>
      <c r="T834" s="367"/>
      <c r="U834" s="296"/>
      <c r="V834" s="355"/>
    </row>
    <row r="835" ht="12.75" customHeight="1">
      <c r="M835" s="354"/>
      <c r="N835" s="296"/>
      <c r="O835" s="353"/>
      <c r="Q835" s="354"/>
      <c r="R835" s="355"/>
      <c r="T835" s="367"/>
      <c r="U835" s="296"/>
      <c r="V835" s="355"/>
    </row>
    <row r="836" ht="12.75" customHeight="1">
      <c r="M836" s="354"/>
      <c r="N836" s="296"/>
      <c r="O836" s="353"/>
      <c r="Q836" s="354"/>
      <c r="R836" s="355"/>
      <c r="T836" s="367"/>
      <c r="U836" s="296"/>
      <c r="V836" s="355"/>
    </row>
    <row r="837" ht="12.75" customHeight="1">
      <c r="M837" s="354"/>
      <c r="N837" s="296"/>
      <c r="O837" s="353"/>
      <c r="Q837" s="354"/>
      <c r="R837" s="355"/>
      <c r="T837" s="367"/>
      <c r="U837" s="296"/>
      <c r="V837" s="355"/>
    </row>
    <row r="838" ht="12.75" customHeight="1">
      <c r="M838" s="354"/>
      <c r="N838" s="296"/>
      <c r="O838" s="353"/>
      <c r="Q838" s="354"/>
      <c r="R838" s="355"/>
      <c r="T838" s="367"/>
      <c r="U838" s="296"/>
      <c r="V838" s="355"/>
    </row>
    <row r="839" ht="12.75" customHeight="1">
      <c r="M839" s="354"/>
      <c r="N839" s="296"/>
      <c r="O839" s="353"/>
      <c r="Q839" s="354"/>
      <c r="R839" s="355"/>
      <c r="T839" s="367"/>
      <c r="U839" s="296"/>
      <c r="V839" s="355"/>
    </row>
    <row r="840" ht="12.75" customHeight="1">
      <c r="M840" s="354"/>
      <c r="N840" s="296"/>
      <c r="O840" s="353"/>
      <c r="Q840" s="354"/>
      <c r="R840" s="355"/>
      <c r="T840" s="367"/>
      <c r="U840" s="296"/>
      <c r="V840" s="355"/>
    </row>
    <row r="841" ht="12.75" customHeight="1">
      <c r="M841" s="354"/>
      <c r="N841" s="296"/>
      <c r="O841" s="353"/>
      <c r="Q841" s="354"/>
      <c r="R841" s="355"/>
      <c r="T841" s="367"/>
      <c r="U841" s="296"/>
      <c r="V841" s="355"/>
    </row>
    <row r="842" ht="12.75" customHeight="1">
      <c r="M842" s="354"/>
      <c r="N842" s="296"/>
      <c r="O842" s="353"/>
      <c r="Q842" s="354"/>
      <c r="R842" s="355"/>
      <c r="T842" s="367"/>
      <c r="U842" s="296"/>
      <c r="V842" s="355"/>
    </row>
    <row r="843" ht="12.75" customHeight="1">
      <c r="M843" s="354"/>
      <c r="N843" s="296"/>
      <c r="O843" s="353"/>
      <c r="Q843" s="354"/>
      <c r="R843" s="355"/>
      <c r="T843" s="367"/>
      <c r="U843" s="296"/>
      <c r="V843" s="355"/>
    </row>
    <row r="844" ht="12.75" customHeight="1">
      <c r="M844" s="354"/>
      <c r="N844" s="296"/>
      <c r="O844" s="353"/>
      <c r="Q844" s="354"/>
      <c r="R844" s="355"/>
      <c r="T844" s="367"/>
      <c r="U844" s="296"/>
      <c r="V844" s="355"/>
    </row>
    <row r="845" ht="12.75" customHeight="1">
      <c r="M845" s="354"/>
      <c r="N845" s="296"/>
      <c r="O845" s="353"/>
      <c r="Q845" s="354"/>
      <c r="R845" s="355"/>
      <c r="T845" s="367"/>
      <c r="U845" s="296"/>
      <c r="V845" s="355"/>
    </row>
    <row r="846" ht="12.75" customHeight="1">
      <c r="M846" s="354"/>
      <c r="N846" s="296"/>
      <c r="O846" s="353"/>
      <c r="Q846" s="354"/>
      <c r="R846" s="355"/>
      <c r="T846" s="367"/>
      <c r="U846" s="296"/>
      <c r="V846" s="355"/>
    </row>
    <row r="847" ht="12.75" customHeight="1">
      <c r="M847" s="354"/>
      <c r="N847" s="296"/>
      <c r="O847" s="353"/>
      <c r="Q847" s="354"/>
      <c r="R847" s="355"/>
      <c r="T847" s="367"/>
      <c r="U847" s="296"/>
      <c r="V847" s="355"/>
    </row>
    <row r="848" ht="12.75" customHeight="1">
      <c r="M848" s="354"/>
      <c r="N848" s="296"/>
      <c r="O848" s="353"/>
      <c r="Q848" s="354"/>
      <c r="R848" s="355"/>
      <c r="T848" s="367"/>
      <c r="U848" s="296"/>
      <c r="V848" s="355"/>
    </row>
    <row r="849" ht="12.75" customHeight="1">
      <c r="M849" s="354"/>
      <c r="N849" s="296"/>
      <c r="O849" s="353"/>
      <c r="Q849" s="354"/>
      <c r="R849" s="355"/>
      <c r="T849" s="367"/>
      <c r="U849" s="296"/>
      <c r="V849" s="355"/>
    </row>
    <row r="850" ht="12.75" customHeight="1">
      <c r="M850" s="354"/>
      <c r="N850" s="296"/>
      <c r="O850" s="353"/>
      <c r="Q850" s="354"/>
      <c r="R850" s="355"/>
      <c r="T850" s="367"/>
      <c r="U850" s="296"/>
      <c r="V850" s="355"/>
    </row>
    <row r="851" ht="12.75" customHeight="1">
      <c r="M851" s="354"/>
      <c r="N851" s="296"/>
      <c r="O851" s="353"/>
      <c r="Q851" s="354"/>
      <c r="R851" s="355"/>
      <c r="T851" s="367"/>
      <c r="U851" s="296"/>
      <c r="V851" s="355"/>
    </row>
    <row r="852" ht="12.75" customHeight="1">
      <c r="M852" s="354"/>
      <c r="N852" s="296"/>
      <c r="O852" s="353"/>
      <c r="Q852" s="354"/>
      <c r="R852" s="355"/>
      <c r="T852" s="367"/>
      <c r="U852" s="296"/>
      <c r="V852" s="355"/>
    </row>
    <row r="853" ht="12.75" customHeight="1">
      <c r="M853" s="354"/>
      <c r="N853" s="296"/>
      <c r="O853" s="353"/>
      <c r="Q853" s="354"/>
      <c r="R853" s="355"/>
      <c r="T853" s="367"/>
      <c r="U853" s="296"/>
      <c r="V853" s="355"/>
    </row>
    <row r="854" ht="12.75" customHeight="1">
      <c r="M854" s="354"/>
      <c r="N854" s="296"/>
      <c r="O854" s="353"/>
      <c r="Q854" s="354"/>
      <c r="R854" s="355"/>
      <c r="T854" s="367"/>
      <c r="U854" s="296"/>
      <c r="V854" s="355"/>
    </row>
    <row r="855" ht="12.75" customHeight="1">
      <c r="M855" s="354"/>
      <c r="N855" s="296"/>
      <c r="O855" s="353"/>
      <c r="Q855" s="354"/>
      <c r="R855" s="355"/>
      <c r="T855" s="367"/>
      <c r="U855" s="296"/>
      <c r="V855" s="355"/>
    </row>
    <row r="856" ht="12.75" customHeight="1">
      <c r="M856" s="354"/>
      <c r="N856" s="296"/>
      <c r="O856" s="353"/>
      <c r="Q856" s="354"/>
      <c r="R856" s="355"/>
      <c r="T856" s="367"/>
      <c r="U856" s="296"/>
      <c r="V856" s="355"/>
    </row>
    <row r="857" ht="12.75" customHeight="1">
      <c r="M857" s="354"/>
      <c r="N857" s="296"/>
      <c r="O857" s="353"/>
      <c r="Q857" s="354"/>
      <c r="R857" s="355"/>
      <c r="T857" s="367"/>
      <c r="U857" s="296"/>
      <c r="V857" s="355"/>
    </row>
    <row r="858" ht="12.75" customHeight="1">
      <c r="M858" s="354"/>
      <c r="N858" s="296"/>
      <c r="O858" s="353"/>
      <c r="Q858" s="354"/>
      <c r="R858" s="355"/>
      <c r="T858" s="367"/>
      <c r="U858" s="296"/>
      <c r="V858" s="355"/>
    </row>
    <row r="859" ht="12.75" customHeight="1">
      <c r="M859" s="354"/>
      <c r="N859" s="296"/>
      <c r="O859" s="353"/>
      <c r="Q859" s="354"/>
      <c r="R859" s="355"/>
      <c r="T859" s="367"/>
      <c r="U859" s="296"/>
      <c r="V859" s="355"/>
    </row>
    <row r="860" ht="12.75" customHeight="1">
      <c r="M860" s="354"/>
      <c r="N860" s="296"/>
      <c r="O860" s="353"/>
      <c r="Q860" s="354"/>
      <c r="R860" s="355"/>
      <c r="T860" s="367"/>
      <c r="U860" s="296"/>
      <c r="V860" s="355"/>
    </row>
    <row r="861" ht="12.75" customHeight="1">
      <c r="M861" s="354"/>
      <c r="N861" s="296"/>
      <c r="O861" s="353"/>
      <c r="Q861" s="354"/>
      <c r="R861" s="355"/>
      <c r="T861" s="367"/>
      <c r="U861" s="296"/>
      <c r="V861" s="355"/>
    </row>
    <row r="862" ht="12.75" customHeight="1">
      <c r="M862" s="354"/>
      <c r="N862" s="296"/>
      <c r="O862" s="353"/>
      <c r="Q862" s="354"/>
      <c r="R862" s="355"/>
      <c r="T862" s="367"/>
      <c r="U862" s="296"/>
      <c r="V862" s="355"/>
    </row>
    <row r="863" ht="12.75" customHeight="1">
      <c r="M863" s="354"/>
      <c r="N863" s="296"/>
      <c r="O863" s="353"/>
      <c r="Q863" s="354"/>
      <c r="R863" s="355"/>
      <c r="T863" s="367"/>
      <c r="U863" s="296"/>
      <c r="V863" s="355"/>
    </row>
    <row r="864" ht="12.75" customHeight="1">
      <c r="M864" s="354"/>
      <c r="N864" s="296"/>
      <c r="O864" s="353"/>
      <c r="Q864" s="354"/>
      <c r="R864" s="355"/>
      <c r="T864" s="367"/>
      <c r="U864" s="296"/>
      <c r="V864" s="355"/>
    </row>
    <row r="865" ht="12.75" customHeight="1">
      <c r="M865" s="354"/>
      <c r="N865" s="296"/>
      <c r="O865" s="353"/>
      <c r="Q865" s="354"/>
      <c r="R865" s="355"/>
      <c r="T865" s="367"/>
      <c r="U865" s="296"/>
      <c r="V865" s="355"/>
    </row>
    <row r="866" ht="12.75" customHeight="1">
      <c r="M866" s="354"/>
      <c r="N866" s="296"/>
      <c r="O866" s="353"/>
      <c r="Q866" s="354"/>
      <c r="R866" s="355"/>
      <c r="T866" s="367"/>
      <c r="U866" s="296"/>
      <c r="V866" s="355"/>
    </row>
    <row r="867" ht="12.75" customHeight="1">
      <c r="M867" s="354"/>
      <c r="N867" s="296"/>
      <c r="O867" s="353"/>
      <c r="Q867" s="354"/>
      <c r="R867" s="355"/>
      <c r="T867" s="367"/>
      <c r="U867" s="296"/>
      <c r="V867" s="355"/>
    </row>
    <row r="868" ht="12.75" customHeight="1">
      <c r="M868" s="354"/>
      <c r="N868" s="296"/>
      <c r="O868" s="353"/>
      <c r="Q868" s="354"/>
      <c r="R868" s="355"/>
      <c r="T868" s="367"/>
      <c r="U868" s="296"/>
      <c r="V868" s="355"/>
    </row>
    <row r="869" ht="12.75" customHeight="1">
      <c r="M869" s="354"/>
      <c r="N869" s="296"/>
      <c r="O869" s="353"/>
      <c r="Q869" s="354"/>
      <c r="R869" s="355"/>
      <c r="T869" s="367"/>
      <c r="U869" s="296"/>
      <c r="V869" s="355"/>
    </row>
    <row r="870" ht="12.75" customHeight="1">
      <c r="M870" s="354"/>
      <c r="N870" s="296"/>
      <c r="O870" s="353"/>
      <c r="Q870" s="354"/>
      <c r="R870" s="355"/>
      <c r="T870" s="367"/>
      <c r="U870" s="296"/>
      <c r="V870" s="355"/>
    </row>
    <row r="871" ht="12.75" customHeight="1">
      <c r="M871" s="354"/>
      <c r="N871" s="296"/>
      <c r="O871" s="353"/>
      <c r="Q871" s="354"/>
      <c r="R871" s="355"/>
      <c r="T871" s="367"/>
      <c r="U871" s="296"/>
      <c r="V871" s="355"/>
    </row>
    <row r="872" ht="12.75" customHeight="1">
      <c r="M872" s="354"/>
      <c r="N872" s="296"/>
      <c r="O872" s="353"/>
      <c r="Q872" s="354"/>
      <c r="R872" s="355"/>
      <c r="T872" s="367"/>
      <c r="U872" s="296"/>
      <c r="V872" s="355"/>
    </row>
    <row r="873" ht="12.75" customHeight="1">
      <c r="M873" s="354"/>
      <c r="N873" s="296"/>
      <c r="O873" s="353"/>
      <c r="Q873" s="354"/>
      <c r="R873" s="355"/>
      <c r="T873" s="367"/>
      <c r="U873" s="296"/>
      <c r="V873" s="355"/>
    </row>
    <row r="874" ht="12.75" customHeight="1">
      <c r="M874" s="354"/>
      <c r="N874" s="296"/>
      <c r="O874" s="353"/>
      <c r="Q874" s="354"/>
      <c r="R874" s="355"/>
      <c r="T874" s="367"/>
      <c r="U874" s="296"/>
      <c r="V874" s="355"/>
    </row>
    <row r="875" ht="12.75" customHeight="1">
      <c r="M875" s="354"/>
      <c r="N875" s="296"/>
      <c r="O875" s="353"/>
      <c r="Q875" s="354"/>
      <c r="R875" s="355"/>
      <c r="T875" s="367"/>
      <c r="U875" s="296"/>
      <c r="V875" s="355"/>
    </row>
    <row r="876" ht="12.75" customHeight="1">
      <c r="M876" s="354"/>
      <c r="N876" s="296"/>
      <c r="O876" s="353"/>
      <c r="Q876" s="354"/>
      <c r="R876" s="355"/>
      <c r="T876" s="367"/>
      <c r="U876" s="296"/>
      <c r="V876" s="355"/>
    </row>
    <row r="877" ht="12.75" customHeight="1">
      <c r="M877" s="354"/>
      <c r="N877" s="296"/>
      <c r="O877" s="353"/>
      <c r="Q877" s="354"/>
      <c r="R877" s="355"/>
      <c r="T877" s="367"/>
      <c r="U877" s="296"/>
      <c r="V877" s="355"/>
    </row>
    <row r="878" ht="12.75" customHeight="1">
      <c r="M878" s="354"/>
      <c r="N878" s="296"/>
      <c r="O878" s="353"/>
      <c r="Q878" s="354"/>
      <c r="R878" s="355"/>
      <c r="T878" s="367"/>
      <c r="U878" s="296"/>
      <c r="V878" s="355"/>
    </row>
    <row r="879" ht="12.75" customHeight="1">
      <c r="M879" s="354"/>
      <c r="N879" s="296"/>
      <c r="O879" s="353"/>
      <c r="Q879" s="354"/>
      <c r="R879" s="355"/>
      <c r="T879" s="367"/>
      <c r="U879" s="296"/>
      <c r="V879" s="355"/>
    </row>
    <row r="880" ht="12.75" customHeight="1">
      <c r="M880" s="354"/>
      <c r="N880" s="296"/>
      <c r="O880" s="353"/>
      <c r="Q880" s="354"/>
      <c r="R880" s="355"/>
      <c r="T880" s="367"/>
      <c r="U880" s="296"/>
      <c r="V880" s="355"/>
    </row>
    <row r="881" ht="12.75" customHeight="1">
      <c r="M881" s="354"/>
      <c r="N881" s="296"/>
      <c r="O881" s="353"/>
      <c r="Q881" s="354"/>
      <c r="R881" s="355"/>
      <c r="T881" s="367"/>
      <c r="U881" s="296"/>
      <c r="V881" s="355"/>
    </row>
    <row r="882" ht="12.75" customHeight="1">
      <c r="M882" s="354"/>
      <c r="N882" s="296"/>
      <c r="O882" s="353"/>
      <c r="Q882" s="354"/>
      <c r="R882" s="355"/>
      <c r="T882" s="367"/>
      <c r="U882" s="296"/>
      <c r="V882" s="355"/>
    </row>
    <row r="883" ht="12.75" customHeight="1">
      <c r="M883" s="354"/>
      <c r="N883" s="296"/>
      <c r="O883" s="353"/>
      <c r="Q883" s="354"/>
      <c r="R883" s="355"/>
      <c r="T883" s="367"/>
      <c r="U883" s="296"/>
      <c r="V883" s="355"/>
    </row>
    <row r="884" ht="12.75" customHeight="1">
      <c r="M884" s="354"/>
      <c r="N884" s="296"/>
      <c r="O884" s="353"/>
      <c r="Q884" s="354"/>
      <c r="R884" s="355"/>
      <c r="T884" s="367"/>
      <c r="U884" s="296"/>
      <c r="V884" s="355"/>
    </row>
    <row r="885" ht="12.75" customHeight="1">
      <c r="M885" s="354"/>
      <c r="N885" s="296"/>
      <c r="O885" s="353"/>
      <c r="Q885" s="354"/>
      <c r="R885" s="355"/>
      <c r="T885" s="367"/>
      <c r="U885" s="296"/>
      <c r="V885" s="355"/>
    </row>
    <row r="886" ht="12.75" customHeight="1">
      <c r="M886" s="354"/>
      <c r="N886" s="296"/>
      <c r="O886" s="353"/>
      <c r="Q886" s="354"/>
      <c r="R886" s="355"/>
      <c r="T886" s="367"/>
      <c r="U886" s="296"/>
      <c r="V886" s="355"/>
    </row>
    <row r="887" ht="12.75" customHeight="1">
      <c r="M887" s="354"/>
      <c r="N887" s="296"/>
      <c r="O887" s="353"/>
      <c r="Q887" s="354"/>
      <c r="R887" s="355"/>
      <c r="T887" s="367"/>
      <c r="U887" s="296"/>
      <c r="V887" s="355"/>
    </row>
    <row r="888" ht="12.75" customHeight="1">
      <c r="M888" s="354"/>
      <c r="N888" s="296"/>
      <c r="O888" s="353"/>
      <c r="Q888" s="354"/>
      <c r="R888" s="355"/>
      <c r="T888" s="367"/>
      <c r="U888" s="296"/>
      <c r="V888" s="355"/>
    </row>
    <row r="889" ht="12.75" customHeight="1">
      <c r="M889" s="354"/>
      <c r="N889" s="296"/>
      <c r="O889" s="353"/>
      <c r="Q889" s="354"/>
      <c r="R889" s="355"/>
      <c r="T889" s="367"/>
      <c r="U889" s="296"/>
      <c r="V889" s="355"/>
    </row>
    <row r="890" ht="12.75" customHeight="1">
      <c r="M890" s="354"/>
      <c r="N890" s="296"/>
      <c r="O890" s="353"/>
      <c r="Q890" s="354"/>
      <c r="R890" s="355"/>
      <c r="T890" s="367"/>
      <c r="U890" s="296"/>
      <c r="V890" s="355"/>
    </row>
    <row r="891" ht="12.75" customHeight="1">
      <c r="M891" s="354"/>
      <c r="N891" s="296"/>
      <c r="O891" s="353"/>
      <c r="Q891" s="354"/>
      <c r="R891" s="355"/>
      <c r="T891" s="367"/>
      <c r="U891" s="296"/>
      <c r="V891" s="355"/>
    </row>
    <row r="892" ht="12.75" customHeight="1">
      <c r="M892" s="354"/>
      <c r="N892" s="296"/>
      <c r="O892" s="353"/>
      <c r="Q892" s="354"/>
      <c r="R892" s="355"/>
      <c r="T892" s="367"/>
      <c r="U892" s="296"/>
      <c r="V892" s="355"/>
    </row>
    <row r="893" ht="12.75" customHeight="1">
      <c r="M893" s="354"/>
      <c r="N893" s="296"/>
      <c r="O893" s="353"/>
      <c r="Q893" s="354"/>
      <c r="R893" s="355"/>
      <c r="T893" s="367"/>
      <c r="U893" s="296"/>
      <c r="V893" s="355"/>
    </row>
    <row r="894" ht="12.75" customHeight="1">
      <c r="M894" s="354"/>
      <c r="N894" s="296"/>
      <c r="O894" s="353"/>
      <c r="Q894" s="354"/>
      <c r="R894" s="355"/>
      <c r="T894" s="367"/>
      <c r="U894" s="296"/>
      <c r="V894" s="355"/>
    </row>
    <row r="895" ht="12.75" customHeight="1">
      <c r="M895" s="354"/>
      <c r="N895" s="296"/>
      <c r="O895" s="353"/>
      <c r="Q895" s="354"/>
      <c r="R895" s="355"/>
      <c r="T895" s="367"/>
      <c r="U895" s="296"/>
      <c r="V895" s="355"/>
    </row>
    <row r="896" ht="12.75" customHeight="1">
      <c r="M896" s="354"/>
      <c r="N896" s="296"/>
      <c r="O896" s="353"/>
      <c r="Q896" s="354"/>
      <c r="R896" s="355"/>
      <c r="T896" s="367"/>
      <c r="U896" s="296"/>
      <c r="V896" s="355"/>
    </row>
    <row r="897" ht="12.75" customHeight="1">
      <c r="M897" s="354"/>
      <c r="N897" s="296"/>
      <c r="O897" s="353"/>
      <c r="Q897" s="354"/>
      <c r="R897" s="355"/>
      <c r="T897" s="367"/>
      <c r="U897" s="296"/>
      <c r="V897" s="355"/>
    </row>
    <row r="898" ht="12.75" customHeight="1">
      <c r="M898" s="354"/>
      <c r="N898" s="296"/>
      <c r="O898" s="353"/>
      <c r="Q898" s="354"/>
      <c r="R898" s="355"/>
      <c r="T898" s="367"/>
      <c r="U898" s="296"/>
      <c r="V898" s="355"/>
    </row>
    <row r="899" ht="12.75" customHeight="1">
      <c r="M899" s="354"/>
      <c r="N899" s="296"/>
      <c r="O899" s="353"/>
      <c r="Q899" s="354"/>
      <c r="R899" s="355"/>
      <c r="T899" s="367"/>
      <c r="U899" s="296"/>
      <c r="V899" s="355"/>
    </row>
    <row r="900" ht="12.75" customHeight="1">
      <c r="M900" s="354"/>
      <c r="N900" s="296"/>
      <c r="O900" s="353"/>
      <c r="Q900" s="354"/>
      <c r="R900" s="355"/>
      <c r="T900" s="367"/>
      <c r="U900" s="296"/>
      <c r="V900" s="355"/>
    </row>
    <row r="901" ht="12.75" customHeight="1">
      <c r="M901" s="354"/>
      <c r="N901" s="296"/>
      <c r="O901" s="353"/>
      <c r="Q901" s="354"/>
      <c r="R901" s="355"/>
      <c r="T901" s="367"/>
      <c r="U901" s="296"/>
      <c r="V901" s="355"/>
    </row>
    <row r="902" ht="12.75" customHeight="1">
      <c r="M902" s="354"/>
      <c r="N902" s="296"/>
      <c r="O902" s="353"/>
      <c r="Q902" s="354"/>
      <c r="R902" s="355"/>
      <c r="T902" s="367"/>
      <c r="U902" s="296"/>
      <c r="V902" s="355"/>
    </row>
    <row r="903" ht="12.75" customHeight="1">
      <c r="M903" s="354"/>
      <c r="N903" s="296"/>
      <c r="O903" s="353"/>
      <c r="Q903" s="354"/>
      <c r="R903" s="355"/>
      <c r="T903" s="367"/>
      <c r="U903" s="296"/>
      <c r="V903" s="355"/>
    </row>
    <row r="904" ht="12.75" customHeight="1">
      <c r="M904" s="354"/>
      <c r="N904" s="296"/>
      <c r="O904" s="353"/>
      <c r="Q904" s="354"/>
      <c r="R904" s="355"/>
      <c r="T904" s="367"/>
      <c r="U904" s="296"/>
      <c r="V904" s="355"/>
    </row>
    <row r="905" ht="12.75" customHeight="1">
      <c r="M905" s="354"/>
      <c r="N905" s="296"/>
      <c r="O905" s="353"/>
      <c r="Q905" s="354"/>
      <c r="R905" s="355"/>
      <c r="T905" s="367"/>
      <c r="U905" s="296"/>
      <c r="V905" s="355"/>
    </row>
    <row r="906" ht="12.75" customHeight="1">
      <c r="M906" s="354"/>
      <c r="N906" s="296"/>
      <c r="O906" s="353"/>
      <c r="Q906" s="354"/>
      <c r="R906" s="355"/>
      <c r="T906" s="367"/>
      <c r="U906" s="296"/>
      <c r="V906" s="355"/>
    </row>
    <row r="907" ht="12.75" customHeight="1">
      <c r="M907" s="354"/>
      <c r="N907" s="296"/>
      <c r="O907" s="353"/>
      <c r="Q907" s="354"/>
      <c r="R907" s="355"/>
      <c r="T907" s="367"/>
      <c r="U907" s="296"/>
      <c r="V907" s="355"/>
    </row>
    <row r="908" ht="12.75" customHeight="1">
      <c r="M908" s="354"/>
      <c r="N908" s="296"/>
      <c r="O908" s="353"/>
      <c r="Q908" s="354"/>
      <c r="R908" s="355"/>
      <c r="T908" s="367"/>
      <c r="U908" s="296"/>
      <c r="V908" s="355"/>
    </row>
    <row r="909" ht="12.75" customHeight="1">
      <c r="M909" s="354"/>
      <c r="N909" s="296"/>
      <c r="O909" s="353"/>
      <c r="Q909" s="354"/>
      <c r="R909" s="355"/>
      <c r="T909" s="367"/>
      <c r="U909" s="296"/>
      <c r="V909" s="355"/>
    </row>
    <row r="910" ht="12.75" customHeight="1">
      <c r="M910" s="354"/>
      <c r="N910" s="296"/>
      <c r="O910" s="353"/>
      <c r="Q910" s="354"/>
      <c r="R910" s="355"/>
      <c r="T910" s="367"/>
      <c r="U910" s="296"/>
      <c r="V910" s="355"/>
    </row>
    <row r="911" ht="12.75" customHeight="1">
      <c r="M911" s="354"/>
      <c r="N911" s="296"/>
      <c r="O911" s="353"/>
      <c r="Q911" s="354"/>
      <c r="R911" s="355"/>
      <c r="T911" s="367"/>
      <c r="U911" s="296"/>
      <c r="V911" s="355"/>
    </row>
    <row r="912" ht="12.75" customHeight="1">
      <c r="M912" s="354"/>
      <c r="N912" s="296"/>
      <c r="O912" s="353"/>
      <c r="Q912" s="354"/>
      <c r="R912" s="355"/>
      <c r="T912" s="367"/>
      <c r="U912" s="296"/>
      <c r="V912" s="355"/>
    </row>
    <row r="913" ht="12.75" customHeight="1">
      <c r="M913" s="354"/>
      <c r="N913" s="296"/>
      <c r="O913" s="353"/>
      <c r="Q913" s="354"/>
      <c r="R913" s="355"/>
      <c r="T913" s="367"/>
      <c r="U913" s="296"/>
      <c r="V913" s="355"/>
    </row>
    <row r="914" ht="12.75" customHeight="1">
      <c r="M914" s="354"/>
      <c r="N914" s="296"/>
      <c r="O914" s="353"/>
      <c r="Q914" s="354"/>
      <c r="R914" s="355"/>
      <c r="T914" s="367"/>
      <c r="U914" s="296"/>
      <c r="V914" s="355"/>
    </row>
    <row r="915" ht="12.75" customHeight="1">
      <c r="M915" s="354"/>
      <c r="N915" s="296"/>
      <c r="O915" s="353"/>
      <c r="Q915" s="354"/>
      <c r="R915" s="355"/>
      <c r="T915" s="367"/>
      <c r="U915" s="296"/>
      <c r="V915" s="355"/>
    </row>
    <row r="916" ht="12.75" customHeight="1">
      <c r="M916" s="354"/>
      <c r="N916" s="296"/>
      <c r="O916" s="353"/>
      <c r="Q916" s="354"/>
      <c r="R916" s="355"/>
      <c r="T916" s="367"/>
      <c r="U916" s="296"/>
      <c r="V916" s="355"/>
    </row>
    <row r="917" ht="12.75" customHeight="1">
      <c r="M917" s="354"/>
      <c r="N917" s="296"/>
      <c r="O917" s="353"/>
      <c r="Q917" s="354"/>
      <c r="R917" s="355"/>
      <c r="T917" s="367"/>
      <c r="U917" s="296"/>
      <c r="V917" s="355"/>
    </row>
    <row r="918" ht="12.75" customHeight="1">
      <c r="M918" s="354"/>
      <c r="N918" s="296"/>
      <c r="O918" s="353"/>
      <c r="Q918" s="354"/>
      <c r="R918" s="355"/>
      <c r="T918" s="367"/>
      <c r="U918" s="296"/>
      <c r="V918" s="355"/>
    </row>
    <row r="919" ht="12.75" customHeight="1">
      <c r="M919" s="354"/>
      <c r="N919" s="296"/>
      <c r="O919" s="353"/>
      <c r="Q919" s="354"/>
      <c r="R919" s="355"/>
      <c r="T919" s="367"/>
      <c r="U919" s="296"/>
      <c r="V919" s="355"/>
    </row>
    <row r="920" ht="12.75" customHeight="1">
      <c r="M920" s="354"/>
      <c r="N920" s="296"/>
      <c r="O920" s="353"/>
      <c r="Q920" s="354"/>
      <c r="R920" s="355"/>
      <c r="T920" s="367"/>
      <c r="U920" s="296"/>
      <c r="V920" s="355"/>
    </row>
    <row r="921" ht="12.75" customHeight="1">
      <c r="M921" s="354"/>
      <c r="N921" s="296"/>
      <c r="O921" s="353"/>
      <c r="Q921" s="354"/>
      <c r="R921" s="355"/>
      <c r="T921" s="367"/>
      <c r="U921" s="296"/>
      <c r="V921" s="355"/>
    </row>
    <row r="922" ht="12.75" customHeight="1">
      <c r="M922" s="354"/>
      <c r="N922" s="296"/>
      <c r="O922" s="353"/>
      <c r="Q922" s="354"/>
      <c r="R922" s="355"/>
      <c r="T922" s="367"/>
      <c r="U922" s="296"/>
      <c r="V922" s="355"/>
    </row>
    <row r="923" ht="12.75" customHeight="1">
      <c r="M923" s="354"/>
      <c r="N923" s="296"/>
      <c r="O923" s="353"/>
      <c r="Q923" s="354"/>
      <c r="R923" s="355"/>
      <c r="T923" s="367"/>
      <c r="U923" s="296"/>
      <c r="V923" s="355"/>
    </row>
    <row r="924" ht="12.75" customHeight="1">
      <c r="M924" s="354"/>
      <c r="N924" s="296"/>
      <c r="O924" s="353"/>
      <c r="Q924" s="354"/>
      <c r="R924" s="355"/>
      <c r="T924" s="367"/>
      <c r="U924" s="296"/>
      <c r="V924" s="355"/>
    </row>
    <row r="925" ht="12.75" customHeight="1">
      <c r="M925" s="354"/>
      <c r="N925" s="296"/>
      <c r="O925" s="353"/>
      <c r="Q925" s="354"/>
      <c r="R925" s="355"/>
      <c r="T925" s="367"/>
      <c r="U925" s="296"/>
      <c r="V925" s="355"/>
    </row>
    <row r="926" ht="12.75" customHeight="1">
      <c r="M926" s="354"/>
      <c r="N926" s="296"/>
      <c r="O926" s="353"/>
      <c r="Q926" s="354"/>
      <c r="R926" s="355"/>
      <c r="T926" s="367"/>
      <c r="U926" s="296"/>
      <c r="V926" s="355"/>
    </row>
    <row r="927" ht="12.75" customHeight="1">
      <c r="M927" s="354"/>
      <c r="N927" s="296"/>
      <c r="O927" s="353"/>
      <c r="Q927" s="354"/>
      <c r="R927" s="355"/>
      <c r="T927" s="367"/>
      <c r="U927" s="296"/>
      <c r="V927" s="355"/>
    </row>
    <row r="928" ht="12.75" customHeight="1">
      <c r="M928" s="354"/>
      <c r="N928" s="296"/>
      <c r="O928" s="353"/>
      <c r="Q928" s="354"/>
      <c r="R928" s="355"/>
      <c r="T928" s="367"/>
      <c r="U928" s="296"/>
      <c r="V928" s="355"/>
    </row>
    <row r="929" ht="12.75" customHeight="1">
      <c r="M929" s="354"/>
      <c r="N929" s="296"/>
      <c r="O929" s="353"/>
      <c r="Q929" s="354"/>
      <c r="R929" s="355"/>
      <c r="T929" s="367"/>
      <c r="U929" s="296"/>
      <c r="V929" s="355"/>
    </row>
    <row r="930" ht="12.75" customHeight="1">
      <c r="M930" s="354"/>
      <c r="N930" s="296"/>
      <c r="O930" s="353"/>
      <c r="Q930" s="354"/>
      <c r="R930" s="355"/>
      <c r="T930" s="367"/>
      <c r="U930" s="296"/>
      <c r="V930" s="355"/>
    </row>
    <row r="931" ht="12.75" customHeight="1">
      <c r="M931" s="354"/>
      <c r="N931" s="296"/>
      <c r="O931" s="353"/>
      <c r="Q931" s="354"/>
      <c r="R931" s="355"/>
      <c r="T931" s="367"/>
      <c r="U931" s="296"/>
      <c r="V931" s="355"/>
    </row>
    <row r="932" ht="12.75" customHeight="1">
      <c r="M932" s="354"/>
      <c r="N932" s="296"/>
      <c r="O932" s="353"/>
      <c r="Q932" s="354"/>
      <c r="R932" s="355"/>
      <c r="T932" s="367"/>
      <c r="U932" s="296"/>
      <c r="V932" s="355"/>
    </row>
    <row r="933" ht="12.75" customHeight="1">
      <c r="M933" s="354"/>
      <c r="N933" s="296"/>
      <c r="O933" s="353"/>
      <c r="Q933" s="354"/>
      <c r="R933" s="355"/>
      <c r="T933" s="367"/>
      <c r="U933" s="296"/>
      <c r="V933" s="355"/>
    </row>
    <row r="934" ht="12.75" customHeight="1">
      <c r="M934" s="354"/>
      <c r="N934" s="296"/>
      <c r="O934" s="353"/>
      <c r="Q934" s="354"/>
      <c r="R934" s="355"/>
      <c r="T934" s="367"/>
      <c r="U934" s="296"/>
      <c r="V934" s="355"/>
    </row>
    <row r="935" ht="12.75" customHeight="1">
      <c r="M935" s="354"/>
      <c r="N935" s="296"/>
      <c r="O935" s="353"/>
      <c r="Q935" s="354"/>
      <c r="R935" s="355"/>
      <c r="T935" s="367"/>
      <c r="U935" s="296"/>
      <c r="V935" s="355"/>
    </row>
    <row r="936" ht="12.75" customHeight="1">
      <c r="M936" s="354"/>
      <c r="N936" s="296"/>
      <c r="O936" s="353"/>
      <c r="Q936" s="354"/>
      <c r="R936" s="355"/>
      <c r="T936" s="367"/>
      <c r="U936" s="296"/>
      <c r="V936" s="355"/>
    </row>
    <row r="937" ht="12.75" customHeight="1">
      <c r="M937" s="354"/>
      <c r="N937" s="296"/>
      <c r="O937" s="353"/>
      <c r="Q937" s="354"/>
      <c r="R937" s="355"/>
      <c r="T937" s="367"/>
      <c r="U937" s="296"/>
      <c r="V937" s="355"/>
    </row>
    <row r="938" ht="12.75" customHeight="1">
      <c r="M938" s="354"/>
      <c r="N938" s="296"/>
      <c r="O938" s="353"/>
      <c r="Q938" s="354"/>
      <c r="R938" s="355"/>
      <c r="T938" s="367"/>
      <c r="U938" s="296"/>
      <c r="V938" s="355"/>
    </row>
    <row r="939" ht="12.75" customHeight="1">
      <c r="M939" s="354"/>
      <c r="N939" s="296"/>
      <c r="O939" s="353"/>
      <c r="Q939" s="354"/>
      <c r="R939" s="355"/>
      <c r="T939" s="367"/>
      <c r="U939" s="296"/>
      <c r="V939" s="355"/>
    </row>
    <row r="940" ht="12.75" customHeight="1">
      <c r="M940" s="354"/>
      <c r="N940" s="296"/>
      <c r="O940" s="353"/>
      <c r="Q940" s="354"/>
      <c r="R940" s="355"/>
      <c r="T940" s="367"/>
      <c r="U940" s="296"/>
      <c r="V940" s="355"/>
    </row>
    <row r="941" ht="12.75" customHeight="1">
      <c r="M941" s="354"/>
      <c r="N941" s="296"/>
      <c r="O941" s="353"/>
      <c r="Q941" s="354"/>
      <c r="R941" s="355"/>
      <c r="T941" s="367"/>
      <c r="U941" s="296"/>
      <c r="V941" s="355"/>
    </row>
    <row r="942" ht="12.75" customHeight="1">
      <c r="M942" s="354"/>
      <c r="N942" s="296"/>
      <c r="O942" s="353"/>
      <c r="Q942" s="354"/>
      <c r="R942" s="355"/>
      <c r="T942" s="367"/>
      <c r="U942" s="296"/>
      <c r="V942" s="355"/>
    </row>
    <row r="943" ht="12.75" customHeight="1">
      <c r="M943" s="354"/>
      <c r="N943" s="296"/>
      <c r="O943" s="353"/>
      <c r="Q943" s="354"/>
      <c r="R943" s="355"/>
      <c r="T943" s="367"/>
      <c r="U943" s="296"/>
      <c r="V943" s="355"/>
    </row>
    <row r="944" ht="12.75" customHeight="1">
      <c r="M944" s="354"/>
      <c r="N944" s="296"/>
      <c r="O944" s="353"/>
      <c r="Q944" s="354"/>
      <c r="R944" s="355"/>
      <c r="T944" s="367"/>
      <c r="U944" s="296"/>
      <c r="V944" s="355"/>
    </row>
    <row r="945" ht="12.75" customHeight="1">
      <c r="M945" s="354"/>
      <c r="N945" s="296"/>
      <c r="O945" s="353"/>
      <c r="Q945" s="354"/>
      <c r="R945" s="355"/>
      <c r="T945" s="367"/>
      <c r="U945" s="296"/>
      <c r="V945" s="355"/>
    </row>
    <row r="946" ht="12.75" customHeight="1">
      <c r="M946" s="354"/>
      <c r="N946" s="296"/>
      <c r="O946" s="353"/>
      <c r="Q946" s="354"/>
      <c r="R946" s="355"/>
      <c r="T946" s="367"/>
      <c r="U946" s="296"/>
      <c r="V946" s="355"/>
    </row>
    <row r="947" ht="12.75" customHeight="1">
      <c r="M947" s="354"/>
      <c r="N947" s="296"/>
      <c r="O947" s="353"/>
      <c r="Q947" s="354"/>
      <c r="R947" s="355"/>
      <c r="T947" s="367"/>
      <c r="U947" s="296"/>
      <c r="V947" s="355"/>
    </row>
    <row r="948" ht="12.75" customHeight="1">
      <c r="M948" s="354"/>
      <c r="N948" s="296"/>
      <c r="O948" s="353"/>
      <c r="Q948" s="354"/>
      <c r="R948" s="355"/>
      <c r="T948" s="367"/>
      <c r="U948" s="296"/>
      <c r="V948" s="355"/>
    </row>
    <row r="949" ht="12.75" customHeight="1">
      <c r="M949" s="354"/>
      <c r="N949" s="296"/>
      <c r="O949" s="353"/>
      <c r="Q949" s="354"/>
      <c r="R949" s="355"/>
      <c r="T949" s="367"/>
      <c r="U949" s="296"/>
      <c r="V949" s="355"/>
    </row>
    <row r="950" ht="12.75" customHeight="1">
      <c r="M950" s="354"/>
      <c r="N950" s="296"/>
      <c r="O950" s="353"/>
      <c r="Q950" s="354"/>
      <c r="R950" s="355"/>
      <c r="T950" s="367"/>
      <c r="U950" s="296"/>
      <c r="V950" s="355"/>
    </row>
    <row r="951" ht="12.75" customHeight="1">
      <c r="M951" s="354"/>
      <c r="N951" s="296"/>
      <c r="O951" s="353"/>
      <c r="Q951" s="354"/>
      <c r="R951" s="355"/>
      <c r="T951" s="367"/>
      <c r="U951" s="296"/>
      <c r="V951" s="355"/>
    </row>
    <row r="952" ht="12.75" customHeight="1">
      <c r="M952" s="354"/>
      <c r="N952" s="296"/>
      <c r="O952" s="353"/>
      <c r="Q952" s="354"/>
      <c r="R952" s="355"/>
      <c r="T952" s="367"/>
      <c r="U952" s="296"/>
      <c r="V952" s="355"/>
    </row>
    <row r="953" ht="12.75" customHeight="1">
      <c r="M953" s="354"/>
      <c r="N953" s="296"/>
      <c r="O953" s="353"/>
      <c r="Q953" s="354"/>
      <c r="R953" s="355"/>
      <c r="T953" s="367"/>
      <c r="U953" s="296"/>
      <c r="V953" s="355"/>
    </row>
    <row r="954" ht="12.75" customHeight="1">
      <c r="M954" s="354"/>
      <c r="N954" s="296"/>
      <c r="O954" s="353"/>
      <c r="Q954" s="354"/>
      <c r="R954" s="355"/>
      <c r="T954" s="367"/>
      <c r="U954" s="296"/>
      <c r="V954" s="355"/>
    </row>
    <row r="955" ht="12.75" customHeight="1">
      <c r="M955" s="354"/>
      <c r="N955" s="296"/>
      <c r="O955" s="353"/>
      <c r="Q955" s="354"/>
      <c r="R955" s="355"/>
      <c r="T955" s="367"/>
      <c r="U955" s="296"/>
      <c r="V955" s="355"/>
    </row>
    <row r="956" ht="12.75" customHeight="1">
      <c r="M956" s="354"/>
      <c r="N956" s="296"/>
      <c r="O956" s="353"/>
      <c r="Q956" s="354"/>
      <c r="R956" s="355"/>
      <c r="T956" s="367"/>
      <c r="U956" s="296"/>
      <c r="V956" s="355"/>
    </row>
    <row r="957" ht="12.75" customHeight="1">
      <c r="M957" s="354"/>
      <c r="N957" s="296"/>
      <c r="O957" s="353"/>
      <c r="Q957" s="354"/>
      <c r="R957" s="355"/>
      <c r="T957" s="367"/>
      <c r="U957" s="296"/>
      <c r="V957" s="355"/>
    </row>
    <row r="958" ht="12.75" customHeight="1">
      <c r="M958" s="354"/>
      <c r="N958" s="296"/>
      <c r="O958" s="353"/>
      <c r="Q958" s="354"/>
      <c r="R958" s="355"/>
      <c r="T958" s="367"/>
      <c r="U958" s="296"/>
      <c r="V958" s="355"/>
    </row>
    <row r="959" ht="12.75" customHeight="1">
      <c r="M959" s="354"/>
      <c r="N959" s="296"/>
      <c r="O959" s="353"/>
      <c r="Q959" s="354"/>
      <c r="R959" s="355"/>
      <c r="T959" s="367"/>
      <c r="U959" s="296"/>
      <c r="V959" s="355"/>
    </row>
    <row r="960" ht="12.75" customHeight="1">
      <c r="M960" s="354"/>
      <c r="N960" s="296"/>
      <c r="O960" s="353"/>
      <c r="Q960" s="354"/>
      <c r="R960" s="355"/>
      <c r="T960" s="367"/>
      <c r="U960" s="296"/>
      <c r="V960" s="355"/>
    </row>
    <row r="961" ht="12.75" customHeight="1">
      <c r="M961" s="354"/>
      <c r="N961" s="296"/>
      <c r="O961" s="353"/>
      <c r="Q961" s="354"/>
      <c r="R961" s="355"/>
      <c r="T961" s="367"/>
      <c r="U961" s="296"/>
      <c r="V961" s="355"/>
    </row>
    <row r="962" ht="12.75" customHeight="1">
      <c r="M962" s="354"/>
      <c r="N962" s="296"/>
      <c r="O962" s="353"/>
      <c r="Q962" s="354"/>
      <c r="R962" s="355"/>
      <c r="T962" s="367"/>
      <c r="U962" s="296"/>
      <c r="V962" s="355"/>
    </row>
    <row r="963" ht="12.75" customHeight="1">
      <c r="M963" s="354"/>
      <c r="N963" s="296"/>
      <c r="O963" s="353"/>
      <c r="Q963" s="354"/>
      <c r="R963" s="355"/>
      <c r="T963" s="367"/>
      <c r="U963" s="296"/>
      <c r="V963" s="355"/>
    </row>
    <row r="964" ht="12.75" customHeight="1">
      <c r="M964" s="354"/>
      <c r="N964" s="296"/>
      <c r="O964" s="353"/>
      <c r="Q964" s="354"/>
      <c r="R964" s="355"/>
      <c r="T964" s="367"/>
      <c r="U964" s="296"/>
      <c r="V964" s="355"/>
    </row>
    <row r="965" ht="12.75" customHeight="1">
      <c r="M965" s="354"/>
      <c r="N965" s="296"/>
      <c r="O965" s="353"/>
      <c r="Q965" s="354"/>
      <c r="R965" s="355"/>
      <c r="T965" s="367"/>
      <c r="U965" s="296"/>
      <c r="V965" s="355"/>
    </row>
    <row r="966" ht="12.75" customHeight="1">
      <c r="M966" s="354"/>
      <c r="N966" s="296"/>
      <c r="O966" s="353"/>
      <c r="Q966" s="354"/>
      <c r="R966" s="355"/>
      <c r="T966" s="367"/>
      <c r="U966" s="296"/>
      <c r="V966" s="355"/>
    </row>
    <row r="967" ht="12.75" customHeight="1">
      <c r="M967" s="354"/>
      <c r="N967" s="296"/>
      <c r="O967" s="353"/>
      <c r="Q967" s="354"/>
      <c r="R967" s="355"/>
      <c r="T967" s="367"/>
      <c r="U967" s="296"/>
      <c r="V967" s="355"/>
    </row>
    <row r="968" ht="12.75" customHeight="1">
      <c r="M968" s="354"/>
      <c r="N968" s="296"/>
      <c r="O968" s="353"/>
      <c r="Q968" s="354"/>
      <c r="R968" s="355"/>
      <c r="T968" s="367"/>
      <c r="U968" s="296"/>
      <c r="V968" s="355"/>
    </row>
    <row r="969" ht="12.75" customHeight="1">
      <c r="M969" s="354"/>
      <c r="N969" s="296"/>
      <c r="O969" s="353"/>
      <c r="Q969" s="354"/>
      <c r="R969" s="355"/>
      <c r="T969" s="367"/>
      <c r="U969" s="296"/>
      <c r="V969" s="355"/>
    </row>
    <row r="970" ht="12.75" customHeight="1">
      <c r="M970" s="354"/>
      <c r="N970" s="296"/>
      <c r="O970" s="353"/>
      <c r="Q970" s="354"/>
      <c r="R970" s="355"/>
      <c r="T970" s="367"/>
      <c r="U970" s="296"/>
      <c r="V970" s="355"/>
    </row>
    <row r="971" ht="12.75" customHeight="1">
      <c r="M971" s="354"/>
      <c r="N971" s="296"/>
      <c r="O971" s="353"/>
      <c r="Q971" s="354"/>
      <c r="R971" s="355"/>
      <c r="T971" s="367"/>
      <c r="U971" s="296"/>
      <c r="V971" s="355"/>
    </row>
    <row r="972" ht="12.75" customHeight="1">
      <c r="M972" s="354"/>
      <c r="N972" s="296"/>
      <c r="O972" s="353"/>
      <c r="Q972" s="354"/>
      <c r="R972" s="355"/>
      <c r="T972" s="367"/>
      <c r="U972" s="296"/>
      <c r="V972" s="355"/>
    </row>
    <row r="973" ht="12.75" customHeight="1">
      <c r="M973" s="354"/>
      <c r="N973" s="296"/>
      <c r="O973" s="353"/>
      <c r="Q973" s="354"/>
      <c r="R973" s="355"/>
      <c r="T973" s="367"/>
      <c r="U973" s="296"/>
      <c r="V973" s="355"/>
    </row>
    <row r="974" ht="12.75" customHeight="1">
      <c r="M974" s="354"/>
      <c r="N974" s="296"/>
      <c r="O974" s="353"/>
      <c r="Q974" s="354"/>
      <c r="R974" s="355"/>
      <c r="T974" s="367"/>
      <c r="U974" s="296"/>
      <c r="V974" s="355"/>
    </row>
    <row r="975" ht="12.75" customHeight="1">
      <c r="M975" s="354"/>
      <c r="N975" s="296"/>
      <c r="O975" s="353"/>
      <c r="Q975" s="354"/>
      <c r="R975" s="355"/>
      <c r="T975" s="367"/>
      <c r="U975" s="296"/>
      <c r="V975" s="355"/>
    </row>
    <row r="976" ht="12.75" customHeight="1">
      <c r="M976" s="354"/>
      <c r="N976" s="296"/>
      <c r="O976" s="353"/>
      <c r="Q976" s="354"/>
      <c r="R976" s="355"/>
      <c r="T976" s="367"/>
      <c r="U976" s="296"/>
      <c r="V976" s="355"/>
    </row>
    <row r="977" ht="12.75" customHeight="1">
      <c r="M977" s="354"/>
      <c r="N977" s="296"/>
      <c r="O977" s="353"/>
      <c r="Q977" s="354"/>
      <c r="R977" s="355"/>
      <c r="T977" s="367"/>
      <c r="U977" s="296"/>
      <c r="V977" s="355"/>
    </row>
    <row r="978" ht="12.75" customHeight="1">
      <c r="M978" s="354"/>
      <c r="N978" s="296"/>
      <c r="O978" s="353"/>
      <c r="Q978" s="354"/>
      <c r="R978" s="355"/>
      <c r="T978" s="367"/>
      <c r="U978" s="296"/>
      <c r="V978" s="355"/>
    </row>
    <row r="979" ht="12.75" customHeight="1">
      <c r="M979" s="354"/>
      <c r="N979" s="296"/>
      <c r="O979" s="353"/>
      <c r="Q979" s="354"/>
      <c r="R979" s="355"/>
      <c r="T979" s="367"/>
      <c r="U979" s="296"/>
      <c r="V979" s="355"/>
    </row>
    <row r="980" ht="12.75" customHeight="1">
      <c r="M980" s="354"/>
      <c r="N980" s="296"/>
      <c r="O980" s="353"/>
      <c r="Q980" s="354"/>
      <c r="R980" s="355"/>
      <c r="T980" s="367"/>
      <c r="U980" s="296"/>
      <c r="V980" s="355"/>
    </row>
    <row r="981" ht="12.75" customHeight="1">
      <c r="M981" s="354"/>
      <c r="N981" s="296"/>
      <c r="O981" s="353"/>
      <c r="Q981" s="354"/>
      <c r="R981" s="355"/>
      <c r="T981" s="367"/>
      <c r="U981" s="296"/>
      <c r="V981" s="355"/>
    </row>
    <row r="982" ht="12.75" customHeight="1">
      <c r="M982" s="354"/>
      <c r="N982" s="296"/>
      <c r="O982" s="353"/>
      <c r="Q982" s="354"/>
      <c r="R982" s="355"/>
      <c r="T982" s="367"/>
      <c r="U982" s="296"/>
      <c r="V982" s="355"/>
    </row>
    <row r="983" ht="12.75" customHeight="1">
      <c r="M983" s="354"/>
      <c r="N983" s="296"/>
      <c r="O983" s="353"/>
      <c r="Q983" s="354"/>
      <c r="R983" s="355"/>
      <c r="T983" s="367"/>
      <c r="U983" s="296"/>
      <c r="V983" s="355"/>
    </row>
    <row r="984" ht="12.75" customHeight="1">
      <c r="M984" s="354"/>
      <c r="N984" s="296"/>
      <c r="O984" s="353"/>
      <c r="Q984" s="354"/>
      <c r="R984" s="355"/>
      <c r="T984" s="367"/>
      <c r="U984" s="296"/>
      <c r="V984" s="355"/>
    </row>
    <row r="985" ht="12.75" customHeight="1">
      <c r="M985" s="354"/>
      <c r="N985" s="296"/>
      <c r="O985" s="353"/>
      <c r="Q985" s="354"/>
      <c r="R985" s="355"/>
      <c r="T985" s="367"/>
      <c r="U985" s="296"/>
      <c r="V985" s="355"/>
    </row>
    <row r="986" ht="12.75" customHeight="1">
      <c r="M986" s="354"/>
      <c r="N986" s="296"/>
      <c r="O986" s="353"/>
      <c r="Q986" s="354"/>
      <c r="R986" s="355"/>
      <c r="T986" s="367"/>
      <c r="U986" s="296"/>
      <c r="V986" s="355"/>
    </row>
    <row r="987" ht="12.75" customHeight="1">
      <c r="M987" s="354"/>
      <c r="N987" s="296"/>
      <c r="O987" s="353"/>
      <c r="Q987" s="354"/>
      <c r="R987" s="355"/>
      <c r="T987" s="367"/>
      <c r="U987" s="296"/>
      <c r="V987" s="355"/>
    </row>
    <row r="988" ht="12.75" customHeight="1">
      <c r="M988" s="354"/>
      <c r="N988" s="296"/>
      <c r="O988" s="353"/>
      <c r="Q988" s="354"/>
      <c r="R988" s="355"/>
      <c r="T988" s="367"/>
      <c r="U988" s="296"/>
      <c r="V988" s="355"/>
    </row>
    <row r="989" ht="12.75" customHeight="1">
      <c r="M989" s="354"/>
      <c r="N989" s="296"/>
      <c r="O989" s="353"/>
      <c r="Q989" s="354"/>
      <c r="R989" s="355"/>
      <c r="T989" s="367"/>
      <c r="U989" s="296"/>
      <c r="V989" s="355"/>
    </row>
    <row r="990" ht="12.75" customHeight="1">
      <c r="M990" s="354"/>
      <c r="N990" s="296"/>
      <c r="O990" s="353"/>
      <c r="Q990" s="354"/>
      <c r="R990" s="355"/>
      <c r="T990" s="367"/>
      <c r="U990" s="296"/>
      <c r="V990" s="355"/>
    </row>
    <row r="991" ht="12.75" customHeight="1">
      <c r="M991" s="354"/>
      <c r="N991" s="296"/>
      <c r="O991" s="353"/>
      <c r="Q991" s="354"/>
      <c r="R991" s="355"/>
      <c r="T991" s="367"/>
      <c r="U991" s="296"/>
      <c r="V991" s="355"/>
    </row>
    <row r="992" ht="12.75" customHeight="1">
      <c r="M992" s="354"/>
      <c r="N992" s="296"/>
      <c r="O992" s="353"/>
      <c r="Q992" s="354"/>
      <c r="R992" s="355"/>
      <c r="T992" s="367"/>
      <c r="U992" s="296"/>
      <c r="V992" s="355"/>
    </row>
    <row r="993" ht="12.75" customHeight="1">
      <c r="M993" s="354"/>
      <c r="N993" s="296"/>
      <c r="O993" s="353"/>
      <c r="Q993" s="354"/>
      <c r="R993" s="355"/>
      <c r="T993" s="367"/>
      <c r="U993" s="296"/>
      <c r="V993" s="355"/>
    </row>
    <row r="994" ht="12.75" customHeight="1">
      <c r="M994" s="354"/>
      <c r="N994" s="296"/>
      <c r="O994" s="353"/>
      <c r="Q994" s="354"/>
      <c r="R994" s="355"/>
      <c r="T994" s="367"/>
      <c r="U994" s="296"/>
      <c r="V994" s="355"/>
    </row>
    <row r="995" ht="12.75" customHeight="1">
      <c r="M995" s="354"/>
      <c r="N995" s="296"/>
      <c r="O995" s="353"/>
      <c r="Q995" s="354"/>
      <c r="R995" s="355"/>
      <c r="T995" s="367"/>
      <c r="U995" s="296"/>
      <c r="V995" s="355"/>
    </row>
    <row r="996" ht="12.75" customHeight="1">
      <c r="M996" s="354"/>
      <c r="N996" s="296"/>
      <c r="O996" s="353"/>
      <c r="Q996" s="354"/>
      <c r="R996" s="355"/>
      <c r="T996" s="367"/>
      <c r="U996" s="296"/>
      <c r="V996" s="355"/>
    </row>
    <row r="997" ht="12.75" customHeight="1">
      <c r="M997" s="354"/>
      <c r="N997" s="296"/>
      <c r="O997" s="353"/>
      <c r="Q997" s="354"/>
      <c r="R997" s="355"/>
      <c r="T997" s="367"/>
      <c r="U997" s="296"/>
      <c r="V997" s="355"/>
    </row>
    <row r="998" ht="12.75" customHeight="1">
      <c r="M998" s="354"/>
      <c r="N998" s="296"/>
      <c r="O998" s="353"/>
      <c r="Q998" s="354"/>
      <c r="R998" s="355"/>
      <c r="T998" s="367"/>
      <c r="U998" s="296"/>
      <c r="V998" s="355"/>
    </row>
    <row r="999" ht="12.75" customHeight="1">
      <c r="M999" s="354"/>
      <c r="N999" s="296"/>
      <c r="O999" s="353"/>
      <c r="Q999" s="354"/>
      <c r="R999" s="355"/>
      <c r="T999" s="367"/>
      <c r="U999" s="296"/>
      <c r="V999" s="355"/>
    </row>
  </sheetData>
  <conditionalFormatting sqref="B187:N194 P187:P194 B198:N205 P198:P205 B209:N216 P209:P216">
    <cfRule type="cellIs" dxfId="9" priority="1" operator="greaterThan">
      <formula>0</formula>
    </cfRule>
  </conditionalFormatting>
  <conditionalFormatting sqref="B220:N222 P220:P222">
    <cfRule type="cellIs" dxfId="9" priority="2" operator="greaterThan">
      <formula>0</formula>
    </cfRule>
  </conditionalFormatting>
  <conditionalFormatting sqref="B176:H183">
    <cfRule type="cellIs" dxfId="10" priority="3" operator="lessThan">
      <formula>1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347" t="s">
        <v>734</v>
      </c>
      <c r="G1" s="351"/>
      <c r="H1" s="296"/>
      <c r="I1" s="376"/>
      <c r="K1" s="296"/>
      <c r="L1" s="360"/>
      <c r="O1" s="351"/>
      <c r="P1" s="296"/>
    </row>
    <row r="2" ht="12.75" customHeight="1">
      <c r="A2" s="377" t="s">
        <v>473</v>
      </c>
      <c r="B2" s="377" t="s">
        <v>497</v>
      </c>
      <c r="C2" s="377" t="s">
        <v>735</v>
      </c>
      <c r="D2" s="377" t="s">
        <v>474</v>
      </c>
      <c r="E2" s="377" t="s">
        <v>736</v>
      </c>
      <c r="G2" s="351"/>
      <c r="H2" s="296"/>
      <c r="I2" s="376"/>
      <c r="K2" s="296"/>
      <c r="L2" s="360"/>
      <c r="O2" s="351"/>
      <c r="P2" s="296"/>
    </row>
    <row r="3" ht="12.75" customHeight="1">
      <c r="A3" s="378" t="s">
        <v>443</v>
      </c>
      <c r="B3" s="361">
        <v>50.0</v>
      </c>
      <c r="C3" s="379">
        <f>IFERROR(__xludf.DUMMYFUNCTION("COUNTIF(ARRAYFORMULA(RIGHT(SPLIT($A$16:$A$87, ""★""), 1)), ""1"")"),21.0)</f>
        <v>21</v>
      </c>
      <c r="D3" s="380">
        <v>281.0</v>
      </c>
      <c r="E3" s="381">
        <f t="shared" ref="E3:E7" si="1">B3*D3 / SUMPRODUCT($B$3:$B$7, $D$3:$D$7)</f>
        <v>0.6863032435</v>
      </c>
      <c r="G3" s="351"/>
      <c r="H3" s="297" t="s">
        <v>737</v>
      </c>
      <c r="I3" s="376"/>
      <c r="K3" s="296"/>
      <c r="L3" s="360"/>
      <c r="O3" s="351"/>
      <c r="P3" s="296"/>
    </row>
    <row r="4" ht="12.75" customHeight="1">
      <c r="A4" s="35" t="s">
        <v>444</v>
      </c>
      <c r="B4" s="361">
        <v>20.0</v>
      </c>
      <c r="C4" s="379">
        <f>IFERROR(__xludf.DUMMYFUNCTION("COUNTIF(ARRAYFORMULA(RIGHT(SPLIT($A$16:$A$87, ""★""), 1)), ""2"")"),17.0)</f>
        <v>17</v>
      </c>
      <c r="D4" s="380">
        <v>215.0</v>
      </c>
      <c r="E4" s="381">
        <f t="shared" si="1"/>
        <v>0.2100429855</v>
      </c>
      <c r="G4" s="351"/>
      <c r="H4" s="297" t="s">
        <v>738</v>
      </c>
      <c r="I4" s="376"/>
      <c r="K4" s="296"/>
      <c r="L4" s="360"/>
      <c r="O4" s="351"/>
      <c r="P4" s="296"/>
    </row>
    <row r="5" ht="12.75" customHeight="1">
      <c r="A5" s="35" t="s">
        <v>445</v>
      </c>
      <c r="B5" s="361">
        <v>10.0</v>
      </c>
      <c r="C5" s="379">
        <f>IFERROR(__xludf.DUMMYFUNCTION("COUNTIF(ARRAYFORMULA(RIGHT(SPLIT($A$16:$A$87, ""★""), 1)), ""3"")"),11.0)</f>
        <v>11</v>
      </c>
      <c r="D5" s="380">
        <v>143.0</v>
      </c>
      <c r="E5" s="381">
        <f t="shared" si="1"/>
        <v>0.06985150449</v>
      </c>
      <c r="G5" s="351"/>
      <c r="H5" s="297" t="s">
        <v>739</v>
      </c>
      <c r="I5" s="382"/>
      <c r="K5" s="296"/>
      <c r="L5" s="360"/>
      <c r="O5" s="351"/>
      <c r="P5" s="296"/>
    </row>
    <row r="6" ht="12.75" customHeight="1">
      <c r="A6" s="35" t="s">
        <v>446</v>
      </c>
      <c r="B6" s="361">
        <v>5.0</v>
      </c>
      <c r="C6" s="379">
        <f>IFERROR(__xludf.DUMMYFUNCTION("COUNTIF(ARRAYFORMULA(RIGHT(SPLIT($A$16:$A$87, ""★""), 1)), ""4"")"),10.0)</f>
        <v>10</v>
      </c>
      <c r="D6" s="380">
        <v>112.0</v>
      </c>
      <c r="E6" s="381">
        <f t="shared" si="1"/>
        <v>0.02735443533</v>
      </c>
      <c r="G6" s="351"/>
      <c r="H6" s="297"/>
      <c r="I6" s="351"/>
      <c r="K6" s="296"/>
      <c r="L6" s="360"/>
      <c r="O6" s="351"/>
      <c r="P6" s="296"/>
    </row>
    <row r="7" ht="12.75" customHeight="1">
      <c r="A7" s="35" t="s">
        <v>447</v>
      </c>
      <c r="B7" s="361">
        <v>2.0</v>
      </c>
      <c r="C7" s="379">
        <f>IFERROR(__xludf.DUMMYFUNCTION("COUNTIF(ARRAYFORMULA(RIGHT(SPLIT($A$16:$A$87, ""★""), 1)), ""5"")"),13.0)</f>
        <v>13</v>
      </c>
      <c r="D7" s="380">
        <v>66.0</v>
      </c>
      <c r="E7" s="381">
        <f t="shared" si="1"/>
        <v>0.006447831184</v>
      </c>
      <c r="G7" s="351"/>
      <c r="H7" s="297"/>
      <c r="I7" s="382"/>
      <c r="K7" s="296"/>
      <c r="L7" s="360"/>
      <c r="O7" s="351"/>
      <c r="P7" s="296"/>
    </row>
    <row r="8" ht="12.75" customHeight="1">
      <c r="A8" s="351"/>
      <c r="C8" s="296"/>
      <c r="G8" s="351"/>
      <c r="H8" s="297"/>
      <c r="I8" s="376"/>
      <c r="K8" s="296"/>
      <c r="L8" s="360"/>
      <c r="O8" s="351"/>
      <c r="P8" s="296"/>
    </row>
    <row r="9" ht="12.75" customHeight="1">
      <c r="A9" s="351"/>
      <c r="G9" s="351"/>
      <c r="H9" s="296"/>
      <c r="I9" s="376"/>
      <c r="K9" s="296"/>
      <c r="L9" s="360"/>
      <c r="O9" s="351"/>
      <c r="P9" s="296"/>
    </row>
    <row r="10" ht="12.75" customHeight="1">
      <c r="A10" s="351"/>
      <c r="G10" s="351"/>
      <c r="H10" s="296"/>
      <c r="I10" s="376"/>
      <c r="K10" s="296"/>
      <c r="L10" s="360"/>
      <c r="O10" s="351"/>
      <c r="P10" s="296"/>
    </row>
    <row r="11" ht="12.75" customHeight="1">
      <c r="A11" s="351"/>
      <c r="G11" s="351"/>
      <c r="H11" s="296"/>
      <c r="I11" s="376"/>
      <c r="K11" s="351" t="s">
        <v>740</v>
      </c>
      <c r="O11" s="351"/>
      <c r="P11" s="296"/>
    </row>
    <row r="12" ht="12.75" customHeight="1">
      <c r="A12" s="351"/>
      <c r="G12" s="351"/>
      <c r="H12" s="296"/>
      <c r="I12" s="376"/>
      <c r="K12" s="297" t="s">
        <v>741</v>
      </c>
      <c r="L12" s="361">
        <v>55.0</v>
      </c>
      <c r="O12" s="351"/>
      <c r="P12" s="296"/>
    </row>
    <row r="13" ht="12.75" customHeight="1">
      <c r="A13" s="351"/>
      <c r="G13" s="351"/>
      <c r="H13" s="296"/>
      <c r="I13" s="376"/>
      <c r="K13" s="296"/>
      <c r="L13" s="360"/>
      <c r="O13" s="351"/>
      <c r="P13" s="296"/>
    </row>
    <row r="14" ht="12.75" customHeight="1">
      <c r="A14" s="351" t="s">
        <v>491</v>
      </c>
      <c r="G14" s="352" t="s">
        <v>742</v>
      </c>
      <c r="H14" s="296"/>
      <c r="I14" s="360"/>
      <c r="K14" s="296"/>
      <c r="L14" s="360"/>
      <c r="O14" s="352" t="s">
        <v>493</v>
      </c>
      <c r="P14" s="296"/>
      <c r="Q14" s="355"/>
    </row>
    <row r="15" ht="12.75" customHeight="1">
      <c r="A15" s="377" t="s">
        <v>496</v>
      </c>
      <c r="B15" s="377" t="s">
        <v>497</v>
      </c>
      <c r="C15" s="377" t="s">
        <v>498</v>
      </c>
      <c r="D15" s="296"/>
      <c r="E15" s="296"/>
      <c r="F15" s="296"/>
      <c r="G15" s="383" t="s">
        <v>496</v>
      </c>
      <c r="H15" s="377" t="s">
        <v>497</v>
      </c>
      <c r="I15" s="384" t="s">
        <v>499</v>
      </c>
      <c r="J15" s="351"/>
      <c r="K15" s="383" t="s">
        <v>615</v>
      </c>
      <c r="L15" s="383" t="s">
        <v>743</v>
      </c>
      <c r="M15" s="385"/>
      <c r="O15" s="383" t="s">
        <v>496</v>
      </c>
      <c r="P15" s="377" t="s">
        <v>497</v>
      </c>
      <c r="Q15" s="386" t="s">
        <v>499</v>
      </c>
    </row>
    <row r="16" ht="12.75" customHeight="1">
      <c r="A16" s="360" t="str">
        <f>AlbumConfig!B3&amp;" "&amp;AlbumConfig!E3</f>
        <v>Skull Isle - Compass 1★</v>
      </c>
      <c r="B16" s="379">
        <f>IFERROR(__xludf.DUMMYFUNCTION("index($B$3:$B$7, right(index(split(A16, ""★""),0,1)), 0)"),50.0)</f>
        <v>50</v>
      </c>
      <c r="C16" s="379">
        <f>IFERROR(__xludf.DUMMYFUNCTION("LET(
  ct, COUNTIF(ARRAYFORMULA(RIGHT(SPLIT($A$16:$A16, ""★""), 1)), TO_TEXT(RIGHT(SPLIT(A16, ""★""), 1))),
  n, index($C$3:$C$7, right(index(split(A16, ""★""), 0, 1), 1), 0),
  total, index($D$3:$D$7, right(index(split(A16, ""★""), 0, 1), 1), 0),
  base,"&amp;" INT(total/n),
  rem, total - base*n,
  index(MAP(SEQUENCE(n), LAMBDA(i, IF(i &lt;= rem, base+1, base))), ct, 0)
)"),14.0)</f>
        <v>14</v>
      </c>
      <c r="G16" s="354" t="str">
        <f t="array" ref="G16:I832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296">
        <v>50.0</v>
      </c>
      <c r="I16" s="353">
        <v>0.0024423602969910123</v>
      </c>
      <c r="K16" s="364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)"),"Skull Isle - Anchor 1★ #6B9")</f>
        <v>Skull Isle - Anchor 1★ #6B9</v>
      </c>
      <c r="L16" s="367"/>
      <c r="M16" s="369"/>
      <c r="O16" s="354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296">
        <f>IFERROR(__xludf.DUMMYFUNCTION("""COMPUTED_VALUE"""),50.0)</f>
        <v>50</v>
      </c>
      <c r="Q16" s="353">
        <f>IFERROR(__xludf.DUMMYFUNCTION("if(P16="""", """", P16/sum(filter($P$16:$P$949, $P$16:$P$949&lt;&gt;"""")))"),0.0024423602969910123)</f>
        <v>0.002442360297</v>
      </c>
    </row>
    <row r="17" ht="12.75" customHeight="1">
      <c r="A17" s="360" t="str">
        <f>AlbumConfig!B4&amp;" "&amp;AlbumConfig!E4</f>
        <v>Skull Isle - Map 1★</v>
      </c>
      <c r="B17" s="379">
        <f>IFERROR(__xludf.DUMMYFUNCTION("index($B$3:$B$7, right(index(split(A17, ""★""),0,1)), 0)"),50.0)</f>
        <v>50</v>
      </c>
      <c r="C17" s="379">
        <f>IFERROR(__xludf.DUMMYFUNCTION("LET(
  ct, COUNTIF(ARRAYFORMULA(RIGHT(SPLIT($A$16:$A17, ""★""), 1)), TO_TEXT(RIGHT(SPLIT(A17, ""★""), 1))),
  n, index($C$3:$C$7, right(index(split(A17, ""★""), 0, 1), 1), 0),
  total, index($D$3:$D$7, right(index(split(A17, ""★""), 0, 1), 1), 0),
  base,"&amp;" INT(total/n),
  rem, total - base*n,
  index(MAP(SEQUENCE(n), LAMBDA(i, IF(i &lt;= rem, base+1, base))), ct, 0)
)"),14.0)</f>
        <v>14</v>
      </c>
      <c r="G17" s="354" t="s">
        <v>507</v>
      </c>
      <c r="H17" s="296">
        <v>50.0</v>
      </c>
      <c r="I17" s="353">
        <v>0.0024423602969910123</v>
      </c>
      <c r="K17" s="364" t="str">
        <f>IFERROR(__xludf.DUMMYFUNCTION("""COMPUTED_VALUE"""),"Storm Port - Barrel 1★ #76F")</f>
        <v>Storm Port - Barrel 1★ #76F</v>
      </c>
      <c r="L17" s="354"/>
      <c r="M17" s="369"/>
      <c r="O17" s="354" t="str">
        <f>IFERROR(__xludf.DUMMYFUNCTION("""COMPUTED_VALUE"""),"Skull Isle - Compass 1★ #9F5")</f>
        <v>Skull Isle - Compass 1★ #9F5</v>
      </c>
      <c r="P17" s="296">
        <f>IFERROR(__xludf.DUMMYFUNCTION("""COMPUTED_VALUE"""),50.0)</f>
        <v>50</v>
      </c>
      <c r="Q17" s="353">
        <f>IFERROR(__xludf.DUMMYFUNCTION("if(P17="""", """", P17/sum(filter($P$16:$P$949, $P$16:$P$949&lt;&gt;"""")))"),0.0024423602969910123)</f>
        <v>0.002442360297</v>
      </c>
    </row>
    <row r="18" ht="12.75" customHeight="1">
      <c r="A18" s="360" t="str">
        <f>AlbumConfig!B5&amp;" "&amp;AlbumConfig!E5</f>
        <v>Skull Isle - Spyglass 1★</v>
      </c>
      <c r="B18" s="379">
        <f>IFERROR(__xludf.DUMMYFUNCTION("index($B$3:$B$7, right(index(split(A18, ""★""),0,1)), 0)"),50.0)</f>
        <v>50</v>
      </c>
      <c r="C18" s="379">
        <f>IFERROR(__xludf.DUMMYFUNCTION("LET(
  ct, COUNTIF(ARRAYFORMULA(RIGHT(SPLIT($A$16:$A18, ""★""), 1)), TO_TEXT(RIGHT(SPLIT(A18, ""★""), 1))),
  n, index($C$3:$C$7, right(index(split(A18, ""★""), 0, 1), 1), 0),
  total, index($D$3:$D$7, right(index(split(A18, ""★""), 0, 1), 1), 0),
  base,"&amp;" INT(total/n),
  rem, total - base*n,
  index(MAP(SEQUENCE(n), LAMBDA(i, IF(i &lt;= rem, base+1, base))), ct, 0)
)"),14.0)</f>
        <v>14</v>
      </c>
      <c r="G18" s="354" t="s">
        <v>510</v>
      </c>
      <c r="H18" s="296">
        <v>50.0</v>
      </c>
      <c r="I18" s="353">
        <v>0.0024423602969910123</v>
      </c>
      <c r="K18" s="364" t="str">
        <f>IFERROR(__xludf.DUMMYFUNCTION("""COMPUTED_VALUE"""),"Siren Reef - Harp 1★ #92A")</f>
        <v>Siren Reef - Harp 1★ #92A</v>
      </c>
      <c r="L18" s="364" t="s">
        <v>511</v>
      </c>
      <c r="M18" s="369"/>
      <c r="O18" s="354" t="str">
        <f>IFERROR(__xludf.DUMMYFUNCTION("""COMPUTED_VALUE"""),"Skull Isle - Compass 1★ #4AA")</f>
        <v>Skull Isle - Compass 1★ #4AA</v>
      </c>
      <c r="P18" s="296">
        <f>IFERROR(__xludf.DUMMYFUNCTION("""COMPUTED_VALUE"""),50.0)</f>
        <v>50</v>
      </c>
      <c r="Q18" s="353">
        <f>IFERROR(__xludf.DUMMYFUNCTION("if(P18="""", """", P18/sum(filter($P$16:$P$949, $P$16:$P$949&lt;&gt;"""")))"),0.0024423602969910123)</f>
        <v>0.002442360297</v>
      </c>
    </row>
    <row r="19" ht="12.75" customHeight="1">
      <c r="A19" s="360" t="str">
        <f>AlbumConfig!B6&amp;" "&amp;AlbumConfig!E6</f>
        <v>Skull Isle - Anchor 1★</v>
      </c>
      <c r="B19" s="379">
        <f>IFERROR(__xludf.DUMMYFUNCTION("index($B$3:$B$7, right(index(split(A19, ""★""),0,1)), 0)"),50.0)</f>
        <v>50</v>
      </c>
      <c r="C19" s="379">
        <f>IFERROR(__xludf.DUMMYFUNCTION("LET(
  ct, COUNTIF(ARRAYFORMULA(RIGHT(SPLIT($A$16:$A19, ""★""), 1)), TO_TEXT(RIGHT(SPLIT(A19, ""★""), 1))),
  n, index($C$3:$C$7, right(index(split(A19, ""★""), 0, 1), 1), 0),
  total, index($D$3:$D$7, right(index(split(A19, ""★""), 0, 1), 1), 0),
  base,"&amp;" INT(total/n),
  rem, total - base*n,
  index(MAP(SEQUENCE(n), LAMBDA(i, IF(i &lt;= rem, base+1, base))), ct, 0)
)"),14.0)</f>
        <v>14</v>
      </c>
      <c r="G19" s="354" t="s">
        <v>514</v>
      </c>
      <c r="H19" s="296">
        <v>50.0</v>
      </c>
      <c r="I19" s="353">
        <v>0.0024423602969910123</v>
      </c>
      <c r="K19" s="364" t="str">
        <f>IFERROR(__xludf.DUMMYFUNCTION("""COMPUTED_VALUE"""),"Siren Reef - Witch 2★ #5B0")</f>
        <v>Siren Reef - Witch 2★ #5B0</v>
      </c>
      <c r="L19" s="365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387">
        <f>IFERROR(__xludf.DUMMYFUNCTION("""COMPUTED_VALUE"""),10.0)</f>
        <v>10</v>
      </c>
      <c r="O19" s="354" t="str">
        <f>IFERROR(__xludf.DUMMYFUNCTION("""COMPUTED_VALUE"""),"Skull Isle - Compass 1★ #F5F")</f>
        <v>Skull Isle - Compass 1★ #F5F</v>
      </c>
      <c r="P19" s="296">
        <f>IFERROR(__xludf.DUMMYFUNCTION("""COMPUTED_VALUE"""),50.0)</f>
        <v>50</v>
      </c>
      <c r="Q19" s="353">
        <f>IFERROR(__xludf.DUMMYFUNCTION("if(P19="""", """", P19/sum(filter($P$16:$P$949, $P$16:$P$949&lt;&gt;"""")))"),0.0024423602969910123)</f>
        <v>0.002442360297</v>
      </c>
    </row>
    <row r="20" ht="12.75" customHeight="1">
      <c r="A20" s="360" t="str">
        <f>AlbumConfig!B7&amp;" "&amp;AlbumConfig!E7</f>
        <v>Skull Isle - Helm 2★</v>
      </c>
      <c r="B20" s="379">
        <f>IFERROR(__xludf.DUMMYFUNCTION("index($B$3:$B$7, right(index(split(A20, ""★""),0,1)), 0)"),20.0)</f>
        <v>20</v>
      </c>
      <c r="C20" s="379">
        <f>IFERROR(__xludf.DUMMYFUNCTION("LET(
  ct, COUNTIF(ARRAYFORMULA(RIGHT(SPLIT($A$16:$A20, ""★""), 1)), TO_TEXT(RIGHT(SPLIT(A20, ""★""), 1))),
  n, index($C$3:$C$7, right(index(split(A20, ""★""), 0, 1), 1), 0),
  total, index($D$3:$D$7, right(index(split(A20, ""★""), 0, 1), 1), 0),
  base,"&amp;" INT(total/n),
  rem, total - base*n,
  index(MAP(SEQUENCE(n), LAMBDA(i, IF(i &lt;= rem, base+1, base))), ct, 0)
)"),13.0)</f>
        <v>13</v>
      </c>
      <c r="G20" s="354" t="s">
        <v>517</v>
      </c>
      <c r="H20" s="296">
        <v>50.0</v>
      </c>
      <c r="I20" s="353">
        <v>0.0024423602969910123</v>
      </c>
      <c r="K20" s="364" t="str">
        <f>IFERROR(__xludf.DUMMYFUNCTION("""COMPUTED_VALUE"""),"Siren Reef - Harp 1★ #3FE")</f>
        <v>Siren Reef - Harp 1★ #3FE</v>
      </c>
      <c r="L20" s="362" t="str">
        <f>IFERROR(__xludf.DUMMYFUNCTION("""COMPUTED_VALUE"""),"2★")</f>
        <v>2★</v>
      </c>
      <c r="M20" s="387">
        <f>IFERROR(__xludf.DUMMYFUNCTION("""COMPUTED_VALUE"""),5.0)</f>
        <v>5</v>
      </c>
      <c r="O20" s="354" t="str">
        <f>IFERROR(__xludf.DUMMYFUNCTION("""COMPUTED_VALUE"""),"Skull Isle - Compass 1★ #A14")</f>
        <v>Skull Isle - Compass 1★ #A14</v>
      </c>
      <c r="P20" s="296">
        <f>IFERROR(__xludf.DUMMYFUNCTION("""COMPUTED_VALUE"""),50.0)</f>
        <v>50</v>
      </c>
      <c r="Q20" s="353">
        <f>IFERROR(__xludf.DUMMYFUNCTION("if(P20="""", """", P20/sum(filter($P$16:$P$949, $P$16:$P$949&lt;&gt;"""")))"),0.0024423602969910123)</f>
        <v>0.002442360297</v>
      </c>
    </row>
    <row r="21" ht="12.75" customHeight="1">
      <c r="A21" s="360" t="str">
        <f>AlbumConfig!B8&amp;" "&amp;AlbumConfig!E8</f>
        <v>Skull Isle - Cutlass 2★</v>
      </c>
      <c r="B21" s="379">
        <f>IFERROR(__xludf.DUMMYFUNCTION("index($B$3:$B$7, right(index(split(A21, ""★""),0,1)), 0)"),20.0)</f>
        <v>20</v>
      </c>
      <c r="C21" s="379">
        <f>IFERROR(__xludf.DUMMYFUNCTION("LET(
  ct, COUNTIF(ARRAYFORMULA(RIGHT(SPLIT($A$16:$A21, ""★""), 1)), TO_TEXT(RIGHT(SPLIT(A21, ""★""), 1))),
  n, index($C$3:$C$7, right(index(split(A21, ""★""), 0, 1), 1), 0),
  total, index($D$3:$D$7, right(index(split(A21, ""★""), 0, 1), 1), 0),
  base,"&amp;" INT(total/n),
  rem, total - base*n,
  index(MAP(SEQUENCE(n), LAMBDA(i, IF(i &lt;= rem, base+1, base))), ct, 0)
)"),13.0)</f>
        <v>13</v>
      </c>
      <c r="G21" s="354" t="s">
        <v>520</v>
      </c>
      <c r="H21" s="296">
        <v>50.0</v>
      </c>
      <c r="I21" s="353">
        <v>0.0024423602969910123</v>
      </c>
      <c r="K21" s="364" t="str">
        <f>IFERROR(__xludf.DUMMYFUNCTION("""COMPUTED_VALUE"""),"Kraken Lair - Shell 2★ #6E1")</f>
        <v>Kraken Lair - Shell 2★ #6E1</v>
      </c>
      <c r="L21" s="362" t="str">
        <f>IFERROR(__xludf.DUMMYFUNCTION("""COMPUTED_VALUE"""),"3★")</f>
        <v>3★</v>
      </c>
      <c r="M21" s="387">
        <f>IFERROR(__xludf.DUMMYFUNCTION("""COMPUTED_VALUE"""),5.0)</f>
        <v>5</v>
      </c>
      <c r="O21" s="354" t="str">
        <f>IFERROR(__xludf.DUMMYFUNCTION("""COMPUTED_VALUE"""),"Skull Isle - Compass 1★ #4C9")</f>
        <v>Skull Isle - Compass 1★ #4C9</v>
      </c>
      <c r="P21" s="296">
        <f>IFERROR(__xludf.DUMMYFUNCTION("""COMPUTED_VALUE"""),50.0)</f>
        <v>50</v>
      </c>
      <c r="Q21" s="353">
        <f>IFERROR(__xludf.DUMMYFUNCTION("if(P21="""", """", P21/sum(filter($P$16:$P$949, $P$16:$P$949&lt;&gt;"""")))"),0.0024423602969910123)</f>
        <v>0.002442360297</v>
      </c>
    </row>
    <row r="22" ht="12.75" customHeight="1">
      <c r="A22" s="360" t="str">
        <f>AlbumConfig!B9&amp;" "&amp;AlbumConfig!E9</f>
        <v>Skull Isle - Parrot 2★</v>
      </c>
      <c r="B22" s="379">
        <f>IFERROR(__xludf.DUMMYFUNCTION("index($B$3:$B$7, right(index(split(A22, ""★""),0,1)), 0)"),20.0)</f>
        <v>20</v>
      </c>
      <c r="C22" s="379">
        <f>IFERROR(__xludf.DUMMYFUNCTION("LET(
  ct, COUNTIF(ARRAYFORMULA(RIGHT(SPLIT($A$16:$A22, ""★""), 1)), TO_TEXT(RIGHT(SPLIT(A22, ""★""), 1))),
  n, index($C$3:$C$7, right(index(split(A22, ""★""), 0, 1), 1), 0),
  total, index($D$3:$D$7, right(index(split(A22, ""★""), 0, 1), 1), 0),
  base,"&amp;" INT(total/n),
  rem, total - base*n,
  index(MAP(SEQUENCE(n), LAMBDA(i, IF(i &lt;= rem, base+1, base))), ct, 0)
)"),13.0)</f>
        <v>13</v>
      </c>
      <c r="G22" s="354" t="s">
        <v>523</v>
      </c>
      <c r="H22" s="296">
        <v>50.0</v>
      </c>
      <c r="I22" s="353">
        <v>0.0024423602969910123</v>
      </c>
      <c r="K22" s="364" t="str">
        <f>IFERROR(__xludf.DUMMYFUNCTION("""COMPUTED_VALUE"""),"Kraken Lair - Tentacle 1★ #437")</f>
        <v>Kraken Lair - Tentacle 1★ #437</v>
      </c>
      <c r="L22" s="362"/>
      <c r="M22" s="369"/>
      <c r="O22" s="354" t="str">
        <f>IFERROR(__xludf.DUMMYFUNCTION("""COMPUTED_VALUE"""),"Skull Isle - Compass 1★ #F7E")</f>
        <v>Skull Isle - Compass 1★ #F7E</v>
      </c>
      <c r="P22" s="296">
        <f>IFERROR(__xludf.DUMMYFUNCTION("""COMPUTED_VALUE"""),50.0)</f>
        <v>50</v>
      </c>
      <c r="Q22" s="353">
        <f>IFERROR(__xludf.DUMMYFUNCTION("if(P22="""", """", P22/sum(filter($P$16:$P$949, $P$16:$P$949&lt;&gt;"""")))"),0.0024423602969910123)</f>
        <v>0.002442360297</v>
      </c>
    </row>
    <row r="23" ht="12.75" customHeight="1">
      <c r="A23" s="360" t="str">
        <f>AlbumConfig!B10&amp;" "&amp;AlbumConfig!E10</f>
        <v>Skull Isle - Chest 3★</v>
      </c>
      <c r="B23" s="379">
        <f>IFERROR(__xludf.DUMMYFUNCTION("index($B$3:$B$7, right(index(split(A23, ""★""),0,1)), 0)"),10.0)</f>
        <v>10</v>
      </c>
      <c r="C23" s="379">
        <f>IFERROR(__xludf.DUMMYFUNCTION("LET(
  ct, COUNTIF(ARRAYFORMULA(RIGHT(SPLIT($A$16:$A23, ""★""), 1)), TO_TEXT(RIGHT(SPLIT(A23, ""★""), 1))),
  n, index($C$3:$C$7, right(index(split(A23, ""★""), 0, 1), 1), 0),
  total, index($D$3:$D$7, right(index(split(A23, ""★""), 0, 1), 1), 0),
  base,"&amp;" INT(total/n),
  rem, total - base*n,
  index(MAP(SEQUENCE(n), LAMBDA(i, IF(i &lt;= rem, base+1, base))), ct, 0)
)"),13.0)</f>
        <v>13</v>
      </c>
      <c r="G23" s="354" t="s">
        <v>526</v>
      </c>
      <c r="H23" s="296">
        <v>50.0</v>
      </c>
      <c r="I23" s="353">
        <v>0.0024423602969910123</v>
      </c>
      <c r="K23" s="364" t="str">
        <f>IFERROR(__xludf.DUMMYFUNCTION("""COMPUTED_VALUE"""),"Gold Cove - Emerald 1★ #4BC")</f>
        <v>Gold Cove - Emerald 1★ #4BC</v>
      </c>
      <c r="L23" s="362"/>
      <c r="M23" s="369"/>
      <c r="O23" s="354" t="str">
        <f>IFERROR(__xludf.DUMMYFUNCTION("""COMPUTED_VALUE"""),"Skull Isle - Compass 1★ #A33")</f>
        <v>Skull Isle - Compass 1★ #A33</v>
      </c>
      <c r="P23" s="296">
        <f>IFERROR(__xludf.DUMMYFUNCTION("""COMPUTED_VALUE"""),50.0)</f>
        <v>50</v>
      </c>
      <c r="Q23" s="353">
        <f>IFERROR(__xludf.DUMMYFUNCTION("if(P23="""", """", P23/sum(filter($P$16:$P$949, $P$16:$P$949&lt;&gt;"""")))"),0.0024423602969910123)</f>
        <v>0.002442360297</v>
      </c>
    </row>
    <row r="24" ht="12.75" customHeight="1">
      <c r="A24" s="360" t="str">
        <f>AlbumConfig!B11&amp;" "&amp;AlbumConfig!E11</f>
        <v>Skull Isle - Skull 3★</v>
      </c>
      <c r="B24" s="379">
        <f>IFERROR(__xludf.DUMMYFUNCTION("index($B$3:$B$7, right(index(split(A24, ""★""),0,1)), 0)"),10.0)</f>
        <v>10</v>
      </c>
      <c r="C24" s="379">
        <f>IFERROR(__xludf.DUMMYFUNCTION("LET(
  ct, COUNTIF(ARRAYFORMULA(RIGHT(SPLIT($A$16:$A24, ""★""), 1)), TO_TEXT(RIGHT(SPLIT(A24, ""★""), 1))),
  n, index($C$3:$C$7, right(index(split(A24, ""★""), 0, 1), 1), 0),
  total, index($D$3:$D$7, right(index(split(A24, ""★""), 0, 1), 1), 0),
  base,"&amp;" INT(total/n),
  rem, total - base*n,
  index(MAP(SEQUENCE(n), LAMBDA(i, IF(i &lt;= rem, base+1, base))), ct, 0)
)"),13.0)</f>
        <v>13</v>
      </c>
      <c r="G24" s="354" t="s">
        <v>529</v>
      </c>
      <c r="H24" s="296">
        <v>50.0</v>
      </c>
      <c r="I24" s="353">
        <v>0.0024423602969910123</v>
      </c>
      <c r="K24" s="364" t="str">
        <f>IFERROR(__xludf.DUMMYFUNCTION("""COMPUTED_VALUE"""),"Gold Cove - Emerald 1★ #519")</f>
        <v>Gold Cove - Emerald 1★ #519</v>
      </c>
      <c r="L24" s="364" t="s">
        <v>744</v>
      </c>
      <c r="M24" s="369"/>
      <c r="O24" s="354" t="str">
        <f>IFERROR(__xludf.DUMMYFUNCTION("""COMPUTED_VALUE"""),"Skull Isle - Compass 1★ #4E8")</f>
        <v>Skull Isle - Compass 1★ #4E8</v>
      </c>
      <c r="P24" s="296">
        <f>IFERROR(__xludf.DUMMYFUNCTION("""COMPUTED_VALUE"""),50.0)</f>
        <v>50</v>
      </c>
      <c r="Q24" s="353">
        <f>IFERROR(__xludf.DUMMYFUNCTION("if(P24="""", """", P24/sum(filter($P$16:$P$949, $P$16:$P$949&lt;&gt;"""")))"),0.0024423602969910123)</f>
        <v>0.002442360297</v>
      </c>
    </row>
    <row r="25" ht="12.75" customHeight="1">
      <c r="A25" s="360" t="str">
        <f>AlbumConfig!B12&amp;" "&amp;AlbumConfig!E12</f>
        <v>Kraken Lair - Tentacle 1★</v>
      </c>
      <c r="B25" s="379">
        <f>IFERROR(__xludf.DUMMYFUNCTION("index($B$3:$B$7, right(index(split(A25, ""★""),0,1)), 0)"),50.0)</f>
        <v>50</v>
      </c>
      <c r="C25" s="379">
        <f>IFERROR(__xludf.DUMMYFUNCTION("LET(
  ct, COUNTIF(ARRAYFORMULA(RIGHT(SPLIT($A$16:$A25, ""★""), 1)), TO_TEXT(RIGHT(SPLIT(A25, ""★""), 1))),
  n, index($C$3:$C$7, right(index(split(A25, ""★""), 0, 1), 1), 0),
  total, index($D$3:$D$7, right(index(split(A25, ""★""), 0, 1), 1), 0),
  base,"&amp;" INT(total/n),
  rem, total - base*n,
  index(MAP(SEQUENCE(n), LAMBDA(i, IF(i &lt;= rem, base+1, base))), ct, 0)
)"),14.0)</f>
        <v>14</v>
      </c>
      <c r="G25" s="354" t="s">
        <v>534</v>
      </c>
      <c r="H25" s="296">
        <v>50.0</v>
      </c>
      <c r="I25" s="353">
        <v>0.0024423602969910123</v>
      </c>
      <c r="K25" s="364" t="str">
        <f>IFERROR(__xludf.DUMMYFUNCTION("""COMPUTED_VALUE"""),"Ghost Ship - Sail 1★ #370")</f>
        <v>Ghost Ship - Sail 1★ #370</v>
      </c>
      <c r="L25" s="354" t="str">
        <f t="shared" ref="L25:L28" si="2">L19</f>
        <v>1★</v>
      </c>
      <c r="M25" s="388">
        <f t="shared" ref="M25:M28" si="3">if(L25="", "", M19/sum($M$19:$M$23))</f>
        <v>0.5</v>
      </c>
      <c r="O25" s="354" t="str">
        <f>IFERROR(__xludf.DUMMYFUNCTION("""COMPUTED_VALUE"""),"Skull Isle - Compass 1★ #F9D")</f>
        <v>Skull Isle - Compass 1★ #F9D</v>
      </c>
      <c r="P25" s="296">
        <f>IFERROR(__xludf.DUMMYFUNCTION("""COMPUTED_VALUE"""),50.0)</f>
        <v>50</v>
      </c>
      <c r="Q25" s="353">
        <f>IFERROR(__xludf.DUMMYFUNCTION("if(P25="""", """", P25/sum(filter($P$16:$P$949, $P$16:$P$949&lt;&gt;"""")))"),0.0024423602969910123)</f>
        <v>0.002442360297</v>
      </c>
    </row>
    <row r="26" ht="12.75" customHeight="1">
      <c r="A26" s="360" t="str">
        <f>AlbumConfig!B13&amp;" "&amp;AlbumConfig!E13</f>
        <v>Kraken Lair - Ink Cloud 1★</v>
      </c>
      <c r="B26" s="379">
        <f>IFERROR(__xludf.DUMMYFUNCTION("index($B$3:$B$7, right(index(split(A26, ""★""),0,1)), 0)"),50.0)</f>
        <v>50</v>
      </c>
      <c r="C26" s="379">
        <f>IFERROR(__xludf.DUMMYFUNCTION("LET(
  ct, COUNTIF(ARRAYFORMULA(RIGHT(SPLIT($A$16:$A26, ""★""), 1)), TO_TEXT(RIGHT(SPLIT(A26, ""★""), 1))),
  n, index($C$3:$C$7, right(index(split(A26, ""★""), 0, 1), 1), 0),
  total, index($D$3:$D$7, right(index(split(A26, ""★""), 0, 1), 1), 0),
  base,"&amp;" INT(total/n),
  rem, total - base*n,
  index(MAP(SEQUENCE(n), LAMBDA(i, IF(i &lt;= rem, base+1, base))), ct, 0)
)"),14.0)</f>
        <v>14</v>
      </c>
      <c r="G26" s="354" t="s">
        <v>745</v>
      </c>
      <c r="H26" s="296">
        <v>50.0</v>
      </c>
      <c r="I26" s="353">
        <v>0.0024423602969910123</v>
      </c>
      <c r="K26" s="364" t="str">
        <f>IFERROR(__xludf.DUMMYFUNCTION("""COMPUTED_VALUE"""),"Ghost Ship - Sail 1★ #E25")</f>
        <v>Ghost Ship - Sail 1★ #E25</v>
      </c>
      <c r="L26" s="354" t="str">
        <f t="shared" si="2"/>
        <v>2★</v>
      </c>
      <c r="M26" s="388">
        <f t="shared" si="3"/>
        <v>0.25</v>
      </c>
      <c r="O26" s="354" t="str">
        <f>IFERROR(__xludf.DUMMYFUNCTION("""COMPUTED_VALUE"""),"Skull Isle - Compass 1★ #A52")</f>
        <v>Skull Isle - Compass 1★ #A52</v>
      </c>
      <c r="P26" s="296">
        <f>IFERROR(__xludf.DUMMYFUNCTION("""COMPUTED_VALUE"""),50.0)</f>
        <v>50</v>
      </c>
      <c r="Q26" s="353">
        <f>IFERROR(__xludf.DUMMYFUNCTION("if(P26="""", """", P26/sum(filter($P$16:$P$949, $P$16:$P$949&lt;&gt;"""")))"),0.0024423602969910123)</f>
        <v>0.002442360297</v>
      </c>
    </row>
    <row r="27" ht="12.75" customHeight="1">
      <c r="A27" s="360" t="str">
        <f>AlbumConfig!B14&amp;" "&amp;AlbumConfig!E14</f>
        <v>Kraken Lair - Pearl 1★</v>
      </c>
      <c r="B27" s="379">
        <f>IFERROR(__xludf.DUMMYFUNCTION("index($B$3:$B$7, right(index(split(A27, ""★""),0,1)), 0)"),50.0)</f>
        <v>50</v>
      </c>
      <c r="C27" s="379">
        <f>IFERROR(__xludf.DUMMYFUNCTION("LET(
  ct, COUNTIF(ARRAYFORMULA(RIGHT(SPLIT($A$16:$A27, ""★""), 1)), TO_TEXT(RIGHT(SPLIT(A27, ""★""), 1))),
  n, index($C$3:$C$7, right(index(split(A27, ""★""), 0, 1), 1), 0),
  total, index($D$3:$D$7, right(index(split(A27, ""★""), 0, 1), 1), 0),
  base,"&amp;" INT(total/n),
  rem, total - base*n,
  index(MAP(SEQUENCE(n), LAMBDA(i, IF(i &lt;= rem, base+1, base))), ct, 0)
)"),14.0)</f>
        <v>14</v>
      </c>
      <c r="G27" s="354" t="s">
        <v>746</v>
      </c>
      <c r="H27" s="296">
        <v>50.0</v>
      </c>
      <c r="I27" s="353">
        <v>0.0024423602969910123</v>
      </c>
      <c r="K27" s="364" t="str">
        <f>IFERROR(__xludf.DUMMYFUNCTION("""COMPUTED_VALUE"""),"Storm Port - Barrel 1★ #78E")</f>
        <v>Storm Port - Barrel 1★ #78E</v>
      </c>
      <c r="L27" s="354" t="str">
        <f t="shared" si="2"/>
        <v>3★</v>
      </c>
      <c r="M27" s="388">
        <f t="shared" si="3"/>
        <v>0.25</v>
      </c>
      <c r="O27" s="354" t="str">
        <f>IFERROR(__xludf.DUMMYFUNCTION("""COMPUTED_VALUE"""),"Skull Isle - Compass 1★ #507")</f>
        <v>Skull Isle - Compass 1★ #507</v>
      </c>
      <c r="P27" s="296">
        <f>IFERROR(__xludf.DUMMYFUNCTION("""COMPUTED_VALUE"""),50.0)</f>
        <v>50</v>
      </c>
      <c r="Q27" s="353">
        <f>IFERROR(__xludf.DUMMYFUNCTION("if(P27="""", """", P27/sum(filter($P$16:$P$949, $P$16:$P$949&lt;&gt;"""")))"),0.0024423602969910123)</f>
        <v>0.002442360297</v>
      </c>
    </row>
    <row r="28" ht="12.75" customHeight="1">
      <c r="A28" s="360" t="str">
        <f>AlbumConfig!B15&amp;" "&amp;AlbumConfig!E15</f>
        <v>Kraken Lair - Trident 1★</v>
      </c>
      <c r="B28" s="379">
        <f>IFERROR(__xludf.DUMMYFUNCTION("index($B$3:$B$7, right(index(split(A28, ""★""),0,1)), 0)"),50.0)</f>
        <v>50</v>
      </c>
      <c r="C28" s="379">
        <f>IFERROR(__xludf.DUMMYFUNCTION("LET(
  ct, COUNTIF(ARRAYFORMULA(RIGHT(SPLIT($A$16:$A28, ""★""), 1)), TO_TEXT(RIGHT(SPLIT(A28, ""★""), 1))),
  n, index($C$3:$C$7, right(index(split(A28, ""★""), 0, 1), 1), 0),
  total, index($D$3:$D$7, right(index(split(A28, ""★""), 0, 1), 1), 0),
  base,"&amp;" INT(total/n),
  rem, total - base*n,
  index(MAP(SEQUENCE(n), LAMBDA(i, IF(i &lt;= rem, base+1, base))), ct, 0)
)"),14.0)</f>
        <v>14</v>
      </c>
      <c r="G28" s="354" t="s">
        <v>747</v>
      </c>
      <c r="H28" s="296">
        <v>50.0</v>
      </c>
      <c r="I28" s="353">
        <v>0.0024423602969910123</v>
      </c>
      <c r="K28" s="364" t="str">
        <f>IFERROR(__xludf.DUMMYFUNCTION("""COMPUTED_VALUE"""),"Cannon Fort - Ramrod 2★ #20E")</f>
        <v>Cannon Fort - Ramrod 2★ #20E</v>
      </c>
      <c r="L28" s="354" t="str">
        <f t="shared" si="2"/>
        <v/>
      </c>
      <c r="M28" s="353" t="str">
        <f t="shared" si="3"/>
        <v/>
      </c>
      <c r="O28" s="354" t="str">
        <f>IFERROR(__xludf.DUMMYFUNCTION("""COMPUTED_VALUE"""),"Skull Isle - Compass 1★ #FBC")</f>
        <v>Skull Isle - Compass 1★ #FBC</v>
      </c>
      <c r="P28" s="296">
        <f>IFERROR(__xludf.DUMMYFUNCTION("""COMPUTED_VALUE"""),50.0)</f>
        <v>50</v>
      </c>
      <c r="Q28" s="353">
        <f>IFERROR(__xludf.DUMMYFUNCTION("if(P28="""", """", P28/sum(filter($P$16:$P$949, $P$16:$P$949&lt;&gt;"""")))"),0.0024423602969910123)</f>
        <v>0.002442360297</v>
      </c>
    </row>
    <row r="29" ht="12.75" customHeight="1">
      <c r="A29" s="360" t="str">
        <f>AlbumConfig!B16&amp;" "&amp;AlbumConfig!E16</f>
        <v>Kraken Lair - Shell 2★</v>
      </c>
      <c r="B29" s="379">
        <f>IFERROR(__xludf.DUMMYFUNCTION("index($B$3:$B$7, right(index(split(A29, ""★""),0,1)), 0)"),20.0)</f>
        <v>20</v>
      </c>
      <c r="C29" s="379">
        <f>IFERROR(__xludf.DUMMYFUNCTION("LET(
  ct, COUNTIF(ARRAYFORMULA(RIGHT(SPLIT($A$16:$A29, ""★""), 1)), TO_TEXT(RIGHT(SPLIT(A29, ""★""), 1))),
  n, index($C$3:$C$7, right(index(split(A29, ""★""), 0, 1), 1), 0),
  total, index($D$3:$D$7, right(index(split(A29, ""★""), 0, 1), 1), 0),
  base,"&amp;" INT(total/n),
  rem, total - base*n,
  index(MAP(SEQUENCE(n), LAMBDA(i, IF(i &lt;= rem, base+1, base))), ct, 0)
)"),13.0)</f>
        <v>13</v>
      </c>
      <c r="G29" s="354" t="s">
        <v>748</v>
      </c>
      <c r="H29" s="296">
        <v>50.0</v>
      </c>
      <c r="I29" s="353">
        <v>0.0024423602969910123</v>
      </c>
      <c r="K29" s="364" t="str">
        <f>IFERROR(__xludf.DUMMYFUNCTION("""COMPUTED_VALUE"""),"Siren Reef - Mirror 1★ #9C5")</f>
        <v>Siren Reef - Mirror 1★ #9C5</v>
      </c>
      <c r="L29" s="367"/>
      <c r="M29" s="369"/>
      <c r="O29" s="354" t="str">
        <f>IFERROR(__xludf.DUMMYFUNCTION("""COMPUTED_VALUE"""),"Skull Isle - Compass 1★ #A71")</f>
        <v>Skull Isle - Compass 1★ #A71</v>
      </c>
      <c r="P29" s="296">
        <f>IFERROR(__xludf.DUMMYFUNCTION("""COMPUTED_VALUE"""),50.0)</f>
        <v>50</v>
      </c>
      <c r="Q29" s="353">
        <f>IFERROR(__xludf.DUMMYFUNCTION("if(P29="""", """", P29/sum(filter($P$16:$P$949, $P$16:$P$949&lt;&gt;"""")))"),0.0024423602969910123)</f>
        <v>0.002442360297</v>
      </c>
    </row>
    <row r="30" ht="12.75" customHeight="1">
      <c r="A30" s="360" t="str">
        <f>AlbumConfig!B17&amp;" "&amp;AlbumConfig!E17</f>
        <v>Kraken Lair - Coral 2★</v>
      </c>
      <c r="B30" s="379">
        <f>IFERROR(__xludf.DUMMYFUNCTION("index($B$3:$B$7, right(index(split(A30, ""★""),0,1)), 0)"),20.0)</f>
        <v>20</v>
      </c>
      <c r="C30" s="379">
        <f>IFERROR(__xludf.DUMMYFUNCTION("LET(
  ct, COUNTIF(ARRAYFORMULA(RIGHT(SPLIT($A$16:$A30, ""★""), 1)), TO_TEXT(RIGHT(SPLIT(A30, ""★""), 1))),
  n, index($C$3:$C$7, right(index(split(A30, ""★""), 0, 1), 1), 0),
  total, index($D$3:$D$7, right(index(split(A30, ""★""), 0, 1), 1), 0),
  base,"&amp;" INT(total/n),
  rem, total - base*n,
  index(MAP(SEQUENCE(n), LAMBDA(i, IF(i &lt;= rem, base+1, base))), ct, 0)
)"),13.0)</f>
        <v>13</v>
      </c>
      <c r="G30" s="354" t="s">
        <v>549</v>
      </c>
      <c r="H30" s="296">
        <v>50.0</v>
      </c>
      <c r="I30" s="353">
        <v>0.0024423602969910123</v>
      </c>
      <c r="K30" s="364" t="str">
        <f>IFERROR(__xludf.DUMMYFUNCTION("""COMPUTED_VALUE"""),"Siren Reef - Comb 2★ #4F6")</f>
        <v>Siren Reef - Comb 2★ #4F6</v>
      </c>
      <c r="L30" s="367"/>
      <c r="M30" s="369"/>
      <c r="O30" s="354" t="str">
        <f>IFERROR(__xludf.DUMMYFUNCTION("""COMPUTED_VALUE"""),"Skull Isle - Map 1★ #526")</f>
        <v>Skull Isle - Map 1★ #526</v>
      </c>
      <c r="P30" s="296">
        <f>IFERROR(__xludf.DUMMYFUNCTION("""COMPUTED_VALUE"""),50.0)</f>
        <v>50</v>
      </c>
      <c r="Q30" s="353">
        <f>IFERROR(__xludf.DUMMYFUNCTION("if(P30="""", """", P30/sum(filter($P$16:$P$949, $P$16:$P$949&lt;&gt;"""")))"),0.0024423602969910123)</f>
        <v>0.002442360297</v>
      </c>
    </row>
    <row r="31" ht="12.75" customHeight="1">
      <c r="A31" s="360" t="str">
        <f>AlbumConfig!B18&amp;" "&amp;AlbumConfig!E18</f>
        <v>Kraken Lair - Lantern 3★</v>
      </c>
      <c r="B31" s="379">
        <f>IFERROR(__xludf.DUMMYFUNCTION("index($B$3:$B$7, right(index(split(A31, ""★""),0,1)), 0)"),10.0)</f>
        <v>10</v>
      </c>
      <c r="C31" s="379">
        <f>IFERROR(__xludf.DUMMYFUNCTION("LET(
  ct, COUNTIF(ARRAYFORMULA(RIGHT(SPLIT($A$16:$A31, ""★""), 1)), TO_TEXT(RIGHT(SPLIT(A31, ""★""), 1))),
  n, index($C$3:$C$7, right(index(split(A31, ""★""), 0, 1), 1), 0),
  total, index($D$3:$D$7, right(index(split(A31, ""★""), 0, 1), 1), 0),
  base,"&amp;" INT(total/n),
  rem, total - base*n,
  index(MAP(SEQUENCE(n), LAMBDA(i, IF(i &lt;= rem, base+1, base))), ct, 0)
)"),13.0)</f>
        <v>13</v>
      </c>
      <c r="G31" s="354" t="s">
        <v>552</v>
      </c>
      <c r="H31" s="296">
        <v>50.0</v>
      </c>
      <c r="I31" s="353">
        <v>0.0024423602969910123</v>
      </c>
      <c r="K31" s="364" t="str">
        <f>IFERROR(__xludf.DUMMYFUNCTION("""COMPUTED_VALUE"""),"Kraken Lair - Pearl 1★ #003")</f>
        <v>Kraken Lair - Pearl 1★ #003</v>
      </c>
      <c r="L31" s="354" t="str">
        <f>L23</f>
        <v/>
      </c>
      <c r="M31" s="368" t="s">
        <v>553</v>
      </c>
      <c r="O31" s="354" t="str">
        <f>IFERROR(__xludf.DUMMYFUNCTION("""COMPUTED_VALUE"""),"Skull Isle - Map 1★ #FDB")</f>
        <v>Skull Isle - Map 1★ #FDB</v>
      </c>
      <c r="P31" s="296">
        <f>IFERROR(__xludf.DUMMYFUNCTION("""COMPUTED_VALUE"""),50.0)</f>
        <v>50</v>
      </c>
      <c r="Q31" s="353">
        <f>IFERROR(__xludf.DUMMYFUNCTION("if(P31="""", """", P31/sum(filter($P$16:$P$949, $P$16:$P$949&lt;&gt;"""")))"),0.0024423602969910123)</f>
        <v>0.002442360297</v>
      </c>
    </row>
    <row r="32" ht="12.75" customHeight="1">
      <c r="A32" s="360" t="str">
        <f>AlbumConfig!B19&amp;" "&amp;AlbumConfig!E19</f>
        <v>Kraken Lair - Hook 3★</v>
      </c>
      <c r="B32" s="379">
        <f>IFERROR(__xludf.DUMMYFUNCTION("index($B$3:$B$7, right(index(split(A32, ""★""),0,1)), 0)"),10.0)</f>
        <v>10</v>
      </c>
      <c r="C32" s="379">
        <f>IFERROR(__xludf.DUMMYFUNCTION("LET(
  ct, COUNTIF(ARRAYFORMULA(RIGHT(SPLIT($A$16:$A32, ""★""), 1)), TO_TEXT(RIGHT(SPLIT(A32, ""★""), 1))),
  n, index($C$3:$C$7, right(index(split(A32, ""★""), 0, 1), 1), 0),
  total, index($D$3:$D$7, right(index(split(A32, ""★""), 0, 1), 1), 0),
  base,"&amp;" INT(total/n),
  rem, total - base*n,
  index(MAP(SEQUENCE(n), LAMBDA(i, IF(i &lt;= rem, base+1, base))), ct, 0)
)"),13.0)</f>
        <v>13</v>
      </c>
      <c r="G32" s="354" t="s">
        <v>556</v>
      </c>
      <c r="H32" s="296">
        <v>50.0</v>
      </c>
      <c r="I32" s="353">
        <v>0.0024423602969910123</v>
      </c>
      <c r="K32" s="364" t="str">
        <f>IFERROR(__xludf.DUMMYFUNCTION("""COMPUTED_VALUE"""),"Siren Reef - Starfish 3★ #065")</f>
        <v>Siren Reef - Starfish 3★ #065</v>
      </c>
      <c r="L32" s="367"/>
      <c r="M32" s="387">
        <f>IFERROR(__xludf.DUMMYFUNCTION("sum(arrayformula(right(index(split(filter($L$35:$L$48, $L$35:$L$48&lt;&gt;""""), ""★""), 0, 1), 1) * (filter($M$35:$M$48, $M$35:$M$48&lt;&gt;"""")-1)))"),16.0)</f>
        <v>16</v>
      </c>
      <c r="O32" s="354" t="str">
        <f>IFERROR(__xludf.DUMMYFUNCTION("""COMPUTED_VALUE"""),"Skull Isle - Map 1★ #A90")</f>
        <v>Skull Isle - Map 1★ #A90</v>
      </c>
      <c r="P32" s="296">
        <f>IFERROR(__xludf.DUMMYFUNCTION("""COMPUTED_VALUE"""),50.0)</f>
        <v>50</v>
      </c>
      <c r="Q32" s="353">
        <f>IFERROR(__xludf.DUMMYFUNCTION("if(P32="""", """", P32/sum(filter($P$16:$P$949, $P$16:$P$949&lt;&gt;"""")))"),0.0024423602969910123)</f>
        <v>0.002442360297</v>
      </c>
    </row>
    <row r="33" ht="12.75" customHeight="1">
      <c r="A33" s="360" t="str">
        <f>AlbumConfig!B20&amp;" "&amp;AlbumConfig!E20</f>
        <v>Kraken Lair - Eyepatch 4★</v>
      </c>
      <c r="B33" s="379">
        <f>IFERROR(__xludf.DUMMYFUNCTION("index($B$3:$B$7, right(index(split(A33, ""★""),0,1)), 0)"),5.0)</f>
        <v>5</v>
      </c>
      <c r="C33" s="379">
        <f>IFERROR(__xludf.DUMMYFUNCTION("LET(
  ct, COUNTIF(ARRAYFORMULA(RIGHT(SPLIT($A$16:$A33, ""★""), 1)), TO_TEXT(RIGHT(SPLIT(A33, ""★""), 1))),
  n, index($C$3:$C$7, right(index(split(A33, ""★""), 0, 1), 1), 0),
  total, index($D$3:$D$7, right(index(split(A33, ""★""), 0, 1), 1), 0),
  base,"&amp;" INT(total/n),
  rem, total - base*n,
  index(MAP(SEQUENCE(n), LAMBDA(i, IF(i &lt;= rem, base+1, base))), ct, 0)
)"),12.0)</f>
        <v>12</v>
      </c>
      <c r="G33" s="354" t="s">
        <v>559</v>
      </c>
      <c r="H33" s="296">
        <v>50.0</v>
      </c>
      <c r="I33" s="353">
        <v>0.0024423602969910123</v>
      </c>
      <c r="K33" s="364" t="str">
        <f>IFERROR(__xludf.DUMMYFUNCTION("""COMPUTED_VALUE"""),"Cannon Fort - Cannonball 1★ #AD3")</f>
        <v>Cannon Fort - Cannonball 1★ #AD3</v>
      </c>
      <c r="L33" s="354"/>
      <c r="M33" s="369"/>
      <c r="O33" s="354" t="str">
        <f>IFERROR(__xludf.DUMMYFUNCTION("""COMPUTED_VALUE"""),"Skull Isle - Map 1★ #545")</f>
        <v>Skull Isle - Map 1★ #545</v>
      </c>
      <c r="P33" s="296">
        <f>IFERROR(__xludf.DUMMYFUNCTION("""COMPUTED_VALUE"""),50.0)</f>
        <v>50</v>
      </c>
      <c r="Q33" s="353">
        <f>IFERROR(__xludf.DUMMYFUNCTION("if(P33="""", """", P33/sum(filter($P$16:$P$949, $P$16:$P$949&lt;&gt;"""")))"),0.0024423602969910123)</f>
        <v>0.002442360297</v>
      </c>
    </row>
    <row r="34" ht="12.75" customHeight="1">
      <c r="A34" s="360" t="str">
        <f>AlbumConfig!B21&amp;" "&amp;AlbumConfig!E21</f>
        <v>Gold Cove - Doubloon 1★</v>
      </c>
      <c r="B34" s="379">
        <f>IFERROR(__xludf.DUMMYFUNCTION("index($B$3:$B$7, right(index(split(A34, ""★""),0,1)), 0)"),50.0)</f>
        <v>50</v>
      </c>
      <c r="C34" s="379">
        <f>IFERROR(__xludf.DUMMYFUNCTION("LET(
  ct, COUNTIF(ARRAYFORMULA(RIGHT(SPLIT($A$16:$A34, ""★""), 1)), TO_TEXT(RIGHT(SPLIT(A34, ""★""), 1))),
  n, index($C$3:$C$7, right(index(split(A34, ""★""), 0, 1), 1), 0),
  total, index($D$3:$D$7, right(index(split(A34, ""★""), 0, 1), 1), 0),
  base,"&amp;" INT(total/n),
  rem, total - base*n,
  index(MAP(SEQUENCE(n), LAMBDA(i, IF(i &lt;= rem, base+1, base))), ct, 0)
)"),13.0)</f>
        <v>13</v>
      </c>
      <c r="G34" s="354" t="s">
        <v>563</v>
      </c>
      <c r="H34" s="296">
        <v>50.0</v>
      </c>
      <c r="I34" s="353">
        <v>0.0024423602969910123</v>
      </c>
      <c r="K34" s="364" t="str">
        <f>IFERROR(__xludf.DUMMYFUNCTION("""COMPUTED_VALUE"""),"Dead Man Bay - Pistol 1★ #274")</f>
        <v>Dead Man Bay - Pistol 1★ #274</v>
      </c>
      <c r="L34" s="352" t="s">
        <v>564</v>
      </c>
      <c r="M34" s="357" t="s">
        <v>565</v>
      </c>
      <c r="O34" s="354" t="str">
        <f>IFERROR(__xludf.DUMMYFUNCTION("""COMPUTED_VALUE"""),"Skull Isle - Map 1★ #FFA")</f>
        <v>Skull Isle - Map 1★ #FFA</v>
      </c>
      <c r="P34" s="296">
        <f>IFERROR(__xludf.DUMMYFUNCTION("""COMPUTED_VALUE"""),50.0)</f>
        <v>50</v>
      </c>
      <c r="Q34" s="353">
        <f>IFERROR(__xludf.DUMMYFUNCTION("if(P34="""", """", P34/sum(filter($P$16:$P$949, $P$16:$P$949&lt;&gt;"""")))"),0.0024423602969910123)</f>
        <v>0.002442360297</v>
      </c>
    </row>
    <row r="35" ht="12.75" customHeight="1">
      <c r="A35" s="360" t="str">
        <f>AlbumConfig!B22&amp;" "&amp;AlbumConfig!E22</f>
        <v>Gold Cove - Ruby 1★</v>
      </c>
      <c r="B35" s="379">
        <f>IFERROR(__xludf.DUMMYFUNCTION("index($B$3:$B$7, right(index(split(A35, ""★""),0,1)), 0)"),50.0)</f>
        <v>50</v>
      </c>
      <c r="C35" s="379">
        <f>IFERROR(__xludf.DUMMYFUNCTION("LET(
  ct, COUNTIF(ARRAYFORMULA(RIGHT(SPLIT($A$16:$A35, ""★""), 1)), TO_TEXT(RIGHT(SPLIT(A35, ""★""), 1))),
  n, index($C$3:$C$7, right(index(split(A35, ""★""), 0, 1), 1), 0),
  total, index($D$3:$D$7, right(index(split(A35, ""★""), 0, 1), 1), 0),
  base,"&amp;" INT(total/n),
  rem, total - base*n,
  index(MAP(SEQUENCE(n), LAMBDA(i, IF(i &lt;= rem, base+1, base))), ct, 0)
)"),13.0)</f>
        <v>13</v>
      </c>
      <c r="G35" s="354" t="s">
        <v>568</v>
      </c>
      <c r="H35" s="296">
        <v>50.0</v>
      </c>
      <c r="I35" s="353">
        <v>0.0024423602969910123</v>
      </c>
      <c r="K35" s="364" t="str">
        <f>IFERROR(__xludf.DUMMYFUNCTION("""COMPUTED_VALUE"""),"Storm Port - Cleat 2★ #31C")</f>
        <v>Storm Port - Cleat 2★ #31C</v>
      </c>
      <c r="L35" s="370" t="str">
        <f>IFERROR(__xludf.DUMMYFUNCTION("unique(index(arrayformula(split(filter($K$16:$K$449, $K$16:$K$449&lt;&gt;""""), ""★"")&amp;""★""), 0, 1))"),"Skull Isle - Anchor 1★")</f>
        <v>Skull Isle - Anchor 1★</v>
      </c>
      <c r="M35" s="369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1)=L35)))"),2.0)</f>
        <v>2</v>
      </c>
      <c r="O35" s="354" t="str">
        <f>IFERROR(__xludf.DUMMYFUNCTION("""COMPUTED_VALUE"""),"Skull Isle - Map 1★ #AAF")</f>
        <v>Skull Isle - Map 1★ #AAF</v>
      </c>
      <c r="P35" s="296">
        <f>IFERROR(__xludf.DUMMYFUNCTION("""COMPUTED_VALUE"""),50.0)</f>
        <v>50</v>
      </c>
      <c r="Q35" s="353">
        <f>IFERROR(__xludf.DUMMYFUNCTION("if(P35="""", """", P35/sum(filter($P$16:$P$949, $P$16:$P$949&lt;&gt;"""")))"),0.0024423602969910123)</f>
        <v>0.002442360297</v>
      </c>
    </row>
    <row r="36" ht="12.75" customHeight="1">
      <c r="A36" s="360" t="str">
        <f>AlbumConfig!B23&amp;" "&amp;AlbumConfig!E23</f>
        <v>Gold Cove - Emerald 1★</v>
      </c>
      <c r="B36" s="379">
        <f>IFERROR(__xludf.DUMMYFUNCTION("index($B$3:$B$7, right(index(split(A36, ""★""),0,1)), 0)"),50.0)</f>
        <v>50</v>
      </c>
      <c r="C36" s="379">
        <f>IFERROR(__xludf.DUMMYFUNCTION("LET(
  ct, COUNTIF(ARRAYFORMULA(RIGHT(SPLIT($A$16:$A36, ""★""), 1)), TO_TEXT(RIGHT(SPLIT(A36, ""★""), 1))),
  n, index($C$3:$C$7, right(index(split(A36, ""★""), 0, 1), 1), 0),
  total, index($D$3:$D$7, right(index(split(A36, ""★""), 0, 1), 1), 0),
  base,"&amp;" INT(total/n),
  rem, total - base*n,
  index(MAP(SEQUENCE(n), LAMBDA(i, IF(i &lt;= rem, base+1, base))), ct, 0)
)"),13.0)</f>
        <v>13</v>
      </c>
      <c r="G36" s="354" t="s">
        <v>749</v>
      </c>
      <c r="H36" s="296">
        <v>50.0</v>
      </c>
      <c r="I36" s="353">
        <v>0.0024423602969910123</v>
      </c>
      <c r="K36" s="364" t="str">
        <f>IFERROR(__xludf.DUMMYFUNCTION("""COMPUTED_VALUE"""),"Skull Isle - Skull 3★ #906")</f>
        <v>Skull Isle - Skull 3★ #906</v>
      </c>
      <c r="L36" s="370" t="str">
        <f>IFERROR(__xludf.DUMMYFUNCTION("""COMPUTED_VALUE"""),"Storm Port - Barrel 1★")</f>
        <v>Storm Port - Barrel 1★</v>
      </c>
      <c r="M36" s="369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1)=L36)))"),3.0)</f>
        <v>3</v>
      </c>
      <c r="O36" s="354" t="str">
        <f>IFERROR(__xludf.DUMMYFUNCTION("""COMPUTED_VALUE"""),"Skull Isle - Map 1★ #564")</f>
        <v>Skull Isle - Map 1★ #564</v>
      </c>
      <c r="P36" s="296">
        <f>IFERROR(__xludf.DUMMYFUNCTION("""COMPUTED_VALUE"""),50.0)</f>
        <v>50</v>
      </c>
      <c r="Q36" s="353">
        <f>IFERROR(__xludf.DUMMYFUNCTION("if(P36="""", """", P36/sum(filter($P$16:$P$949, $P$16:$P$949&lt;&gt;"""")))"),0.0024423602969910123)</f>
        <v>0.002442360297</v>
      </c>
    </row>
    <row r="37" ht="12.75" customHeight="1">
      <c r="A37" s="360" t="str">
        <f>AlbumConfig!B24&amp;" "&amp;AlbumConfig!E24</f>
        <v>Gold Cove - Diamond 2★</v>
      </c>
      <c r="B37" s="379">
        <f>IFERROR(__xludf.DUMMYFUNCTION("index($B$3:$B$7, right(index(split(A37, ""★""),0,1)), 0)"),20.0)</f>
        <v>20</v>
      </c>
      <c r="C37" s="379">
        <f>IFERROR(__xludf.DUMMYFUNCTION("LET(
  ct, COUNTIF(ARRAYFORMULA(RIGHT(SPLIT($A$16:$A37, ""★""), 1)), TO_TEXT(RIGHT(SPLIT(A37, ""★""), 1))),
  n, index($C$3:$C$7, right(index(split(A37, ""★""), 0, 1), 1), 0),
  total, index($D$3:$D$7, right(index(split(A37, ""★""), 0, 1), 1), 0),
  base,"&amp;" INT(total/n),
  rem, total - base*n,
  index(MAP(SEQUENCE(n), LAMBDA(i, IF(i &lt;= rem, base+1, base))), ct, 0)
)"),13.0)</f>
        <v>13</v>
      </c>
      <c r="G37" s="354" t="s">
        <v>750</v>
      </c>
      <c r="H37" s="296">
        <v>50.0</v>
      </c>
      <c r="I37" s="353">
        <v>0.0024423602969910123</v>
      </c>
      <c r="K37" s="364" t="str">
        <f>IFERROR(__xludf.DUMMYFUNCTION("""COMPUTED_VALUE"""),"Cannon Fort - Ramrod 2★ #1D0")</f>
        <v>Cannon Fort - Ramrod 2★ #1D0</v>
      </c>
      <c r="L37" s="370" t="str">
        <f>IFERROR(__xludf.DUMMYFUNCTION("""COMPUTED_VALUE"""),"Siren Reef - Harp 1★")</f>
        <v>Siren Reef - Harp 1★</v>
      </c>
      <c r="M37" s="369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1)=L37)))"),2.0)</f>
        <v>2</v>
      </c>
      <c r="O37" s="354" t="str">
        <f>IFERROR(__xludf.DUMMYFUNCTION("""COMPUTED_VALUE"""),"Skull Isle - Map 1★ #019")</f>
        <v>Skull Isle - Map 1★ #019</v>
      </c>
      <c r="P37" s="296">
        <f>IFERROR(__xludf.DUMMYFUNCTION("""COMPUTED_VALUE"""),50.0)</f>
        <v>50</v>
      </c>
      <c r="Q37" s="353">
        <f>IFERROR(__xludf.DUMMYFUNCTION("if(P37="""", """", P37/sum(filter($P$16:$P$949, $P$16:$P$949&lt;&gt;"""")))"),0.0024423602969910123)</f>
        <v>0.002442360297</v>
      </c>
    </row>
    <row r="38" ht="12.75" customHeight="1">
      <c r="A38" s="360" t="str">
        <f>AlbumConfig!B25&amp;" "&amp;AlbumConfig!E25</f>
        <v>Gold Cove - Crown 2★</v>
      </c>
      <c r="B38" s="379">
        <f>IFERROR(__xludf.DUMMYFUNCTION("index($B$3:$B$7, right(index(split(A38, ""★""),0,1)), 0)"),20.0)</f>
        <v>20</v>
      </c>
      <c r="C38" s="379">
        <f>IFERROR(__xludf.DUMMYFUNCTION("LET(
  ct, COUNTIF(ARRAYFORMULA(RIGHT(SPLIT($A$16:$A38, ""★""), 1)), TO_TEXT(RIGHT(SPLIT(A38, ""★""), 1))),
  n, index($C$3:$C$7, right(index(split(A38, ""★""), 0, 1), 1), 0),
  total, index($D$3:$D$7, right(index(split(A38, ""★""), 0, 1), 1), 0),
  base,"&amp;" INT(total/n),
  rem, total - base*n,
  index(MAP(SEQUENCE(n), LAMBDA(i, IF(i &lt;= rem, base+1, base))), ct, 0)
)"),13.0)</f>
        <v>13</v>
      </c>
      <c r="G38" s="354" t="s">
        <v>751</v>
      </c>
      <c r="H38" s="296">
        <v>50.0</v>
      </c>
      <c r="I38" s="353">
        <v>0.0024423602969910123</v>
      </c>
      <c r="K38" s="364" t="str">
        <f>IFERROR(__xludf.DUMMYFUNCTION("""COMPUTED_VALUE"""),"Gold Cove - Ruby 1★ #98B")</f>
        <v>Gold Cove - Ruby 1★ #98B</v>
      </c>
      <c r="L38" s="370" t="str">
        <f>IFERROR(__xludf.DUMMYFUNCTION("""COMPUTED_VALUE"""),"Siren Reef - Witch 2★")</f>
        <v>Siren Reef - Witch 2★</v>
      </c>
      <c r="M38" s="369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1)=L38)))"),1.0)</f>
        <v>1</v>
      </c>
      <c r="O38" s="354" t="str">
        <f>IFERROR(__xludf.DUMMYFUNCTION("""COMPUTED_VALUE"""),"Skull Isle - Map 1★ #ACE")</f>
        <v>Skull Isle - Map 1★ #ACE</v>
      </c>
      <c r="P38" s="296">
        <f>IFERROR(__xludf.DUMMYFUNCTION("""COMPUTED_VALUE"""),50.0)</f>
        <v>50</v>
      </c>
      <c r="Q38" s="353">
        <f>IFERROR(__xludf.DUMMYFUNCTION("if(P38="""", """", P38/sum(filter($P$16:$P$949, $P$16:$P$949&lt;&gt;"""")))"),0.0024423602969910123)</f>
        <v>0.002442360297</v>
      </c>
    </row>
    <row r="39" ht="12.75" customHeight="1">
      <c r="A39" s="360" t="str">
        <f>AlbumConfig!B26&amp;" "&amp;AlbumConfig!E26</f>
        <v>Gold Cove - Goblet 3★</v>
      </c>
      <c r="B39" s="379">
        <f>IFERROR(__xludf.DUMMYFUNCTION("index($B$3:$B$7, right(index(split(A39, ""★""),0,1)), 0)"),10.0)</f>
        <v>10</v>
      </c>
      <c r="C39" s="379">
        <f>IFERROR(__xludf.DUMMYFUNCTION("LET(
  ct, COUNTIF(ARRAYFORMULA(RIGHT(SPLIT($A$16:$A39, ""★""), 1)), TO_TEXT(RIGHT(SPLIT(A39, ""★""), 1))),
  n, index($C$3:$C$7, right(index(split(A39, ""★""), 0, 1), 1), 0),
  total, index($D$3:$D$7, right(index(split(A39, ""★""), 0, 1), 1), 0),
  base,"&amp;" INT(total/n),
  rem, total - base*n,
  index(MAP(SEQUENCE(n), LAMBDA(i, IF(i &lt;= rem, base+1, base))), ct, 0)
)"),13.0)</f>
        <v>13</v>
      </c>
      <c r="G39" s="354" t="s">
        <v>752</v>
      </c>
      <c r="H39" s="296">
        <v>50.0</v>
      </c>
      <c r="I39" s="353">
        <v>0.0024423602969910123</v>
      </c>
      <c r="K39" s="364" t="str">
        <f>IFERROR(__xludf.DUMMYFUNCTION("""COMPUTED_VALUE"""),"Dead Man Bay - Gold Tooth 3★ #9CE")</f>
        <v>Dead Man Bay - Gold Tooth 3★ #9CE</v>
      </c>
      <c r="L39" s="370" t="str">
        <f>IFERROR(__xludf.DUMMYFUNCTION("""COMPUTED_VALUE"""),"Kraken Lair - Shell 2★")</f>
        <v>Kraken Lair - Shell 2★</v>
      </c>
      <c r="M39" s="369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1)=L39)))"),1.0)</f>
        <v>1</v>
      </c>
      <c r="O39" s="354" t="str">
        <f>IFERROR(__xludf.DUMMYFUNCTION("""COMPUTED_VALUE"""),"Skull Isle - Map 1★ #583")</f>
        <v>Skull Isle - Map 1★ #583</v>
      </c>
      <c r="P39" s="296">
        <f>IFERROR(__xludf.DUMMYFUNCTION("""COMPUTED_VALUE"""),50.0)</f>
        <v>50</v>
      </c>
      <c r="Q39" s="353">
        <f>IFERROR(__xludf.DUMMYFUNCTION("if(P39="""", """", P39/sum(filter($P$16:$P$949, $P$16:$P$949&lt;&gt;"""")))"),0.0024423602969910123)</f>
        <v>0.002442360297</v>
      </c>
    </row>
    <row r="40" ht="12.75" customHeight="1">
      <c r="A40" s="360" t="str">
        <f>AlbumConfig!B27&amp;" "&amp;AlbumConfig!E27</f>
        <v>Gold Cove - Necklace 4★</v>
      </c>
      <c r="B40" s="379">
        <f>IFERROR(__xludf.DUMMYFUNCTION("index($B$3:$B$7, right(index(split(A40, ""★""),0,1)), 0)"),5.0)</f>
        <v>5</v>
      </c>
      <c r="C40" s="379">
        <f>IFERROR(__xludf.DUMMYFUNCTION("LET(
  ct, COUNTIF(ARRAYFORMULA(RIGHT(SPLIT($A$16:$A40, ""★""), 1)), TO_TEXT(RIGHT(SPLIT(A40, ""★""), 1))),
  n, index($C$3:$C$7, right(index(split(A40, ""★""), 0, 1), 1), 0),
  total, index($D$3:$D$7, right(index(split(A40, ""★""), 0, 1), 1), 0),
  base,"&amp;" INT(total/n),
  rem, total - base*n,
  index(MAP(SEQUENCE(n), LAMBDA(i, IF(i &lt;= rem, base+1, base))), ct, 0)
)"),12.0)</f>
        <v>12</v>
      </c>
      <c r="G40" s="354" t="s">
        <v>753</v>
      </c>
      <c r="H40" s="296">
        <v>50.0</v>
      </c>
      <c r="I40" s="353">
        <v>0.0024423602969910123</v>
      </c>
      <c r="K40" s="364" t="str">
        <f>IFERROR(__xludf.DUMMYFUNCTION("""COMPUTED_VALUE"""),"Gold Cove - Doubloon 1★ #E98")</f>
        <v>Gold Cove - Doubloon 1★ #E98</v>
      </c>
      <c r="L40" s="370" t="str">
        <f>IFERROR(__xludf.DUMMYFUNCTION("""COMPUTED_VALUE"""),"Kraken Lair - Tentacle 1★")</f>
        <v>Kraken Lair - Tentacle 1★</v>
      </c>
      <c r="M40" s="369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1)=L40)))"),1.0)</f>
        <v>1</v>
      </c>
      <c r="O40" s="354" t="str">
        <f>IFERROR(__xludf.DUMMYFUNCTION("""COMPUTED_VALUE"""),"Skull Isle - Map 1★ #038")</f>
        <v>Skull Isle - Map 1★ #038</v>
      </c>
      <c r="P40" s="296">
        <f>IFERROR(__xludf.DUMMYFUNCTION("""COMPUTED_VALUE"""),50.0)</f>
        <v>50</v>
      </c>
      <c r="Q40" s="353">
        <f>IFERROR(__xludf.DUMMYFUNCTION("if(P40="""", """", P40/sum(filter($P$16:$P$949, $P$16:$P$949&lt;&gt;"""")))"),0.0024423602969910123)</f>
        <v>0.002442360297</v>
      </c>
    </row>
    <row r="41" ht="12.75" customHeight="1">
      <c r="A41" s="360" t="str">
        <f>AlbumConfig!B28&amp;" "&amp;AlbumConfig!E28</f>
        <v>Gold Cove - Ring 4★</v>
      </c>
      <c r="B41" s="379">
        <f>IFERROR(__xludf.DUMMYFUNCTION("index($B$3:$B$7, right(index(split(A41, ""★""),0,1)), 0)"),5.0)</f>
        <v>5</v>
      </c>
      <c r="C41" s="379">
        <f>IFERROR(__xludf.DUMMYFUNCTION("LET(
  ct, COUNTIF(ARRAYFORMULA(RIGHT(SPLIT($A$16:$A41, ""★""), 1)), TO_TEXT(RIGHT(SPLIT(A41, ""★""), 1))),
  n, index($C$3:$C$7, right(index(split(A41, ""★""), 0, 1), 1), 0),
  total, index($D$3:$D$7, right(index(split(A41, ""★""), 0, 1), 1), 0),
  base,"&amp;" INT(total/n),
  rem, total - base*n,
  index(MAP(SEQUENCE(n), LAMBDA(i, IF(i &lt;= rem, base+1, base))), ct, 0)
)"),11.0)</f>
        <v>11</v>
      </c>
      <c r="G41" s="354" t="s">
        <v>754</v>
      </c>
      <c r="H41" s="296">
        <v>50.0</v>
      </c>
      <c r="I41" s="353">
        <v>0.0024423602969910123</v>
      </c>
      <c r="K41" s="364" t="str">
        <f>IFERROR(__xludf.DUMMYFUNCTION("""COMPUTED_VALUE"""),"Dead Man Bay - Pistol 1★ #217")</f>
        <v>Dead Man Bay - Pistol 1★ #217</v>
      </c>
      <c r="L41" s="370" t="str">
        <f>IFERROR(__xludf.DUMMYFUNCTION("""COMPUTED_VALUE"""),"Gold Cove - Emerald 1★")</f>
        <v>Gold Cove - Emerald 1★</v>
      </c>
      <c r="M41" s="369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1)=L41)))"),2.0)</f>
        <v>2</v>
      </c>
      <c r="O41" s="354" t="str">
        <f>IFERROR(__xludf.DUMMYFUNCTION("""COMPUTED_VALUE"""),"Skull Isle - Map 1★ #AED")</f>
        <v>Skull Isle - Map 1★ #AED</v>
      </c>
      <c r="P41" s="296">
        <f>IFERROR(__xludf.DUMMYFUNCTION("""COMPUTED_VALUE"""),50.0)</f>
        <v>50</v>
      </c>
      <c r="Q41" s="353">
        <f>IFERROR(__xludf.DUMMYFUNCTION("if(P41="""", """", P41/sum(filter($P$16:$P$949, $P$16:$P$949&lt;&gt;"""")))"),0.0024423602969910123)</f>
        <v>0.002442360297</v>
      </c>
    </row>
    <row r="42" ht="12.75" customHeight="1">
      <c r="A42" s="360" t="str">
        <f>AlbumConfig!B29&amp;" "&amp;AlbumConfig!E29</f>
        <v>Gold Cove - Scepter 5★</v>
      </c>
      <c r="B42" s="379">
        <f>IFERROR(__xludf.DUMMYFUNCTION("index($B$3:$B$7, right(index(split(A42, ""★""),0,1)), 0)"),2.0)</f>
        <v>2</v>
      </c>
      <c r="C42" s="379">
        <f>IFERROR(__xludf.DUMMYFUNCTION("LET(
  ct, COUNTIF(ARRAYFORMULA(RIGHT(SPLIT($A$16:$A42, ""★""), 1)), TO_TEXT(RIGHT(SPLIT(A42, ""★""), 1))),
  n, index($C$3:$C$7, right(index(split(A42, ""★""), 0, 1), 1), 0),
  total, index($D$3:$D$7, right(index(split(A42, ""★""), 0, 1), 1), 0),
  base,"&amp;" INT(total/n),
  rem, total - base*n,
  index(MAP(SEQUENCE(n), LAMBDA(i, IF(i &lt;= rem, base+1, base))), ct, 0)
)"),6.0)</f>
        <v>6</v>
      </c>
      <c r="G42" s="354" t="s">
        <v>755</v>
      </c>
      <c r="H42" s="296">
        <v>50.0</v>
      </c>
      <c r="I42" s="353">
        <v>0.0024423602969910123</v>
      </c>
      <c r="K42" s="364" t="str">
        <f>IFERROR(__xludf.DUMMYFUNCTION("""COMPUTED_VALUE"""),"Siren Reef - Mirror 1★ #F10")</f>
        <v>Siren Reef - Mirror 1★ #F10</v>
      </c>
      <c r="L42" s="370" t="str">
        <f>IFERROR(__xludf.DUMMYFUNCTION("""COMPUTED_VALUE"""),"Ghost Ship - Sail 1★")</f>
        <v>Ghost Ship - Sail 1★</v>
      </c>
      <c r="M42" s="369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1)=L42)))"),2.0)</f>
        <v>2</v>
      </c>
      <c r="O42" s="354" t="str">
        <f>IFERROR(__xludf.DUMMYFUNCTION("""COMPUTED_VALUE"""),"Skull Isle - Map 1★ #5A2")</f>
        <v>Skull Isle - Map 1★ #5A2</v>
      </c>
      <c r="P42" s="296">
        <f>IFERROR(__xludf.DUMMYFUNCTION("""COMPUTED_VALUE"""),50.0)</f>
        <v>50</v>
      </c>
      <c r="Q42" s="353">
        <f>IFERROR(__xludf.DUMMYFUNCTION("if(P42="""", """", P42/sum(filter($P$16:$P$949, $P$16:$P$949&lt;&gt;"""")))"),0.0024423602969910123)</f>
        <v>0.002442360297</v>
      </c>
    </row>
    <row r="43" ht="12.75" customHeight="1">
      <c r="A43" s="360" t="str">
        <f>AlbumConfig!B30&amp;" "&amp;AlbumConfig!E30</f>
        <v>Ghost Ship - Fog Horn 1★</v>
      </c>
      <c r="B43" s="379">
        <f>IFERROR(__xludf.DUMMYFUNCTION("index($B$3:$B$7, right(index(split(A43, ""★""),0,1)), 0)"),50.0)</f>
        <v>50</v>
      </c>
      <c r="C43" s="379">
        <f>IFERROR(__xludf.DUMMYFUNCTION("LET(
  ct, COUNTIF(ARRAYFORMULA(RIGHT(SPLIT($A$16:$A43, ""★""), 1)), TO_TEXT(RIGHT(SPLIT(A43, ""★""), 1))),
  n, index($C$3:$C$7, right(index(split(A43, ""★""), 0, 1), 1), 0),
  total, index($D$3:$D$7, right(index(split(A43, ""★""), 0, 1), 1), 0),
  base,"&amp;" INT(total/n),
  rem, total - base*n,
  index(MAP(SEQUENCE(n), LAMBDA(i, IF(i &lt;= rem, base+1, base))), ct, 0)
)"),13.0)</f>
        <v>13</v>
      </c>
      <c r="G43" s="354" t="s">
        <v>756</v>
      </c>
      <c r="H43" s="296">
        <v>50.0</v>
      </c>
      <c r="I43" s="353">
        <v>0.0024423602969910123</v>
      </c>
      <c r="K43" s="364" t="str">
        <f>IFERROR(__xludf.DUMMYFUNCTION("""COMPUTED_VALUE"""),"Skull Isle - Spyglass 1★ #095")</f>
        <v>Skull Isle - Spyglass 1★ #095</v>
      </c>
      <c r="L43" s="370" t="str">
        <f>IFERROR(__xludf.DUMMYFUNCTION("""COMPUTED_VALUE"""),"Cannon Fort - Ramrod 2★")</f>
        <v>Cannon Fort - Ramrod 2★</v>
      </c>
      <c r="M43" s="369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1)=L43)))"),4.0)</f>
        <v>4</v>
      </c>
      <c r="O43" s="354" t="str">
        <f>IFERROR(__xludf.DUMMYFUNCTION("""COMPUTED_VALUE"""),"Skull Isle - Map 1★ #057")</f>
        <v>Skull Isle - Map 1★ #057</v>
      </c>
      <c r="P43" s="296">
        <f>IFERROR(__xludf.DUMMYFUNCTION("""COMPUTED_VALUE"""),50.0)</f>
        <v>50</v>
      </c>
      <c r="Q43" s="353">
        <f>IFERROR(__xludf.DUMMYFUNCTION("if(P43="""", """", P43/sum(filter($P$16:$P$949, $P$16:$P$949&lt;&gt;"""")))"),0.0024423602969910123)</f>
        <v>0.002442360297</v>
      </c>
    </row>
    <row r="44" ht="12.75" customHeight="1">
      <c r="A44" s="360" t="str">
        <f>AlbumConfig!B31&amp;" "&amp;AlbumConfig!E31</f>
        <v>Ghost Ship - Sail 1★</v>
      </c>
      <c r="B44" s="379">
        <f>IFERROR(__xludf.DUMMYFUNCTION("index($B$3:$B$7, right(index(split(A44, ""★""),0,1)), 0)"),50.0)</f>
        <v>50</v>
      </c>
      <c r="C44" s="379">
        <f>IFERROR(__xludf.DUMMYFUNCTION("LET(
  ct, COUNTIF(ARRAYFORMULA(RIGHT(SPLIT($A$16:$A44, ""★""), 1)), TO_TEXT(RIGHT(SPLIT(A44, ""★""), 1))),
  n, index($C$3:$C$7, right(index(split(A44, ""★""), 0, 1), 1), 0),
  total, index($D$3:$D$7, right(index(split(A44, ""★""), 0, 1), 1), 0),
  base,"&amp;" INT(total/n),
  rem, total - base*n,
  index(MAP(SEQUENCE(n), LAMBDA(i, IF(i &lt;= rem, base+1, base))), ct, 0)
)"),13.0)</f>
        <v>13</v>
      </c>
      <c r="G44" s="354" t="s">
        <v>596</v>
      </c>
      <c r="H44" s="296">
        <v>50.0</v>
      </c>
      <c r="I44" s="353">
        <v>0.0024423602969910123</v>
      </c>
      <c r="K44" s="364" t="str">
        <f>IFERROR(__xludf.DUMMYFUNCTION("""COMPUTED_VALUE"""),"Skull Isle - Helm 2★ #1EA")</f>
        <v>Skull Isle - Helm 2★ #1EA</v>
      </c>
      <c r="L44" s="370" t="str">
        <f>IFERROR(__xludf.DUMMYFUNCTION("""COMPUTED_VALUE"""),"Siren Reef - Mirror 1★")</f>
        <v>Siren Reef - Mirror 1★</v>
      </c>
      <c r="M44" s="369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1)=L44)))"),2.0)</f>
        <v>2</v>
      </c>
      <c r="O44" s="354" t="str">
        <f>IFERROR(__xludf.DUMMYFUNCTION("""COMPUTED_VALUE"""),"Skull Isle - Spyglass 1★ #B0C")</f>
        <v>Skull Isle - Spyglass 1★ #B0C</v>
      </c>
      <c r="P44" s="296">
        <f>IFERROR(__xludf.DUMMYFUNCTION("""COMPUTED_VALUE"""),50.0)</f>
        <v>50</v>
      </c>
      <c r="Q44" s="353">
        <f>IFERROR(__xludf.DUMMYFUNCTION("if(P44="""", """", P44/sum(filter($P$16:$P$949, $P$16:$P$949&lt;&gt;"""")))"),0.0024423602969910123)</f>
        <v>0.002442360297</v>
      </c>
    </row>
    <row r="45" ht="12.75" customHeight="1">
      <c r="A45" s="360" t="str">
        <f>AlbumConfig!B32&amp;" "&amp;AlbumConfig!E32</f>
        <v>Ghost Ship - Ghost Lamp 2★</v>
      </c>
      <c r="B45" s="379">
        <f>IFERROR(__xludf.DUMMYFUNCTION("index($B$3:$B$7, right(index(split(A45, ""★""),0,1)), 0)"),20.0)</f>
        <v>20</v>
      </c>
      <c r="C45" s="379">
        <f>IFERROR(__xludf.DUMMYFUNCTION("LET(
  ct, COUNTIF(ARRAYFORMULA(RIGHT(SPLIT($A$16:$A45, ""★""), 1)), TO_TEXT(RIGHT(SPLIT(A45, ""★""), 1))),
  n, index($C$3:$C$7, right(index(split(A45, ""★""), 0, 1), 1), 0),
  total, index($D$3:$D$7, right(index(split(A45, ""★""), 0, 1), 1), 0),
  base,"&amp;" INT(total/n),
  rem, total - base*n,
  index(MAP(SEQUENCE(n), LAMBDA(i, IF(i &lt;= rem, base+1, base))), ct, 0)
)"),13.0)</f>
        <v>13</v>
      </c>
      <c r="G45" s="354" t="s">
        <v>599</v>
      </c>
      <c r="H45" s="296">
        <v>50.0</v>
      </c>
      <c r="I45" s="353">
        <v>0.0024423602969910123</v>
      </c>
      <c r="K45" s="364" t="str">
        <f>IFERROR(__xludf.DUMMYFUNCTION("""COMPUTED_VALUE"""),"Dead Man Bay - Rum 1★ #D86")</f>
        <v>Dead Man Bay - Rum 1★ #D86</v>
      </c>
      <c r="L45" s="370" t="str">
        <f>IFERROR(__xludf.DUMMYFUNCTION("""COMPUTED_VALUE"""),"Siren Reef - Comb 2★")</f>
        <v>Siren Reef - Comb 2★</v>
      </c>
      <c r="M45" s="369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1)=L45)))"),2.0)</f>
        <v>2</v>
      </c>
      <c r="O45" s="354" t="str">
        <f>IFERROR(__xludf.DUMMYFUNCTION("""COMPUTED_VALUE"""),"Skull Isle - Spyglass 1★ #5C1")</f>
        <v>Skull Isle - Spyglass 1★ #5C1</v>
      </c>
      <c r="P45" s="296">
        <f>IFERROR(__xludf.DUMMYFUNCTION("""COMPUTED_VALUE"""),50.0)</f>
        <v>50</v>
      </c>
      <c r="Q45" s="353">
        <f>IFERROR(__xludf.DUMMYFUNCTION("if(P45="""", """", P45/sum(filter($P$16:$P$949, $P$16:$P$949&lt;&gt;"""")))"),0.0024423602969910123)</f>
        <v>0.002442360297</v>
      </c>
    </row>
    <row r="46" ht="12.75" customHeight="1">
      <c r="A46" s="360" t="str">
        <f>AlbumConfig!B33&amp;" "&amp;AlbumConfig!E33</f>
        <v>Ghost Ship - Key 2★</v>
      </c>
      <c r="B46" s="379">
        <f>IFERROR(__xludf.DUMMYFUNCTION("index($B$3:$B$7, right(index(split(A46, ""★""),0,1)), 0)"),20.0)</f>
        <v>20</v>
      </c>
      <c r="C46" s="379">
        <f>IFERROR(__xludf.DUMMYFUNCTION("LET(
  ct, COUNTIF(ARRAYFORMULA(RIGHT(SPLIT($A$16:$A46, ""★""), 1)), TO_TEXT(RIGHT(SPLIT(A46, ""★""), 1))),
  n, index($C$3:$C$7, right(index(split(A46, ""★""), 0, 1), 1), 0),
  total, index($D$3:$D$7, right(index(split(A46, ""★""), 0, 1), 1), 0),
  base,"&amp;" INT(total/n),
  rem, total - base*n,
  index(MAP(SEQUENCE(n), LAMBDA(i, IF(i &lt;= rem, base+1, base))), ct, 0)
)"),13.0)</f>
        <v>13</v>
      </c>
      <c r="G46" s="354" t="s">
        <v>757</v>
      </c>
      <c r="H46" s="296">
        <v>50.0</v>
      </c>
      <c r="I46" s="353">
        <v>0.0024423602969910123</v>
      </c>
      <c r="K46" s="364" t="str">
        <f>IFERROR(__xludf.DUMMYFUNCTION("""COMPUTED_VALUE"""),"Cannon Fort - Ramrod 2★ #73A")</f>
        <v>Cannon Fort - Ramrod 2★ #73A</v>
      </c>
      <c r="L46" s="370" t="str">
        <f>IFERROR(__xludf.DUMMYFUNCTION("""COMPUTED_VALUE"""),"Kraken Lair - Pearl 1★")</f>
        <v>Kraken Lair - Pearl 1★</v>
      </c>
      <c r="M46" s="369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1)=L46)))"),1.0)</f>
        <v>1</v>
      </c>
      <c r="O46" s="354" t="str">
        <f>IFERROR(__xludf.DUMMYFUNCTION("""COMPUTED_VALUE"""),"Skull Isle - Spyglass 1★ #076")</f>
        <v>Skull Isle - Spyglass 1★ #076</v>
      </c>
      <c r="P46" s="296">
        <f>IFERROR(__xludf.DUMMYFUNCTION("""COMPUTED_VALUE"""),50.0)</f>
        <v>50</v>
      </c>
      <c r="Q46" s="353">
        <f>IFERROR(__xludf.DUMMYFUNCTION("if(P46="""", """", P46/sum(filter($P$16:$P$949, $P$16:$P$949&lt;&gt;"""")))"),0.0024423602969910123)</f>
        <v>0.002442360297</v>
      </c>
    </row>
    <row r="47" ht="12.75" customHeight="1">
      <c r="A47" s="360" t="str">
        <f>AlbumConfig!B34&amp;" "&amp;AlbumConfig!E34</f>
        <v>Ghost Ship - Plank 3★</v>
      </c>
      <c r="B47" s="379">
        <f>IFERROR(__xludf.DUMMYFUNCTION("index($B$3:$B$7, right(index(split(A47, ""★""),0,1)), 0)"),10.0)</f>
        <v>10</v>
      </c>
      <c r="C47" s="379">
        <f>IFERROR(__xludf.DUMMYFUNCTION("LET(
  ct, COUNTIF(ARRAYFORMULA(RIGHT(SPLIT($A$16:$A47, ""★""), 1)), TO_TEXT(RIGHT(SPLIT(A47, ""★""), 1))),
  n, index($C$3:$C$7, right(index(split(A47, ""★""), 0, 1), 1), 0),
  total, index($D$3:$D$7, right(index(split(A47, ""★""), 0, 1), 1), 0),
  base,"&amp;" INT(total/n),
  rem, total - base*n,
  index(MAP(SEQUENCE(n), LAMBDA(i, IF(i &lt;= rem, base+1, base))), ct, 0)
)"),13.0)</f>
        <v>13</v>
      </c>
      <c r="G47" s="354" t="s">
        <v>758</v>
      </c>
      <c r="H47" s="296">
        <v>50.0</v>
      </c>
      <c r="I47" s="353">
        <v>0.0024423602969910123</v>
      </c>
      <c r="K47" s="364" t="str">
        <f>IFERROR(__xludf.DUMMYFUNCTION("""COMPUTED_VALUE"""),"Storm Port - Lightning 1★ #189")</f>
        <v>Storm Port - Lightning 1★ #189</v>
      </c>
      <c r="L47" s="370" t="str">
        <f>IFERROR(__xludf.DUMMYFUNCTION("""COMPUTED_VALUE"""),"Siren Reef - Starfish 3★")</f>
        <v>Siren Reef - Starfish 3★</v>
      </c>
      <c r="M47" s="369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1)=L47)))"),1.0)</f>
        <v>1</v>
      </c>
      <c r="O47" s="354" t="str">
        <f>IFERROR(__xludf.DUMMYFUNCTION("""COMPUTED_VALUE"""),"Skull Isle - Spyglass 1★ #B2B")</f>
        <v>Skull Isle - Spyglass 1★ #B2B</v>
      </c>
      <c r="P47" s="296">
        <f>IFERROR(__xludf.DUMMYFUNCTION("""COMPUTED_VALUE"""),50.0)</f>
        <v>50</v>
      </c>
      <c r="Q47" s="353">
        <f>IFERROR(__xludf.DUMMYFUNCTION("if(P47="""", """", P47/sum(filter($P$16:$P$949, $P$16:$P$949&lt;&gt;"""")))"),0.0024423602969910123)</f>
        <v>0.002442360297</v>
      </c>
    </row>
    <row r="48" ht="12.75" customHeight="1">
      <c r="A48" s="360" t="str">
        <f>AlbumConfig!B35&amp;" "&amp;AlbumConfig!E35</f>
        <v>Ghost Ship - Nest 3★</v>
      </c>
      <c r="B48" s="379">
        <f>IFERROR(__xludf.DUMMYFUNCTION("index($B$3:$B$7, right(index(split(A48, ""★""),0,1)), 0)"),10.0)</f>
        <v>10</v>
      </c>
      <c r="C48" s="379">
        <f>IFERROR(__xludf.DUMMYFUNCTION("LET(
  ct, COUNTIF(ARRAYFORMULA(RIGHT(SPLIT($A$16:$A48, ""★""), 1)), TO_TEXT(RIGHT(SPLIT(A48, ""★""), 1))),
  n, index($C$3:$C$7, right(index(split(A48, ""★""), 0, 1), 1), 0),
  total, index($D$3:$D$7, right(index(split(A48, ""★""), 0, 1), 1), 0),
  base,"&amp;" INT(total/n),
  rem, total - base*n,
  index(MAP(SEQUENCE(n), LAMBDA(i, IF(i &lt;= rem, base+1, base))), ct, 0)
)"),13.0)</f>
        <v>13</v>
      </c>
      <c r="G48" s="354" t="s">
        <v>759</v>
      </c>
      <c r="H48" s="296">
        <v>50.0</v>
      </c>
      <c r="I48" s="353">
        <v>0.0024423602969910123</v>
      </c>
      <c r="K48" s="364" t="str">
        <f>IFERROR(__xludf.DUMMYFUNCTION("""COMPUTED_VALUE"""),"Dead Man Bay - Rum 1★ #2F0")</f>
        <v>Dead Man Bay - Rum 1★ #2F0</v>
      </c>
      <c r="L48" s="370" t="str">
        <f>IFERROR(__xludf.DUMMYFUNCTION("""COMPUTED_VALUE"""),"Cannon Fort - Cannonball 1★")</f>
        <v>Cannon Fort - Cannonball 1★</v>
      </c>
      <c r="M48" s="369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1)=L48)))"),2.0)</f>
        <v>2</v>
      </c>
      <c r="O48" s="354" t="str">
        <f>IFERROR(__xludf.DUMMYFUNCTION("""COMPUTED_VALUE"""),"Skull Isle - Spyglass 1★ #5E0")</f>
        <v>Skull Isle - Spyglass 1★ #5E0</v>
      </c>
      <c r="P48" s="296">
        <f>IFERROR(__xludf.DUMMYFUNCTION("""COMPUTED_VALUE"""),50.0)</f>
        <v>50</v>
      </c>
      <c r="Q48" s="353">
        <f>IFERROR(__xludf.DUMMYFUNCTION("if(P48="""", """", P48/sum(filter($P$16:$P$949, $P$16:$P$949&lt;&gt;"""")))"),0.0024423602969910123)</f>
        <v>0.002442360297</v>
      </c>
    </row>
    <row r="49" ht="12.75" customHeight="1">
      <c r="A49" s="360" t="str">
        <f>AlbumConfig!B36&amp;" "&amp;AlbumConfig!E36</f>
        <v>Ghost Ship - Flag 4★</v>
      </c>
      <c r="B49" s="379">
        <f>IFERROR(__xludf.DUMMYFUNCTION("index($B$3:$B$7, right(index(split(A49, ""★""),0,1)), 0)"),5.0)</f>
        <v>5</v>
      </c>
      <c r="C49" s="379">
        <f>IFERROR(__xludf.DUMMYFUNCTION("LET(
  ct, COUNTIF(ARRAYFORMULA(RIGHT(SPLIT($A$16:$A49, ""★""), 1)), TO_TEXT(RIGHT(SPLIT(A49, ""★""), 1))),
  n, index($C$3:$C$7, right(index(split(A49, ""★""), 0, 1), 1), 0),
  total, index($D$3:$D$7, right(index(split(A49, ""★""), 0, 1), 1), 0),
  base,"&amp;" INT(total/n),
  rem, total - base*n,
  index(MAP(SEQUENCE(n), LAMBDA(i, IF(i &lt;= rem, base+1, base))), ct, 0)
)"),11.0)</f>
        <v>11</v>
      </c>
      <c r="G49" s="354" t="s">
        <v>760</v>
      </c>
      <c r="H49" s="296">
        <v>50.0</v>
      </c>
      <c r="I49" s="353">
        <v>0.0024423602969910123</v>
      </c>
      <c r="K49" s="364" t="str">
        <f>IFERROR(__xludf.DUMMYFUNCTION("""COMPUTED_VALUE"""),"Skull Isle - Map 1★ #038")</f>
        <v>Skull Isle - Map 1★ #038</v>
      </c>
      <c r="L49" s="370" t="str">
        <f>IFERROR(__xludf.DUMMYFUNCTION("""COMPUTED_VALUE"""),"Dead Man Bay - Pistol 1★")</f>
        <v>Dead Man Bay - Pistol 1★</v>
      </c>
      <c r="M49" s="369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1)=L49)))"),3.0)</f>
        <v>3</v>
      </c>
      <c r="O49" s="354" t="str">
        <f>IFERROR(__xludf.DUMMYFUNCTION("""COMPUTED_VALUE"""),"Skull Isle - Spyglass 1★ #095")</f>
        <v>Skull Isle - Spyglass 1★ #095</v>
      </c>
      <c r="P49" s="296">
        <f>IFERROR(__xludf.DUMMYFUNCTION("""COMPUTED_VALUE"""),50.0)</f>
        <v>50</v>
      </c>
      <c r="Q49" s="353">
        <f>IFERROR(__xludf.DUMMYFUNCTION("if(P49="""", """", P49/sum(filter($P$16:$P$949, $P$16:$P$949&lt;&gt;"""")))"),0.0024423602969910123)</f>
        <v>0.002442360297</v>
      </c>
    </row>
    <row r="50" ht="12.75" customHeight="1">
      <c r="A50" s="360" t="str">
        <f>AlbumConfig!B37&amp;" "&amp;AlbumConfig!E37</f>
        <v>Ghost Ship - Chain 4★</v>
      </c>
      <c r="B50" s="379">
        <f>IFERROR(__xludf.DUMMYFUNCTION("index($B$3:$B$7, right(index(split(A50, ""★""),0,1)), 0)"),5.0)</f>
        <v>5</v>
      </c>
      <c r="C50" s="379">
        <f>IFERROR(__xludf.DUMMYFUNCTION("LET(
  ct, COUNTIF(ARRAYFORMULA(RIGHT(SPLIT($A$16:$A50, ""★""), 1)), TO_TEXT(RIGHT(SPLIT(A50, ""★""), 1))),
  n, index($C$3:$C$7, right(index(split(A50, ""★""), 0, 1), 1), 0),
  total, index($D$3:$D$7, right(index(split(A50, ""★""), 0, 1), 1), 0),
  base,"&amp;" INT(total/n),
  rem, total - base*n,
  index(MAP(SEQUENCE(n), LAMBDA(i, IF(i &lt;= rem, base+1, base))), ct, 0)
)"),11.0)</f>
        <v>11</v>
      </c>
      <c r="G50" s="354" t="s">
        <v>761</v>
      </c>
      <c r="H50" s="296">
        <v>50.0</v>
      </c>
      <c r="I50" s="353">
        <v>0.0024423602969910123</v>
      </c>
      <c r="K50" s="364" t="str">
        <f>IFERROR(__xludf.DUMMYFUNCTION("""COMPUTED_VALUE"""),"Kraken Lair - Lantern 3★ #79B")</f>
        <v>Kraken Lair - Lantern 3★ #79B</v>
      </c>
      <c r="L50" s="296" t="str">
        <f>IFERROR(__xludf.DUMMYFUNCTION("""COMPUTED_VALUE"""),"Storm Port - Cleat 2★")</f>
        <v>Storm Port - Cleat 2★</v>
      </c>
      <c r="M50" s="369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1)=L50)))"),1.0)</f>
        <v>1</v>
      </c>
      <c r="O50" s="354" t="str">
        <f>IFERROR(__xludf.DUMMYFUNCTION("""COMPUTED_VALUE"""),"Skull Isle - Spyglass 1★ #B4A")</f>
        <v>Skull Isle - Spyglass 1★ #B4A</v>
      </c>
      <c r="P50" s="296">
        <f>IFERROR(__xludf.DUMMYFUNCTION("""COMPUTED_VALUE"""),50.0)</f>
        <v>50</v>
      </c>
      <c r="Q50" s="353">
        <f>IFERROR(__xludf.DUMMYFUNCTION("if(P50="""", """", P50/sum(filter($P$16:$P$949, $P$16:$P$949&lt;&gt;"""")))"),0.0024423602969910123)</f>
        <v>0.002442360297</v>
      </c>
    </row>
    <row r="51" ht="12.75" customHeight="1">
      <c r="A51" s="360" t="str">
        <f>AlbumConfig!B38&amp;" "&amp;AlbumConfig!E38</f>
        <v>Ghost Ship - Log 5★</v>
      </c>
      <c r="B51" s="379">
        <f>IFERROR(__xludf.DUMMYFUNCTION("index($B$3:$B$7, right(index(split(A51, ""★""),0,1)), 0)"),2.0)</f>
        <v>2</v>
      </c>
      <c r="C51" s="379">
        <f>IFERROR(__xludf.DUMMYFUNCTION("LET(
  ct, COUNTIF(ARRAYFORMULA(RIGHT(SPLIT($A$16:$A51, ""★""), 1)), TO_TEXT(RIGHT(SPLIT(A51, ""★""), 1))),
  n, index($C$3:$C$7, right(index(split(A51, ""★""), 0, 1), 1), 0),
  total, index($D$3:$D$7, right(index(split(A51, ""★""), 0, 1), 1), 0),
  base,"&amp;" INT(total/n),
  rem, total - base*n,
  index(MAP(SEQUENCE(n), LAMBDA(i, IF(i &lt;= rem, base+1, base))), ct, 0)
)"),5.0)</f>
        <v>5</v>
      </c>
      <c r="G51" s="354" t="s">
        <v>762</v>
      </c>
      <c r="H51" s="296">
        <v>50.0</v>
      </c>
      <c r="I51" s="353">
        <v>0.0024423602969910123</v>
      </c>
      <c r="K51" s="296" t="str">
        <f>IFERROR(__xludf.DUMMYFUNCTION("""COMPUTED_VALUE"""),"Skull Isle - Chest 3★ #86B")</f>
        <v>Skull Isle - Chest 3★ #86B</v>
      </c>
      <c r="L51" s="296" t="str">
        <f>IFERROR(__xludf.DUMMYFUNCTION("""COMPUTED_VALUE"""),"Skull Isle - Skull 3★")</f>
        <v>Skull Isle - Skull 3★</v>
      </c>
      <c r="M51" s="369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1)=L51)))"),2.0)</f>
        <v>2</v>
      </c>
      <c r="O51" s="354" t="str">
        <f>IFERROR(__xludf.DUMMYFUNCTION("""COMPUTED_VALUE"""),"Skull Isle - Spyglass 1★ #5FF")</f>
        <v>Skull Isle - Spyglass 1★ #5FF</v>
      </c>
      <c r="P51" s="296">
        <f>IFERROR(__xludf.DUMMYFUNCTION("""COMPUTED_VALUE"""),50.0)</f>
        <v>50</v>
      </c>
      <c r="Q51" s="353">
        <f>IFERROR(__xludf.DUMMYFUNCTION("if(P51="""", """", P51/sum(filter($P$16:$P$949, $P$16:$P$949&lt;&gt;"""")))"),0.0024423602969910123)</f>
        <v>0.002442360297</v>
      </c>
    </row>
    <row r="52" ht="12.75" customHeight="1">
      <c r="A52" s="360" t="str">
        <f>AlbumConfig!B39&amp;" "&amp;AlbumConfig!E39</f>
        <v>Storm Port - Lightning 1★</v>
      </c>
      <c r="B52" s="379">
        <f>IFERROR(__xludf.DUMMYFUNCTION("index($B$3:$B$7, right(index(split(A52, ""★""),0,1)), 0)"),50.0)</f>
        <v>50</v>
      </c>
      <c r="C52" s="379">
        <f>IFERROR(__xludf.DUMMYFUNCTION("LET(
  ct, COUNTIF(ARRAYFORMULA(RIGHT(SPLIT($A$16:$A52, ""★""), 1)), TO_TEXT(RIGHT(SPLIT(A52, ""★""), 1))),
  n, index($C$3:$C$7, right(index(split(A52, ""★""), 0, 1), 1), 0),
  total, index($D$3:$D$7, right(index(split(A52, ""★""), 0, 1), 1), 0),
  base,"&amp;" INT(total/n),
  rem, total - base*n,
  index(MAP(SEQUENCE(n), LAMBDA(i, IF(i &lt;= rem, base+1, base))), ct, 0)
)"),13.0)</f>
        <v>13</v>
      </c>
      <c r="G52" s="354" t="s">
        <v>763</v>
      </c>
      <c r="H52" s="296">
        <v>50.0</v>
      </c>
      <c r="I52" s="353">
        <v>0.0024423602969910123</v>
      </c>
      <c r="K52" s="296" t="str">
        <f>IFERROR(__xludf.DUMMYFUNCTION("""COMPUTED_VALUE"""),"Ghost Ship - Ghost Lamp 2★ #42A")</f>
        <v>Ghost Ship - Ghost Lamp 2★ #42A</v>
      </c>
      <c r="L52" s="370" t="str">
        <f>IFERROR(__xludf.DUMMYFUNCTION("""COMPUTED_VALUE"""),"Gold Cove - Ruby 1★")</f>
        <v>Gold Cove - Ruby 1★</v>
      </c>
      <c r="M52" s="369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1)=L52)))"),1.0)</f>
        <v>1</v>
      </c>
      <c r="O52" s="354" t="str">
        <f>IFERROR(__xludf.DUMMYFUNCTION("""COMPUTED_VALUE"""),"Skull Isle - Spyglass 1★ #0B4")</f>
        <v>Skull Isle - Spyglass 1★ #0B4</v>
      </c>
      <c r="P52" s="296">
        <f>IFERROR(__xludf.DUMMYFUNCTION("""COMPUTED_VALUE"""),50.0)</f>
        <v>50</v>
      </c>
      <c r="Q52" s="353">
        <f>IFERROR(__xludf.DUMMYFUNCTION("if(P52="""", """", P52/sum(filter($P$16:$P$949, $P$16:$P$949&lt;&gt;"""")))"),0.0024423602969910123)</f>
        <v>0.002442360297</v>
      </c>
    </row>
    <row r="53" ht="12.75" customHeight="1">
      <c r="A53" s="360" t="str">
        <f>AlbumConfig!B40&amp;" "&amp;AlbumConfig!E40</f>
        <v>Storm Port - Barrel 1★</v>
      </c>
      <c r="B53" s="379">
        <f>IFERROR(__xludf.DUMMYFUNCTION("index($B$3:$B$7, right(index(split(A53, ""★""),0,1)), 0)"),50.0)</f>
        <v>50</v>
      </c>
      <c r="C53" s="379">
        <f>IFERROR(__xludf.DUMMYFUNCTION("LET(
  ct, COUNTIF(ARRAYFORMULA(RIGHT(SPLIT($A$16:$A53, ""★""), 1)), TO_TEXT(RIGHT(SPLIT(A53, ""★""), 1))),
  n, index($C$3:$C$7, right(index(split(A53, ""★""), 0, 1), 1), 0),
  total, index($D$3:$D$7, right(index(split(A53, ""★""), 0, 1), 1), 0),
  base,"&amp;" INT(total/n),
  rem, total - base*n,
  index(MAP(SEQUENCE(n), LAMBDA(i, IF(i &lt;= rem, base+1, base))), ct, 0)
)"),13.0)</f>
        <v>13</v>
      </c>
      <c r="G53" s="354" t="s">
        <v>764</v>
      </c>
      <c r="H53" s="296">
        <v>50.0</v>
      </c>
      <c r="I53" s="353">
        <v>0.0024423602969910123</v>
      </c>
      <c r="K53" s="296" t="str">
        <f>IFERROR(__xludf.DUMMYFUNCTION("""COMPUTED_VALUE"""),"Siren Reef - Comb 2★ #4D7")</f>
        <v>Siren Reef - Comb 2★ #4D7</v>
      </c>
      <c r="L53" s="370" t="str">
        <f>IFERROR(__xludf.DUMMYFUNCTION("""COMPUTED_VALUE"""),"Dead Man Bay - Gold Tooth 3★")</f>
        <v>Dead Man Bay - Gold Tooth 3★</v>
      </c>
      <c r="M53" s="369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1)=L53)))"),1.0)</f>
        <v>1</v>
      </c>
      <c r="O53" s="354" t="str">
        <f>IFERROR(__xludf.DUMMYFUNCTION("""COMPUTED_VALUE"""),"Skull Isle - Spyglass 1★ #B69")</f>
        <v>Skull Isle - Spyglass 1★ #B69</v>
      </c>
      <c r="P53" s="296">
        <f>IFERROR(__xludf.DUMMYFUNCTION("""COMPUTED_VALUE"""),50.0)</f>
        <v>50</v>
      </c>
      <c r="Q53" s="353">
        <f>IFERROR(__xludf.DUMMYFUNCTION("if(P53="""", """", P53/sum(filter($P$16:$P$949, $P$16:$P$949&lt;&gt;"""")))"),0.0024423602969910123)</f>
        <v>0.002442360297</v>
      </c>
    </row>
    <row r="54" ht="12.75" customHeight="1">
      <c r="A54" s="360" t="str">
        <f>AlbumConfig!B41&amp;" "&amp;AlbumConfig!E41</f>
        <v>Storm Port - Rope 2★</v>
      </c>
      <c r="B54" s="379">
        <f>IFERROR(__xludf.DUMMYFUNCTION("index($B$3:$B$7, right(index(split(A54, ""★""),0,1)), 0)"),20.0)</f>
        <v>20</v>
      </c>
      <c r="C54" s="379">
        <f>IFERROR(__xludf.DUMMYFUNCTION("LET(
  ct, COUNTIF(ARRAYFORMULA(RIGHT(SPLIT($A$16:$A54, ""★""), 1)), TO_TEXT(RIGHT(SPLIT(A54, ""★""), 1))),
  n, index($C$3:$C$7, right(index(split(A54, ""★""), 0, 1), 1), 0),
  total, index($D$3:$D$7, right(index(split(A54, ""★""), 0, 1), 1), 0),
  base,"&amp;" INT(total/n),
  rem, total - base*n,
  index(MAP(SEQUENCE(n), LAMBDA(i, IF(i &lt;= rem, base+1, base))), ct, 0)
)"),13.0)</f>
        <v>13</v>
      </c>
      <c r="G54" s="354" t="s">
        <v>765</v>
      </c>
      <c r="H54" s="296">
        <v>50.0</v>
      </c>
      <c r="I54" s="353">
        <v>0.0024423602969910123</v>
      </c>
      <c r="K54" s="296" t="str">
        <f>IFERROR(__xludf.DUMMYFUNCTION("""COMPUTED_VALUE"""),"Cannon Fort - War Flag 3★ #778")</f>
        <v>Cannon Fort - War Flag 3★ #778</v>
      </c>
      <c r="L54" s="370" t="str">
        <f>IFERROR(__xludf.DUMMYFUNCTION("""COMPUTED_VALUE"""),"Gold Cove - Doubloon 1★")</f>
        <v>Gold Cove - Doubloon 1★</v>
      </c>
      <c r="M54" s="369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1)=L54)))"),1.0)</f>
        <v>1</v>
      </c>
      <c r="O54" s="354" t="str">
        <f>IFERROR(__xludf.DUMMYFUNCTION("""COMPUTED_VALUE"""),"Skull Isle - Spyglass 1★ #61E")</f>
        <v>Skull Isle - Spyglass 1★ #61E</v>
      </c>
      <c r="P54" s="296">
        <f>IFERROR(__xludf.DUMMYFUNCTION("""COMPUTED_VALUE"""),50.0)</f>
        <v>50</v>
      </c>
      <c r="Q54" s="353">
        <f>IFERROR(__xludf.DUMMYFUNCTION("if(P54="""", """", P54/sum(filter($P$16:$P$949, $P$16:$P$949&lt;&gt;"""")))"),0.0024423602969910123)</f>
        <v>0.002442360297</v>
      </c>
    </row>
    <row r="55" ht="12.75" customHeight="1">
      <c r="A55" s="360" t="str">
        <f>AlbumConfig!B42&amp;" "&amp;AlbumConfig!E42</f>
        <v>Storm Port - Cleat 2★</v>
      </c>
      <c r="B55" s="379">
        <f>IFERROR(__xludf.DUMMYFUNCTION("index($B$3:$B$7, right(index(split(A55, ""★""),0,1)), 0)"),20.0)</f>
        <v>20</v>
      </c>
      <c r="C55" s="379">
        <f>IFERROR(__xludf.DUMMYFUNCTION("LET(
  ct, COUNTIF(ARRAYFORMULA(RIGHT(SPLIT($A$16:$A55, ""★""), 1)), TO_TEXT(RIGHT(SPLIT(A55, ""★""), 1))),
  n, index($C$3:$C$7, right(index(split(A55, ""★""), 0, 1), 1), 0),
  total, index($D$3:$D$7, right(index(split(A55, ""★""), 0, 1), 1), 0),
  base,"&amp;" INT(total/n),
  rem, total - base*n,
  index(MAP(SEQUENCE(n), LAMBDA(i, IF(i &lt;= rem, base+1, base))), ct, 0)
)"),13.0)</f>
        <v>13</v>
      </c>
      <c r="G55" s="354" t="s">
        <v>766</v>
      </c>
      <c r="H55" s="296">
        <v>50.0</v>
      </c>
      <c r="I55" s="353">
        <v>0.0024423602969910123</v>
      </c>
      <c r="K55" s="296" t="str">
        <f>IFERROR(__xludf.DUMMYFUNCTION("""COMPUTED_VALUE"""),"Kraken Lair - Trident 1★ #0DC")</f>
        <v>Kraken Lair - Trident 1★ #0DC</v>
      </c>
      <c r="L55" s="370" t="str">
        <f>IFERROR(__xludf.DUMMYFUNCTION("""COMPUTED_VALUE"""),"Skull Isle - Spyglass 1★")</f>
        <v>Skull Isle - Spyglass 1★</v>
      </c>
      <c r="M55" s="369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1)=L55)))"),2.0)</f>
        <v>2</v>
      </c>
      <c r="O55" s="354" t="str">
        <f>IFERROR(__xludf.DUMMYFUNCTION("""COMPUTED_VALUE"""),"Skull Isle - Spyglass 1★ #0D3")</f>
        <v>Skull Isle - Spyglass 1★ #0D3</v>
      </c>
      <c r="P55" s="296">
        <f>IFERROR(__xludf.DUMMYFUNCTION("""COMPUTED_VALUE"""),50.0)</f>
        <v>50</v>
      </c>
      <c r="Q55" s="353">
        <f>IFERROR(__xludf.DUMMYFUNCTION("if(P55="""", """", P55/sum(filter($P$16:$P$949, $P$16:$P$949&lt;&gt;"""")))"),0.0024423602969910123)</f>
        <v>0.002442360297</v>
      </c>
    </row>
    <row r="56" ht="12.75" customHeight="1">
      <c r="A56" s="360" t="str">
        <f>AlbumConfig!B43&amp;" "&amp;AlbumConfig!E43</f>
        <v>Storm Port - Flare 3★</v>
      </c>
      <c r="B56" s="379">
        <f>IFERROR(__xludf.DUMMYFUNCTION("index($B$3:$B$7, right(index(split(A56, ""★""),0,1)), 0)"),10.0)</f>
        <v>10</v>
      </c>
      <c r="C56" s="379">
        <f>IFERROR(__xludf.DUMMYFUNCTION("LET(
  ct, COUNTIF(ARRAYFORMULA(RIGHT(SPLIT($A$16:$A56, ""★""), 1)), TO_TEXT(RIGHT(SPLIT(A56, ""★""), 1))),
  n, index($C$3:$C$7, right(index(split(A56, ""★""), 0, 1), 1), 0),
  total, index($D$3:$D$7, right(index(split(A56, ""★""), 0, 1), 1), 0),
  base,"&amp;" INT(total/n),
  rem, total - base*n,
  index(MAP(SEQUENCE(n), LAMBDA(i, IF(i &lt;= rem, base+1, base))), ct, 0)
)"),13.0)</f>
        <v>13</v>
      </c>
      <c r="G56" s="354" t="s">
        <v>767</v>
      </c>
      <c r="H56" s="296">
        <v>50.0</v>
      </c>
      <c r="I56" s="353">
        <v>0.0024423602969910123</v>
      </c>
      <c r="K56" s="296" t="str">
        <f>IFERROR(__xludf.DUMMYFUNCTION("""COMPUTED_VALUE"""),"Skull Isle - Map 1★ #FDB")</f>
        <v>Skull Isle - Map 1★ #FDB</v>
      </c>
      <c r="L56" s="370" t="str">
        <f>IFERROR(__xludf.DUMMYFUNCTION("""COMPUTED_VALUE"""),"Skull Isle - Helm 2★")</f>
        <v>Skull Isle - Helm 2★</v>
      </c>
      <c r="M56" s="369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1)=L56)))"),1.0)</f>
        <v>1</v>
      </c>
      <c r="O56" s="354" t="str">
        <f>IFERROR(__xludf.DUMMYFUNCTION("""COMPUTED_VALUE"""),"Skull Isle - Spyglass 1★ #B88")</f>
        <v>Skull Isle - Spyglass 1★ #B88</v>
      </c>
      <c r="P56" s="296">
        <f>IFERROR(__xludf.DUMMYFUNCTION("""COMPUTED_VALUE"""),50.0)</f>
        <v>50</v>
      </c>
      <c r="Q56" s="353">
        <f>IFERROR(__xludf.DUMMYFUNCTION("if(P56="""", """", P56/sum(filter($P$16:$P$949, $P$16:$P$949&lt;&gt;"""")))"),0.0024423602969910123)</f>
        <v>0.002442360297</v>
      </c>
    </row>
    <row r="57" ht="12.75" customHeight="1">
      <c r="A57" s="360" t="str">
        <f>AlbumConfig!B44&amp;" "&amp;AlbumConfig!E44</f>
        <v>Storm Port - Bucket 4★</v>
      </c>
      <c r="B57" s="379">
        <f>IFERROR(__xludf.DUMMYFUNCTION("index($B$3:$B$7, right(index(split(A57, ""★""),0,1)), 0)"),5.0)</f>
        <v>5</v>
      </c>
      <c r="C57" s="379">
        <f>IFERROR(__xludf.DUMMYFUNCTION("LET(
  ct, COUNTIF(ARRAYFORMULA(RIGHT(SPLIT($A$16:$A57, ""★""), 1)), TO_TEXT(RIGHT(SPLIT(A57, ""★""), 1))),
  n, index($C$3:$C$7, right(index(split(A57, ""★""), 0, 1), 1), 0),
  total, index($D$3:$D$7, right(index(split(A57, ""★""), 0, 1), 1), 0),
  base,"&amp;" INT(total/n),
  rem, total - base*n,
  index(MAP(SEQUENCE(n), LAMBDA(i, IF(i &lt;= rem, base+1, base))), ct, 0)
)"),11.0)</f>
        <v>11</v>
      </c>
      <c r="G57" s="354" t="s">
        <v>768</v>
      </c>
      <c r="H57" s="296">
        <v>50.0</v>
      </c>
      <c r="I57" s="353">
        <v>0.0024423602969910123</v>
      </c>
      <c r="K57" s="296" t="str">
        <f>IFERROR(__xludf.DUMMYFUNCTION("""COMPUTED_VALUE"""),"Dead Man Bay - Pistol 1★ #CEB")</f>
        <v>Dead Man Bay - Pistol 1★ #CEB</v>
      </c>
      <c r="L57" s="370" t="str">
        <f>IFERROR(__xludf.DUMMYFUNCTION("""COMPUTED_VALUE"""),"Dead Man Bay - Rum 1★")</f>
        <v>Dead Man Bay - Rum 1★</v>
      </c>
      <c r="M57" s="369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1)=L57)))"),2.0)</f>
        <v>2</v>
      </c>
      <c r="O57" s="354" t="str">
        <f>IFERROR(__xludf.DUMMYFUNCTION("""COMPUTED_VALUE"""),"Skull Isle - Spyglass 1★ #63D")</f>
        <v>Skull Isle - Spyglass 1★ #63D</v>
      </c>
      <c r="P57" s="296">
        <f>IFERROR(__xludf.DUMMYFUNCTION("""COMPUTED_VALUE"""),50.0)</f>
        <v>50</v>
      </c>
      <c r="Q57" s="353">
        <f>IFERROR(__xludf.DUMMYFUNCTION("if(P57="""", """", P57/sum(filter($P$16:$P$949, $P$16:$P$949&lt;&gt;"""")))"),0.0024423602969910123)</f>
        <v>0.002442360297</v>
      </c>
    </row>
    <row r="58" ht="12.75" customHeight="1">
      <c r="A58" s="360" t="str">
        <f>AlbumConfig!B45&amp;" "&amp;AlbumConfig!E45</f>
        <v>Storm Port - Windmill 4★</v>
      </c>
      <c r="B58" s="379">
        <f>IFERROR(__xludf.DUMMYFUNCTION("index($B$3:$B$7, right(index(split(A58, ""★""),0,1)), 0)"),5.0)</f>
        <v>5</v>
      </c>
      <c r="C58" s="379">
        <f>IFERROR(__xludf.DUMMYFUNCTION("LET(
  ct, COUNTIF(ARRAYFORMULA(RIGHT(SPLIT($A$16:$A58, ""★""), 1)), TO_TEXT(RIGHT(SPLIT(A58, ""★""), 1))),
  n, index($C$3:$C$7, right(index(split(A58, ""★""), 0, 1), 1), 0),
  total, index($D$3:$D$7, right(index(split(A58, ""★""), 0, 1), 1), 0),
  base,"&amp;" INT(total/n),
  rem, total - base*n,
  index(MAP(SEQUENCE(n), LAMBDA(i, IF(i &lt;= rem, base+1, base))), ct, 0)
)"),11.0)</f>
        <v>11</v>
      </c>
      <c r="G58" s="354" t="s">
        <v>769</v>
      </c>
      <c r="H58" s="296">
        <v>50.0</v>
      </c>
      <c r="I58" s="353">
        <v>0.0024423602969910123</v>
      </c>
      <c r="K58" s="296" t="str">
        <f>IFERROR(__xludf.DUMMYFUNCTION("""COMPUTED_VALUE"""),"Skull Isle - Parrot 2★ #80E")</f>
        <v>Skull Isle - Parrot 2★ #80E</v>
      </c>
      <c r="L58" s="370" t="str">
        <f>IFERROR(__xludf.DUMMYFUNCTION("""COMPUTED_VALUE"""),"Storm Port - Lightning 1★")</f>
        <v>Storm Port - Lightning 1★</v>
      </c>
      <c r="M58" s="369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1)=L58)))"),1.0)</f>
        <v>1</v>
      </c>
      <c r="O58" s="354" t="str">
        <f>IFERROR(__xludf.DUMMYFUNCTION("""COMPUTED_VALUE"""),"Skull Isle - Anchor 1★ #0F2")</f>
        <v>Skull Isle - Anchor 1★ #0F2</v>
      </c>
      <c r="P58" s="296">
        <f>IFERROR(__xludf.DUMMYFUNCTION("""COMPUTED_VALUE"""),50.0)</f>
        <v>50</v>
      </c>
      <c r="Q58" s="353">
        <f>IFERROR(__xludf.DUMMYFUNCTION("if(P58="""", """", P58/sum(filter($P$16:$P$949, $P$16:$P$949&lt;&gt;"""")))"),0.0024423602969910123)</f>
        <v>0.002442360297</v>
      </c>
    </row>
    <row r="59" ht="12.75" customHeight="1">
      <c r="A59" s="360" t="str">
        <f>AlbumConfig!B46&amp;" "&amp;AlbumConfig!E46</f>
        <v>Storm Port - Lighthouse 5★</v>
      </c>
      <c r="B59" s="379">
        <f>IFERROR(__xludf.DUMMYFUNCTION("index($B$3:$B$7, right(index(split(A59, ""★""),0,1)), 0)"),2.0)</f>
        <v>2</v>
      </c>
      <c r="C59" s="379">
        <f>IFERROR(__xludf.DUMMYFUNCTION("LET(
  ct, COUNTIF(ARRAYFORMULA(RIGHT(SPLIT($A$16:$A59, ""★""), 1)), TO_TEXT(RIGHT(SPLIT(A59, ""★""), 1))),
  n, index($C$3:$C$7, right(index(split(A59, ""★""), 0, 1), 1), 0),
  total, index($D$3:$D$7, right(index(split(A59, ""★""), 0, 1), 1), 0),
  base,"&amp;" INT(total/n),
  rem, total - base*n,
  index(MAP(SEQUENCE(n), LAMBDA(i, IF(i &lt;= rem, base+1, base))), ct, 0)
)"),5.0)</f>
        <v>5</v>
      </c>
      <c r="G59" s="354" t="s">
        <v>770</v>
      </c>
      <c r="H59" s="296">
        <v>50.0</v>
      </c>
      <c r="I59" s="353">
        <v>0.0024423602969910123</v>
      </c>
      <c r="K59" s="296" t="str">
        <f>IFERROR(__xludf.DUMMYFUNCTION("""COMPUTED_VALUE"""),"Cannon Fort - Cannonball 1★ #AF2")</f>
        <v>Cannon Fort - Cannonball 1★ #AF2</v>
      </c>
      <c r="L59" s="370" t="str">
        <f>IFERROR(__xludf.DUMMYFUNCTION("""COMPUTED_VALUE"""),"Skull Isle - Map 1★")</f>
        <v>Skull Isle - Map 1★</v>
      </c>
      <c r="M59" s="369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1)=L59)))"),2.0)</f>
        <v>2</v>
      </c>
      <c r="O59" s="367" t="str">
        <f>IFERROR(__xludf.DUMMYFUNCTION("""COMPUTED_VALUE"""),"Skull Isle - Anchor 1★ #BA7")</f>
        <v>Skull Isle - Anchor 1★ #BA7</v>
      </c>
      <c r="P59" s="296">
        <f>IFERROR(__xludf.DUMMYFUNCTION("""COMPUTED_VALUE"""),50.0)</f>
        <v>50</v>
      </c>
      <c r="Q59" s="353">
        <f>IFERROR(__xludf.DUMMYFUNCTION("if(P59="""", """", P59/sum(filter($P$16:$P$949, $P$16:$P$949&lt;&gt;"""")))"),0.0024423602969910123)</f>
        <v>0.002442360297</v>
      </c>
    </row>
    <row r="60" ht="12.75" customHeight="1">
      <c r="A60" s="360" t="str">
        <f>AlbumConfig!B47&amp;" "&amp;AlbumConfig!E47</f>
        <v>Storm Port - Drum 5★</v>
      </c>
      <c r="B60" s="379">
        <f>IFERROR(__xludf.DUMMYFUNCTION("index($B$3:$B$7, right(index(split(A60, ""★""),0,1)), 0)"),2.0)</f>
        <v>2</v>
      </c>
      <c r="C60" s="379">
        <f>IFERROR(__xludf.DUMMYFUNCTION("LET(
  ct, COUNTIF(ARRAYFORMULA(RIGHT(SPLIT($A$16:$A60, ""★""), 1)), TO_TEXT(RIGHT(SPLIT(A60, ""★""), 1))),
  n, index($C$3:$C$7, right(index(split(A60, ""★""), 0, 1), 1), 0),
  total, index($D$3:$D$7, right(index(split(A60, ""★""), 0, 1), 1), 0),
  base,"&amp;" INT(total/n),
  rem, total - base*n,
  index(MAP(SEQUENCE(n), LAMBDA(i, IF(i &lt;= rem, base+1, base))), ct, 0)
)"),5.0)</f>
        <v>5</v>
      </c>
      <c r="G60" s="354" t="s">
        <v>771</v>
      </c>
      <c r="H60" s="296">
        <v>50.0</v>
      </c>
      <c r="I60" s="353">
        <v>0.0024423602969910123</v>
      </c>
      <c r="K60" s="296" t="str">
        <f>IFERROR(__xludf.DUMMYFUNCTION("""COMPUTED_VALUE"""),"Cannon Fort - Ramrod 2★ #6FC")</f>
        <v>Cannon Fort - Ramrod 2★ #6FC</v>
      </c>
      <c r="L60" s="370" t="str">
        <f>IFERROR(__xludf.DUMMYFUNCTION("""COMPUTED_VALUE"""),"Kraken Lair - Lantern 3★")</f>
        <v>Kraken Lair - Lantern 3★</v>
      </c>
      <c r="M60" s="369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1)=L60)))"),1.0)</f>
        <v>1</v>
      </c>
      <c r="O60" s="367" t="str">
        <f>IFERROR(__xludf.DUMMYFUNCTION("""COMPUTED_VALUE"""),"Skull Isle - Anchor 1★ #65C")</f>
        <v>Skull Isle - Anchor 1★ #65C</v>
      </c>
      <c r="P60" s="296">
        <f>IFERROR(__xludf.DUMMYFUNCTION("""COMPUTED_VALUE"""),50.0)</f>
        <v>50</v>
      </c>
      <c r="Q60" s="353">
        <f>IFERROR(__xludf.DUMMYFUNCTION("if(P60="""", """", P60/sum(filter($P$16:$P$949, $P$16:$P$949&lt;&gt;"""")))"),0.0024423602969910123)</f>
        <v>0.002442360297</v>
      </c>
    </row>
    <row r="61" ht="12.75" customHeight="1">
      <c r="A61" s="360" t="str">
        <f>AlbumConfig!B48&amp;" "&amp;AlbumConfig!E48</f>
        <v>Cannon Fort - Cannonball 1★</v>
      </c>
      <c r="B61" s="379">
        <f>IFERROR(__xludf.DUMMYFUNCTION("index($B$3:$B$7, right(index(split(A61, ""★""),0,1)), 0)"),50.0)</f>
        <v>50</v>
      </c>
      <c r="C61" s="379">
        <f>IFERROR(__xludf.DUMMYFUNCTION("LET(
  ct, COUNTIF(ARRAYFORMULA(RIGHT(SPLIT($A$16:$A61, ""★""), 1)), TO_TEXT(RIGHT(SPLIT(A61, ""★""), 1))),
  n, index($C$3:$C$7, right(index(split(A61, ""★""), 0, 1), 1), 0),
  total, index($D$3:$D$7, right(index(split(A61, ""★""), 0, 1), 1), 0),
  base,"&amp;" INT(total/n),
  rem, total - base*n,
  index(MAP(SEQUENCE(n), LAMBDA(i, IF(i &lt;= rem, base+1, base))), ct, 0)
)"),13.0)</f>
        <v>13</v>
      </c>
      <c r="G61" s="354" t="s">
        <v>772</v>
      </c>
      <c r="H61" s="296">
        <v>50.0</v>
      </c>
      <c r="I61" s="353">
        <v>0.0024423602969910123</v>
      </c>
      <c r="K61" s="296" t="str">
        <f>IFERROR(__xludf.DUMMYFUNCTION("""COMPUTED_VALUE"""),"Storm Port - Barrel 1★ #281")</f>
        <v>Storm Port - Barrel 1★ #281</v>
      </c>
      <c r="L61" s="370" t="str">
        <f>IFERROR(__xludf.DUMMYFUNCTION("""COMPUTED_VALUE"""),"Skull Isle - Chest 3★")</f>
        <v>Skull Isle - Chest 3★</v>
      </c>
      <c r="M61" s="369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1)=L61)))"),1.0)</f>
        <v>1</v>
      </c>
      <c r="O61" s="367" t="str">
        <f>IFERROR(__xludf.DUMMYFUNCTION("""COMPUTED_VALUE"""),"Skull Isle - Anchor 1★ #111")</f>
        <v>Skull Isle - Anchor 1★ #111</v>
      </c>
      <c r="P61" s="296">
        <f>IFERROR(__xludf.DUMMYFUNCTION("""COMPUTED_VALUE"""),50.0)</f>
        <v>50</v>
      </c>
      <c r="Q61" s="353">
        <f>IFERROR(__xludf.DUMMYFUNCTION("if(P61="""", """", P61/sum(filter($P$16:$P$949, $P$16:$P$949&lt;&gt;"""")))"),0.0024423602969910123)</f>
        <v>0.002442360297</v>
      </c>
    </row>
    <row r="62" ht="12.75" customHeight="1">
      <c r="A62" s="360" t="str">
        <f>AlbumConfig!B49&amp;" "&amp;AlbumConfig!E49</f>
        <v>Cannon Fort - Powder 1★</v>
      </c>
      <c r="B62" s="379">
        <f>IFERROR(__xludf.DUMMYFUNCTION("index($B$3:$B$7, right(index(split(A62, ""★""),0,1)), 0)"),50.0)</f>
        <v>50</v>
      </c>
      <c r="C62" s="379">
        <f>IFERROR(__xludf.DUMMYFUNCTION("LET(
  ct, COUNTIF(ARRAYFORMULA(RIGHT(SPLIT($A$16:$A62, ""★""), 1)), TO_TEXT(RIGHT(SPLIT(A62, ""★""), 1))),
  n, index($C$3:$C$7, right(index(split(A62, ""★""), 0, 1), 1), 0),
  total, index($D$3:$D$7, right(index(split(A62, ""★""), 0, 1), 1), 0),
  base,"&amp;" INT(total/n),
  rem, total - base*n,
  index(MAP(SEQUENCE(n), LAMBDA(i, IF(i &lt;= rem, base+1, base))), ct, 0)
)"),13.0)</f>
        <v>13</v>
      </c>
      <c r="G62" s="354" t="s">
        <v>773</v>
      </c>
      <c r="H62" s="296">
        <v>50.0</v>
      </c>
      <c r="I62" s="353">
        <v>0.0024423602969910123</v>
      </c>
      <c r="K62" s="296" t="str">
        <f>IFERROR(__xludf.DUMMYFUNCTION("""COMPUTED_VALUE"""),"Cannon Fort - Powder 1★ #0D8")</f>
        <v>Cannon Fort - Powder 1★ #0D8</v>
      </c>
      <c r="L62" s="370" t="str">
        <f>IFERROR(__xludf.DUMMYFUNCTION("""COMPUTED_VALUE"""),"Ghost Ship - Ghost Lamp 2★")</f>
        <v>Ghost Ship - Ghost Lamp 2★</v>
      </c>
      <c r="M62" s="369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1)=L62)))"),1.0)</f>
        <v>1</v>
      </c>
      <c r="O62" s="367" t="str">
        <f>IFERROR(__xludf.DUMMYFUNCTION("""COMPUTED_VALUE"""),"Skull Isle - Anchor 1★ #BC6")</f>
        <v>Skull Isle - Anchor 1★ #BC6</v>
      </c>
      <c r="P62" s="296">
        <f>IFERROR(__xludf.DUMMYFUNCTION("""COMPUTED_VALUE"""),50.0)</f>
        <v>50</v>
      </c>
      <c r="Q62" s="353">
        <f>IFERROR(__xludf.DUMMYFUNCTION("if(P62="""", """", P62/sum(filter($P$16:$P$949, $P$16:$P$949&lt;&gt;"""")))"),0.0024423602969910123)</f>
        <v>0.002442360297</v>
      </c>
    </row>
    <row r="63" ht="12.75" customHeight="1">
      <c r="A63" s="360" t="str">
        <f>AlbumConfig!B50&amp;" "&amp;AlbumConfig!E50</f>
        <v>Cannon Fort - Fuse 2★</v>
      </c>
      <c r="B63" s="379">
        <f>IFERROR(__xludf.DUMMYFUNCTION("index($B$3:$B$7, right(index(split(A63, ""★""),0,1)), 0)"),20.0)</f>
        <v>20</v>
      </c>
      <c r="C63" s="379">
        <f>IFERROR(__xludf.DUMMYFUNCTION("LET(
  ct, COUNTIF(ARRAYFORMULA(RIGHT(SPLIT($A$16:$A63, ""★""), 1)), TO_TEXT(RIGHT(SPLIT(A63, ""★""), 1))),
  n, index($C$3:$C$7, right(index(split(A63, ""★""), 0, 1), 1), 0),
  total, index($D$3:$D$7, right(index(split(A63, ""★""), 0, 1), 1), 0),
  base,"&amp;" INT(total/n),
  rem, total - base*n,
  index(MAP(SEQUENCE(n), LAMBDA(i, IF(i &lt;= rem, base+1, base))), ct, 0)
)"),12.0)</f>
        <v>12</v>
      </c>
      <c r="G63" s="354" t="s">
        <v>774</v>
      </c>
      <c r="H63" s="296">
        <v>50.0</v>
      </c>
      <c r="I63" s="353">
        <v>0.0024423602969910123</v>
      </c>
      <c r="K63" s="296" t="str">
        <f>IFERROR(__xludf.DUMMYFUNCTION("""COMPUTED_VALUE"""),"Kraken Lair - Ink Cloud 1★ #4D2")</f>
        <v>Kraken Lair - Ink Cloud 1★ #4D2</v>
      </c>
      <c r="L63" s="370" t="str">
        <f>IFERROR(__xludf.DUMMYFUNCTION("""COMPUTED_VALUE"""),"Cannon Fort - War Flag 3★")</f>
        <v>Cannon Fort - War Flag 3★</v>
      </c>
      <c r="M63" s="369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1)=L63)))"),1.0)</f>
        <v>1</v>
      </c>
      <c r="O63" s="367" t="str">
        <f>IFERROR(__xludf.DUMMYFUNCTION("""COMPUTED_VALUE"""),"Skull Isle - Anchor 1★ #67B")</f>
        <v>Skull Isle - Anchor 1★ #67B</v>
      </c>
      <c r="P63" s="296">
        <f>IFERROR(__xludf.DUMMYFUNCTION("""COMPUTED_VALUE"""),50.0)</f>
        <v>50</v>
      </c>
      <c r="Q63" s="353">
        <f>IFERROR(__xludf.DUMMYFUNCTION("if(P63="""", """", P63/sum(filter($P$16:$P$949, $P$16:$P$949&lt;&gt;"""")))"),0.0024423602969910123)</f>
        <v>0.002442360297</v>
      </c>
    </row>
    <row r="64" ht="12.75" customHeight="1">
      <c r="A64" s="360" t="str">
        <f>AlbumConfig!B51&amp;" "&amp;AlbumConfig!E51</f>
        <v>Cannon Fort - Ramrod 2★</v>
      </c>
      <c r="B64" s="379">
        <f>IFERROR(__xludf.DUMMYFUNCTION("index($B$3:$B$7, right(index(split(A64, ""★""),0,1)), 0)"),20.0)</f>
        <v>20</v>
      </c>
      <c r="C64" s="379">
        <f>IFERROR(__xludf.DUMMYFUNCTION("LET(
  ct, COUNTIF(ARRAYFORMULA(RIGHT(SPLIT($A$16:$A64, ""★""), 1)), TO_TEXT(RIGHT(SPLIT(A64, ""★""), 1))),
  n, index($C$3:$C$7, right(index(split(A64, ""★""), 0, 1), 1), 0),
  total, index($D$3:$D$7, right(index(split(A64, ""★""), 0, 1), 1), 0),
  base,"&amp;" INT(total/n),
  rem, total - base*n,
  index(MAP(SEQUENCE(n), LAMBDA(i, IF(i &lt;= rem, base+1, base))), ct, 0)
)"),12.0)</f>
        <v>12</v>
      </c>
      <c r="G64" s="354" t="s">
        <v>775</v>
      </c>
      <c r="H64" s="296">
        <v>50.0</v>
      </c>
      <c r="I64" s="353">
        <v>0.0024423602969910123</v>
      </c>
      <c r="K64" s="296" t="str">
        <f>IFERROR(__xludf.DUMMYFUNCTION("""COMPUTED_VALUE"""),"Skull Isle - Compass 1★ #4E8")</f>
        <v>Skull Isle - Compass 1★ #4E8</v>
      </c>
      <c r="L64" s="370" t="str">
        <f>IFERROR(__xludf.DUMMYFUNCTION("""COMPUTED_VALUE"""),"Kraken Lair - Trident 1★")</f>
        <v>Kraken Lair - Trident 1★</v>
      </c>
      <c r="M64" s="369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1)=L64)))"),2.0)</f>
        <v>2</v>
      </c>
      <c r="O64" s="367" t="str">
        <f>IFERROR(__xludf.DUMMYFUNCTION("""COMPUTED_VALUE"""),"Skull Isle - Anchor 1★ #130")</f>
        <v>Skull Isle - Anchor 1★ #130</v>
      </c>
      <c r="P64" s="296">
        <f>IFERROR(__xludf.DUMMYFUNCTION("""COMPUTED_VALUE"""),50.0)</f>
        <v>50</v>
      </c>
      <c r="Q64" s="353">
        <f>IFERROR(__xludf.DUMMYFUNCTION("if(P64="""", """", P64/sum(filter($P$16:$P$949, $P$16:$P$949&lt;&gt;"""")))"),0.0024423602969910123)</f>
        <v>0.002442360297</v>
      </c>
    </row>
    <row r="65" ht="12.75" customHeight="1">
      <c r="A65" s="360" t="str">
        <f>AlbumConfig!B52&amp;" "&amp;AlbumConfig!E52</f>
        <v>Cannon Fort - War Flag 3★</v>
      </c>
      <c r="B65" s="379">
        <f>IFERROR(__xludf.DUMMYFUNCTION("index($B$3:$B$7, right(index(split(A65, ""★""),0,1)), 0)"),10.0)</f>
        <v>10</v>
      </c>
      <c r="C65" s="379">
        <f>IFERROR(__xludf.DUMMYFUNCTION("LET(
  ct, COUNTIF(ARRAYFORMULA(RIGHT(SPLIT($A$16:$A65, ""★""), 1)), TO_TEXT(RIGHT(SPLIT(A65, ""★""), 1))),
  n, index($C$3:$C$7, right(index(split(A65, ""★""), 0, 1), 1), 0),
  total, index($D$3:$D$7, right(index(split(A65, ""★""), 0, 1), 1), 0),
  base,"&amp;" INT(total/n),
  rem, total - base*n,
  index(MAP(SEQUENCE(n), LAMBDA(i, IF(i &lt;= rem, base+1, base))), ct, 0)
)"),13.0)</f>
        <v>13</v>
      </c>
      <c r="G65" s="354" t="s">
        <v>776</v>
      </c>
      <c r="H65" s="296">
        <v>50.0</v>
      </c>
      <c r="I65" s="353">
        <v>0.0024423602969910123</v>
      </c>
      <c r="K65" s="296" t="str">
        <f>IFERROR(__xludf.DUMMYFUNCTION("""COMPUTED_VALUE"""),"Skull Isle - Anchor 1★ #C23")</f>
        <v>Skull Isle - Anchor 1★ #C23</v>
      </c>
      <c r="L65" s="370" t="str">
        <f>IFERROR(__xludf.DUMMYFUNCTION("""COMPUTED_VALUE"""),"Skull Isle - Parrot 2★")</f>
        <v>Skull Isle - Parrot 2★</v>
      </c>
      <c r="M65" s="369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1)=L65)))"),1.0)</f>
        <v>1</v>
      </c>
      <c r="O65" s="367" t="str">
        <f>IFERROR(__xludf.DUMMYFUNCTION("""COMPUTED_VALUE"""),"Skull Isle - Anchor 1★ #BE5")</f>
        <v>Skull Isle - Anchor 1★ #BE5</v>
      </c>
      <c r="P65" s="296">
        <f>IFERROR(__xludf.DUMMYFUNCTION("""COMPUTED_VALUE"""),50.0)</f>
        <v>50</v>
      </c>
      <c r="Q65" s="353">
        <f>IFERROR(__xludf.DUMMYFUNCTION("if(P65="""", """", P65/sum(filter($P$16:$P$949, $P$16:$P$949&lt;&gt;"""")))"),0.0024423602969910123)</f>
        <v>0.002442360297</v>
      </c>
    </row>
    <row r="66" ht="12.75" customHeight="1">
      <c r="A66" s="360" t="str">
        <f>AlbumConfig!B53&amp;" "&amp;AlbumConfig!E53</f>
        <v>Cannon Fort - Tower 4★</v>
      </c>
      <c r="B66" s="379">
        <f>IFERROR(__xludf.DUMMYFUNCTION("index($B$3:$B$7, right(index(split(A66, ""★""),0,1)), 0)"),5.0)</f>
        <v>5</v>
      </c>
      <c r="C66" s="379">
        <f>IFERROR(__xludf.DUMMYFUNCTION("LET(
  ct, COUNTIF(ARRAYFORMULA(RIGHT(SPLIT($A$16:$A66, ""★""), 1)), TO_TEXT(RIGHT(SPLIT(A66, ""★""), 1))),
  n, index($C$3:$C$7, right(index(split(A66, ""★""), 0, 1), 1), 0),
  total, index($D$3:$D$7, right(index(split(A66, ""★""), 0, 1), 1), 0),
  base,"&amp;" INT(total/n),
  rem, total - base*n,
  index(MAP(SEQUENCE(n), LAMBDA(i, IF(i &lt;= rem, base+1, base))), ct, 0)
)"),11.0)</f>
        <v>11</v>
      </c>
      <c r="G66" s="354" t="s">
        <v>777</v>
      </c>
      <c r="H66" s="296">
        <v>50.0</v>
      </c>
      <c r="I66" s="353">
        <v>0.0024423602969910123</v>
      </c>
      <c r="K66" s="296" t="str">
        <f>IFERROR(__xludf.DUMMYFUNCTION("""COMPUTED_VALUE"""),"Gold Cove - Diamond 2★ #04A")</f>
        <v>Gold Cove - Diamond 2★ #04A</v>
      </c>
      <c r="L66" s="370" t="str">
        <f>IFERROR(__xludf.DUMMYFUNCTION("""COMPUTED_VALUE"""),"Cannon Fort - Powder 1★")</f>
        <v>Cannon Fort - Powder 1★</v>
      </c>
      <c r="M66" s="369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1)=L66)))"),1.0)</f>
        <v>1</v>
      </c>
      <c r="O66" s="367" t="str">
        <f>IFERROR(__xludf.DUMMYFUNCTION("""COMPUTED_VALUE"""),"Skull Isle - Anchor 1★ #69A")</f>
        <v>Skull Isle - Anchor 1★ #69A</v>
      </c>
      <c r="P66" s="296">
        <f>IFERROR(__xludf.DUMMYFUNCTION("""COMPUTED_VALUE"""),50.0)</f>
        <v>50</v>
      </c>
      <c r="Q66" s="353">
        <f>IFERROR(__xludf.DUMMYFUNCTION("if(P66="""", """", P66/sum(filter($P$16:$P$949, $P$16:$P$949&lt;&gt;"""")))"),0.0024423602969910123)</f>
        <v>0.002442360297</v>
      </c>
    </row>
    <row r="67" ht="12.75" customHeight="1">
      <c r="A67" s="360" t="str">
        <f>AlbumConfig!B54&amp;" "&amp;AlbumConfig!E54</f>
        <v>Cannon Fort - Bridge 5★</v>
      </c>
      <c r="B67" s="379">
        <f>IFERROR(__xludf.DUMMYFUNCTION("index($B$3:$B$7, right(index(split(A67, ""★""),0,1)), 0)"),2.0)</f>
        <v>2</v>
      </c>
      <c r="C67" s="379">
        <f>IFERROR(__xludf.DUMMYFUNCTION("LET(
  ct, COUNTIF(ARRAYFORMULA(RIGHT(SPLIT($A$16:$A67, ""★""), 1)), TO_TEXT(RIGHT(SPLIT(A67, ""★""), 1))),
  n, index($C$3:$C$7, right(index(split(A67, ""★""), 0, 1), 1), 0),
  total, index($D$3:$D$7, right(index(split(A67, ""★""), 0, 1), 1), 0),
  base,"&amp;" INT(total/n),
  rem, total - base*n,
  index(MAP(SEQUENCE(n), LAMBDA(i, IF(i &lt;= rem, base+1, base))), ct, 0)
)"),5.0)</f>
        <v>5</v>
      </c>
      <c r="G67" s="354" t="s">
        <v>778</v>
      </c>
      <c r="H67" s="296">
        <v>50.0</v>
      </c>
      <c r="I67" s="353">
        <v>0.0024423602969910123</v>
      </c>
      <c r="K67" s="296" t="str">
        <f>IFERROR(__xludf.DUMMYFUNCTION("""COMPUTED_VALUE"""),"Skull Isle - Spyglass 1★ #5E0")</f>
        <v>Skull Isle - Spyglass 1★ #5E0</v>
      </c>
      <c r="L67" s="370" t="str">
        <f>IFERROR(__xludf.DUMMYFUNCTION("""COMPUTED_VALUE"""),"Kraken Lair - Ink Cloud 1★")</f>
        <v>Kraken Lair - Ink Cloud 1★</v>
      </c>
      <c r="M67" s="369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1)=L67)))"),1.0)</f>
        <v>1</v>
      </c>
      <c r="O67" s="367" t="str">
        <f>IFERROR(__xludf.DUMMYFUNCTION("""COMPUTED_VALUE"""),"Skull Isle - Anchor 1★ #14F")</f>
        <v>Skull Isle - Anchor 1★ #14F</v>
      </c>
      <c r="P67" s="296">
        <f>IFERROR(__xludf.DUMMYFUNCTION("""COMPUTED_VALUE"""),50.0)</f>
        <v>50</v>
      </c>
      <c r="Q67" s="353">
        <f>IFERROR(__xludf.DUMMYFUNCTION("if(P67="""", """", P67/sum(filter($P$16:$P$949, $P$16:$P$949&lt;&gt;"""")))"),0.0024423602969910123)</f>
        <v>0.002442360297</v>
      </c>
    </row>
    <row r="68" ht="12.75" customHeight="1">
      <c r="A68" s="360" t="str">
        <f>AlbumConfig!B55&amp;" "&amp;AlbumConfig!E55</f>
        <v>Cannon Fort - Catapult 5★</v>
      </c>
      <c r="B68" s="379">
        <f>IFERROR(__xludf.DUMMYFUNCTION("index($B$3:$B$7, right(index(split(A68, ""★""),0,1)), 0)"),2.0)</f>
        <v>2</v>
      </c>
      <c r="C68" s="379">
        <f>IFERROR(__xludf.DUMMYFUNCTION("LET(
  ct, COUNTIF(ARRAYFORMULA(RIGHT(SPLIT($A$16:$A68, ""★""), 1)), TO_TEXT(RIGHT(SPLIT(A68, ""★""), 1))),
  n, index($C$3:$C$7, right(index(split(A68, ""★""), 0, 1), 1), 0),
  total, index($D$3:$D$7, right(index(split(A68, ""★""), 0, 1), 1), 0),
  base,"&amp;" INT(total/n),
  rem, total - base*n,
  index(MAP(SEQUENCE(n), LAMBDA(i, IF(i &lt;= rem, base+1, base))), ct, 0)
)"),5.0)</f>
        <v>5</v>
      </c>
      <c r="G68" s="354" t="s">
        <v>779</v>
      </c>
      <c r="H68" s="296">
        <v>50.0</v>
      </c>
      <c r="I68" s="353">
        <v>0.0024423602969910123</v>
      </c>
      <c r="K68" s="296" t="str">
        <f>IFERROR(__xludf.DUMMYFUNCTION("""COMPUTED_VALUE"""),"Dead Man Bay - Treasure Map 2★ #DC4")</f>
        <v>Dead Man Bay - Treasure Map 2★ #DC4</v>
      </c>
      <c r="L68" s="370" t="str">
        <f>IFERROR(__xludf.DUMMYFUNCTION("""COMPUTED_VALUE"""),"Skull Isle - Compass 1★")</f>
        <v>Skull Isle - Compass 1★</v>
      </c>
      <c r="M68" s="369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1)=L68)))"),1.0)</f>
        <v>1</v>
      </c>
      <c r="O68" s="367" t="str">
        <f>IFERROR(__xludf.DUMMYFUNCTION("""COMPUTED_VALUE"""),"Skull Isle - Anchor 1★ #C04")</f>
        <v>Skull Isle - Anchor 1★ #C04</v>
      </c>
      <c r="P68" s="296">
        <f>IFERROR(__xludf.DUMMYFUNCTION("""COMPUTED_VALUE"""),50.0)</f>
        <v>50</v>
      </c>
      <c r="Q68" s="353">
        <f>IFERROR(__xludf.DUMMYFUNCTION("if(P68="""", """", P68/sum(filter($P$16:$P$949, $P$16:$P$949&lt;&gt;"""")))"),0.0024423602969910123)</f>
        <v>0.002442360297</v>
      </c>
    </row>
    <row r="69" ht="12.75" customHeight="1">
      <c r="A69" s="360" t="str">
        <f>AlbumConfig!B56&amp;" "&amp;AlbumConfig!E56</f>
        <v>Cannon Fort - Horn 5★</v>
      </c>
      <c r="B69" s="379">
        <f>IFERROR(__xludf.DUMMYFUNCTION("index($B$3:$B$7, right(index(split(A69, ""★""),0,1)), 0)"),2.0)</f>
        <v>2</v>
      </c>
      <c r="C69" s="379">
        <f>IFERROR(__xludf.DUMMYFUNCTION("LET(
  ct, COUNTIF(ARRAYFORMULA(RIGHT(SPLIT($A$16:$A69, ""★""), 1)), TO_TEXT(RIGHT(SPLIT(A69, ""★""), 1))),
  n, index($C$3:$C$7, right(index(split(A69, ""★""), 0, 1), 1), 0),
  total, index($D$3:$D$7, right(index(split(A69, ""★""), 0, 1), 1), 0),
  base,"&amp;" INT(total/n),
  rem, total - base*n,
  index(MAP(SEQUENCE(n), LAMBDA(i, IF(i &lt;= rem, base+1, base))), ct, 0)
)"),5.0)</f>
        <v>5</v>
      </c>
      <c r="G69" s="354" t="s">
        <v>780</v>
      </c>
      <c r="H69" s="296">
        <v>50.0</v>
      </c>
      <c r="I69" s="353">
        <v>0.0024423602969910123</v>
      </c>
      <c r="K69" s="296" t="str">
        <f>IFERROR(__xludf.DUMMYFUNCTION("""COMPUTED_VALUE"""),"Kraken Lair - Trident 1★ #B53")</f>
        <v>Kraken Lair - Trident 1★ #B53</v>
      </c>
      <c r="L69" s="370" t="str">
        <f>IFERROR(__xludf.DUMMYFUNCTION("""COMPUTED_VALUE"""),"Gold Cove - Diamond 2★")</f>
        <v>Gold Cove - Diamond 2★</v>
      </c>
      <c r="M69" s="369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1)=L69)))"),1.0)</f>
        <v>1</v>
      </c>
      <c r="O69" s="367" t="str">
        <f>IFERROR(__xludf.DUMMYFUNCTION("""COMPUTED_VALUE"""),"Skull Isle - Anchor 1★ #6B9")</f>
        <v>Skull Isle - Anchor 1★ #6B9</v>
      </c>
      <c r="P69" s="296">
        <f>IFERROR(__xludf.DUMMYFUNCTION("""COMPUTED_VALUE"""),50.0)</f>
        <v>50</v>
      </c>
      <c r="Q69" s="353">
        <f>IFERROR(__xludf.DUMMYFUNCTION("if(P69="""", """", P69/sum(filter($P$16:$P$949, $P$16:$P$949&lt;&gt;"""")))"),0.0024423602969910123)</f>
        <v>0.002442360297</v>
      </c>
    </row>
    <row r="70" ht="12.75" customHeight="1">
      <c r="A70" s="360" t="str">
        <f>AlbumConfig!B57&amp;" "&amp;AlbumConfig!E57</f>
        <v>Siren Reef - Harp 1★</v>
      </c>
      <c r="B70" s="379">
        <f>IFERROR(__xludf.DUMMYFUNCTION("index($B$3:$B$7, right(index(split(A70, ""★""),0,1)), 0)"),50.0)</f>
        <v>50</v>
      </c>
      <c r="C70" s="379">
        <f>IFERROR(__xludf.DUMMYFUNCTION("LET(
  ct, COUNTIF(ARRAYFORMULA(RIGHT(SPLIT($A$16:$A70, ""★""), 1)), TO_TEXT(RIGHT(SPLIT(A70, ""★""), 1))),
  n, index($C$3:$C$7, right(index(split(A70, ""★""), 0, 1), 1), 0),
  total, index($D$3:$D$7, right(index(split(A70, ""★""), 0, 1), 1), 0),
  base,"&amp;" INT(total/n),
  rem, total - base*n,
  index(MAP(SEQUENCE(n), LAMBDA(i, IF(i &lt;= rem, base+1, base))), ct, 0)
)"),13.0)</f>
        <v>13</v>
      </c>
      <c r="G70" s="354" t="s">
        <v>781</v>
      </c>
      <c r="H70" s="296">
        <v>50.0</v>
      </c>
      <c r="I70" s="353">
        <v>0.0024423602969910123</v>
      </c>
      <c r="K70" s="296" t="str">
        <f>IFERROR(__xludf.DUMMYFUNCTION("""COMPUTED_VALUE"""),"Skull Isle - Skull 3★ #3BB")</f>
        <v>Skull Isle - Skull 3★ #3BB</v>
      </c>
      <c r="L70" s="370" t="str">
        <f>IFERROR(__xludf.DUMMYFUNCTION("""COMPUTED_VALUE"""),"Dead Man Bay - Treasure Map 2★")</f>
        <v>Dead Man Bay - Treasure Map 2★</v>
      </c>
      <c r="M70" s="369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1)=L70)))"),1.0)</f>
        <v>1</v>
      </c>
      <c r="O70" s="367" t="str">
        <f>IFERROR(__xludf.DUMMYFUNCTION("""COMPUTED_VALUE"""),"Skull Isle - Anchor 1★ #16E")</f>
        <v>Skull Isle - Anchor 1★ #16E</v>
      </c>
      <c r="P70" s="296">
        <f>IFERROR(__xludf.DUMMYFUNCTION("""COMPUTED_VALUE"""),50.0)</f>
        <v>50</v>
      </c>
      <c r="Q70" s="353">
        <f>IFERROR(__xludf.DUMMYFUNCTION("if(P70="""", """", P70/sum(filter($P$16:$P$949, $P$16:$P$949&lt;&gt;"""")))"),0.0024423602969910123)</f>
        <v>0.002442360297</v>
      </c>
    </row>
    <row r="71" ht="12.75" customHeight="1">
      <c r="A71" s="360" t="str">
        <f>AlbumConfig!B58&amp;" "&amp;AlbumConfig!E58</f>
        <v>Siren Reef - Mirror 1★</v>
      </c>
      <c r="B71" s="379">
        <f>IFERROR(__xludf.DUMMYFUNCTION("index($B$3:$B$7, right(index(split(A71, ""★""),0,1)), 0)"),50.0)</f>
        <v>50</v>
      </c>
      <c r="C71" s="379">
        <f>IFERROR(__xludf.DUMMYFUNCTION("LET(
  ct, COUNTIF(ARRAYFORMULA(RIGHT(SPLIT($A$16:$A71, ""★""), 1)), TO_TEXT(RIGHT(SPLIT(A71, ""★""), 1))),
  n, index($C$3:$C$7, right(index(split(A71, ""★""), 0, 1), 1), 0),
  total, index($D$3:$D$7, right(index(split(A71, ""★""), 0, 1), 1), 0),
  base,"&amp;" INT(total/n),
  rem, total - base*n,
  index(MAP(SEQUENCE(n), LAMBDA(i, IF(i &lt;= rem, base+1, base))), ct, 0)
)"),13.0)</f>
        <v>13</v>
      </c>
      <c r="G71" s="354" t="s">
        <v>782</v>
      </c>
      <c r="H71" s="296">
        <v>50.0</v>
      </c>
      <c r="I71" s="353">
        <v>0.0024423602969910123</v>
      </c>
      <c r="K71" s="296"/>
      <c r="L71" s="370"/>
      <c r="M71" s="369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367" t="str">
        <f>IFERROR(__xludf.DUMMYFUNCTION("""COMPUTED_VALUE"""),"Skull Isle - Anchor 1★ #C23")</f>
        <v>Skull Isle - Anchor 1★ #C23</v>
      </c>
      <c r="P71" s="296">
        <f>IFERROR(__xludf.DUMMYFUNCTION("""COMPUTED_VALUE"""),50.0)</f>
        <v>50</v>
      </c>
      <c r="Q71" s="353">
        <f>IFERROR(__xludf.DUMMYFUNCTION("if(P71="""", """", P71/sum(filter($P$16:$P$949, $P$16:$P$949&lt;&gt;"""")))"),0.0024423602969910123)</f>
        <v>0.002442360297</v>
      </c>
    </row>
    <row r="72" ht="12.75" customHeight="1">
      <c r="A72" s="360" t="str">
        <f>AlbumConfig!B59&amp;" "&amp;AlbumConfig!E59</f>
        <v>Siren Reef - Comb 2★</v>
      </c>
      <c r="B72" s="379">
        <f>IFERROR(__xludf.DUMMYFUNCTION("index($B$3:$B$7, right(index(split(A72, ""★""),0,1)), 0)"),20.0)</f>
        <v>20</v>
      </c>
      <c r="C72" s="379">
        <f>IFERROR(__xludf.DUMMYFUNCTION("LET(
  ct, COUNTIF(ARRAYFORMULA(RIGHT(SPLIT($A$16:$A72, ""★""), 1)), TO_TEXT(RIGHT(SPLIT(A72, ""★""), 1))),
  n, index($C$3:$C$7, right(index(split(A72, ""★""), 0, 1), 1), 0),
  total, index($D$3:$D$7, right(index(split(A72, ""★""), 0, 1), 1), 0),
  base,"&amp;" INT(total/n),
  rem, total - base*n,
  index(MAP(SEQUENCE(n), LAMBDA(i, IF(i &lt;= rem, base+1, base))), ct, 0)
)"),12.0)</f>
        <v>12</v>
      </c>
      <c r="G72" s="354" t="s">
        <v>783</v>
      </c>
      <c r="H72" s="296">
        <v>20.0</v>
      </c>
      <c r="I72" s="353">
        <v>9.769441187964048E-4</v>
      </c>
      <c r="K72" s="296"/>
      <c r="L72" s="370"/>
      <c r="M72" s="369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367" t="str">
        <f>IFERROR(__xludf.DUMMYFUNCTION("""COMPUTED_VALUE"""),"Skull Isle - Helm 2★ #6D8")</f>
        <v>Skull Isle - Helm 2★ #6D8</v>
      </c>
      <c r="P72" s="296">
        <f>IFERROR(__xludf.DUMMYFUNCTION("""COMPUTED_VALUE"""),20.0)</f>
        <v>20</v>
      </c>
      <c r="Q72" s="353">
        <f>IFERROR(__xludf.DUMMYFUNCTION("if(P72="""", """", P72/sum(filter($P$16:$P$949, $P$16:$P$949&lt;&gt;"""")))"),9.769441187964048E-4)</f>
        <v>0.0009769441188</v>
      </c>
    </row>
    <row r="73" ht="12.75" customHeight="1">
      <c r="A73" s="360" t="str">
        <f>AlbumConfig!B60&amp;" "&amp;AlbumConfig!E60</f>
        <v>Siren Reef - Witch 2★</v>
      </c>
      <c r="B73" s="379">
        <f>IFERROR(__xludf.DUMMYFUNCTION("index($B$3:$B$7, right(index(split(A73, ""★""),0,1)), 0)"),20.0)</f>
        <v>20</v>
      </c>
      <c r="C73" s="379">
        <f>IFERROR(__xludf.DUMMYFUNCTION("LET(
  ct, COUNTIF(ARRAYFORMULA(RIGHT(SPLIT($A$16:$A73, ""★""), 1)), TO_TEXT(RIGHT(SPLIT(A73, ""★""), 1))),
  n, index($C$3:$C$7, right(index(split(A73, ""★""), 0, 1), 1), 0),
  total, index($D$3:$D$7, right(index(split(A73, ""★""), 0, 1), 1), 0),
  base,"&amp;" INT(total/n),
  rem, total - base*n,
  index(MAP(SEQUENCE(n), LAMBDA(i, IF(i &lt;= rem, base+1, base))), ct, 0)
)"),12.0)</f>
        <v>12</v>
      </c>
      <c r="G73" s="354" t="s">
        <v>784</v>
      </c>
      <c r="H73" s="296">
        <v>20.0</v>
      </c>
      <c r="I73" s="353">
        <v>9.769441187964048E-4</v>
      </c>
      <c r="K73" s="296"/>
      <c r="L73" s="370"/>
      <c r="M73" s="369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367" t="str">
        <f>IFERROR(__xludf.DUMMYFUNCTION("""COMPUTED_VALUE"""),"Skull Isle - Helm 2★ #18D")</f>
        <v>Skull Isle - Helm 2★ #18D</v>
      </c>
      <c r="P73" s="296">
        <f>IFERROR(__xludf.DUMMYFUNCTION("""COMPUTED_VALUE"""),20.0)</f>
        <v>20</v>
      </c>
      <c r="Q73" s="353">
        <f>IFERROR(__xludf.DUMMYFUNCTION("if(P73="""", """", P73/sum(filter($P$16:$P$949, $P$16:$P$949&lt;&gt;"""")))"),9.769441187964048E-4)</f>
        <v>0.0009769441188</v>
      </c>
    </row>
    <row r="74" ht="12.75" customHeight="1">
      <c r="A74" s="360" t="str">
        <f>AlbumConfig!B61&amp;" "&amp;AlbumConfig!E61</f>
        <v>Siren Reef - Starfish 3★</v>
      </c>
      <c r="B74" s="379">
        <f>IFERROR(__xludf.DUMMYFUNCTION("index($B$3:$B$7, right(index(split(A74, ""★""),0,1)), 0)"),10.0)</f>
        <v>10</v>
      </c>
      <c r="C74" s="379">
        <f>IFERROR(__xludf.DUMMYFUNCTION("LET(
  ct, COUNTIF(ARRAYFORMULA(RIGHT(SPLIT($A$16:$A74, ""★""), 1)), TO_TEXT(RIGHT(SPLIT(A74, ""★""), 1))),
  n, index($C$3:$C$7, right(index(split(A74, ""★""), 0, 1), 1), 0),
  total, index($D$3:$D$7, right(index(split(A74, ""★""), 0, 1), 1), 0),
  base,"&amp;" INT(total/n),
  rem, total - base*n,
  index(MAP(SEQUENCE(n), LAMBDA(i, IF(i &lt;= rem, base+1, base))), ct, 0)
)"),13.0)</f>
        <v>13</v>
      </c>
      <c r="G74" s="354" t="s">
        <v>785</v>
      </c>
      <c r="H74" s="296">
        <v>20.0</v>
      </c>
      <c r="I74" s="353">
        <v>9.769441187964048E-4</v>
      </c>
      <c r="K74" s="296"/>
      <c r="L74" s="370"/>
      <c r="M74" s="369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367" t="str">
        <f>IFERROR(__xludf.DUMMYFUNCTION("""COMPUTED_VALUE"""),"Skull Isle - Helm 2★ #C42")</f>
        <v>Skull Isle - Helm 2★ #C42</v>
      </c>
      <c r="P74" s="296">
        <f>IFERROR(__xludf.DUMMYFUNCTION("""COMPUTED_VALUE"""),20.0)</f>
        <v>20</v>
      </c>
      <c r="Q74" s="353">
        <f>IFERROR(__xludf.DUMMYFUNCTION("if(P74="""", """", P74/sum(filter($P$16:$P$949, $P$16:$P$949&lt;&gt;"""")))"),9.769441187964048E-4)</f>
        <v>0.0009769441188</v>
      </c>
    </row>
    <row r="75" ht="12.75" customHeight="1">
      <c r="A75" s="360" t="str">
        <f>AlbumConfig!B62&amp;" "&amp;AlbumConfig!E62</f>
        <v>Siren Reef - Moonstone 4★</v>
      </c>
      <c r="B75" s="379">
        <f>IFERROR(__xludf.DUMMYFUNCTION("index($B$3:$B$7, right(index(split(A75, ""★""),0,1)), 0)"),5.0)</f>
        <v>5</v>
      </c>
      <c r="C75" s="379">
        <f>IFERROR(__xludf.DUMMYFUNCTION("LET(
  ct, COUNTIF(ARRAYFORMULA(RIGHT(SPLIT($A$16:$A75, ""★""), 1)), TO_TEXT(RIGHT(SPLIT(A75, ""★""), 1))),
  n, index($C$3:$C$7, right(index(split(A75, ""★""), 0, 1), 1), 0),
  total, index($D$3:$D$7, right(index(split(A75, ""★""), 0, 1), 1), 0),
  base,"&amp;" INT(total/n),
  rem, total - base*n,
  index(MAP(SEQUENCE(n), LAMBDA(i, IF(i &lt;= rem, base+1, base))), ct, 0)
)"),11.0)</f>
        <v>11</v>
      </c>
      <c r="G75" s="354" t="s">
        <v>786</v>
      </c>
      <c r="H75" s="296">
        <v>20.0</v>
      </c>
      <c r="I75" s="353">
        <v>9.769441187964048E-4</v>
      </c>
      <c r="K75" s="296"/>
      <c r="L75" s="370"/>
      <c r="M75" s="369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367" t="str">
        <f>IFERROR(__xludf.DUMMYFUNCTION("""COMPUTED_VALUE"""),"Skull Isle - Helm 2★ #6F7")</f>
        <v>Skull Isle - Helm 2★ #6F7</v>
      </c>
      <c r="P75" s="296">
        <f>IFERROR(__xludf.DUMMYFUNCTION("""COMPUTED_VALUE"""),20.0)</f>
        <v>20</v>
      </c>
      <c r="Q75" s="353">
        <f>IFERROR(__xludf.DUMMYFUNCTION("if(P75="""", """", P75/sum(filter($P$16:$P$949, $P$16:$P$949&lt;&gt;"""")))"),9.769441187964048E-4)</f>
        <v>0.0009769441188</v>
      </c>
    </row>
    <row r="76" ht="12.75" customHeight="1">
      <c r="A76" s="360" t="str">
        <f>AlbumConfig!B63&amp;" "&amp;AlbumConfig!E63</f>
        <v>Siren Reef - Wave 5★</v>
      </c>
      <c r="B76" s="379">
        <f>IFERROR(__xludf.DUMMYFUNCTION("index($B$3:$B$7, right(index(split(A76, ""★""),0,1)), 0)"),2.0)</f>
        <v>2</v>
      </c>
      <c r="C76" s="379">
        <f>IFERROR(__xludf.DUMMYFUNCTION("LET(
  ct, COUNTIF(ARRAYFORMULA(RIGHT(SPLIT($A$16:$A76, ""★""), 1)), TO_TEXT(RIGHT(SPLIT(A76, ""★""), 1))),
  n, index($C$3:$C$7, right(index(split(A76, ""★""), 0, 1), 1), 0),
  total, index($D$3:$D$7, right(index(split(A76, ""★""), 0, 1), 1), 0),
  base,"&amp;" INT(total/n),
  rem, total - base*n,
  index(MAP(SEQUENCE(n), LAMBDA(i, IF(i &lt;= rem, base+1, base))), ct, 0)
)"),5.0)</f>
        <v>5</v>
      </c>
      <c r="G76" s="354" t="s">
        <v>787</v>
      </c>
      <c r="H76" s="296">
        <v>20.0</v>
      </c>
      <c r="I76" s="353">
        <v>9.769441187964048E-4</v>
      </c>
      <c r="K76" s="296"/>
      <c r="L76" s="370"/>
      <c r="M76" s="369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367" t="str">
        <f>IFERROR(__xludf.DUMMYFUNCTION("""COMPUTED_VALUE"""),"Skull Isle - Helm 2★ #1AC")</f>
        <v>Skull Isle - Helm 2★ #1AC</v>
      </c>
      <c r="P76" s="296">
        <f>IFERROR(__xludf.DUMMYFUNCTION("""COMPUTED_VALUE"""),20.0)</f>
        <v>20</v>
      </c>
      <c r="Q76" s="353">
        <f>IFERROR(__xludf.DUMMYFUNCTION("if(P76="""", """", P76/sum(filter($P$16:$P$949, $P$16:$P$949&lt;&gt;"""")))"),9.769441187964048E-4)</f>
        <v>0.0009769441188</v>
      </c>
    </row>
    <row r="77" ht="12.75" customHeight="1">
      <c r="A77" s="360" t="str">
        <f>AlbumConfig!B64&amp;" "&amp;AlbumConfig!E64</f>
        <v>Siren Reef - Driftwood 5★</v>
      </c>
      <c r="B77" s="379">
        <f>IFERROR(__xludf.DUMMYFUNCTION("index($B$3:$B$7, right(index(split(A77, ""★""),0,1)), 0)"),2.0)</f>
        <v>2</v>
      </c>
      <c r="C77" s="379">
        <f>IFERROR(__xludf.DUMMYFUNCTION("LET(
  ct, COUNTIF(ARRAYFORMULA(RIGHT(SPLIT($A$16:$A77, ""★""), 1)), TO_TEXT(RIGHT(SPLIT(A77, ""★""), 1))),
  n, index($C$3:$C$7, right(index(split(A77, ""★""), 0, 1), 1), 0),
  total, index($D$3:$D$7, right(index(split(A77, ""★""), 0, 1), 1), 0),
  base,"&amp;" INT(total/n),
  rem, total - base*n,
  index(MAP(SEQUENCE(n), LAMBDA(i, IF(i &lt;= rem, base+1, base))), ct, 0)
)"),5.0)</f>
        <v>5</v>
      </c>
      <c r="G77" s="354" t="s">
        <v>788</v>
      </c>
      <c r="H77" s="296">
        <v>20.0</v>
      </c>
      <c r="I77" s="353">
        <v>9.769441187964048E-4</v>
      </c>
      <c r="K77" s="296"/>
      <c r="L77" s="370"/>
      <c r="M77" s="369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367" t="str">
        <f>IFERROR(__xludf.DUMMYFUNCTION("""COMPUTED_VALUE"""),"Skull Isle - Helm 2★ #C61")</f>
        <v>Skull Isle - Helm 2★ #C61</v>
      </c>
      <c r="P77" s="296">
        <f>IFERROR(__xludf.DUMMYFUNCTION("""COMPUTED_VALUE"""),20.0)</f>
        <v>20</v>
      </c>
      <c r="Q77" s="353">
        <f>IFERROR(__xludf.DUMMYFUNCTION("if(P77="""", """", P77/sum(filter($P$16:$P$949, $P$16:$P$949&lt;&gt;"""")))"),9.769441187964048E-4)</f>
        <v>0.0009769441188</v>
      </c>
    </row>
    <row r="78" ht="12.75" customHeight="1">
      <c r="A78" s="360" t="str">
        <f>AlbumConfig!B65&amp;" "&amp;AlbumConfig!E65</f>
        <v>Siren Reef - Conch 5★</v>
      </c>
      <c r="B78" s="379">
        <f>IFERROR(__xludf.DUMMYFUNCTION("index($B$3:$B$7, right(index(split(A78, ""★""),0,1)), 0)"),2.0)</f>
        <v>2</v>
      </c>
      <c r="C78" s="379">
        <f>IFERROR(__xludf.DUMMYFUNCTION("LET(
  ct, COUNTIF(ARRAYFORMULA(RIGHT(SPLIT($A$16:$A78, ""★""), 1)), TO_TEXT(RIGHT(SPLIT(A78, ""★""), 1))),
  n, index($C$3:$C$7, right(index(split(A78, ""★""), 0, 1), 1), 0),
  total, index($D$3:$D$7, right(index(split(A78, ""★""), 0, 1), 1), 0),
  base,"&amp;" INT(total/n),
  rem, total - base*n,
  index(MAP(SEQUENCE(n), LAMBDA(i, IF(i &lt;= rem, base+1, base))), ct, 0)
)"),5.0)</f>
        <v>5</v>
      </c>
      <c r="G78" s="354" t="s">
        <v>789</v>
      </c>
      <c r="H78" s="296">
        <v>20.0</v>
      </c>
      <c r="I78" s="353">
        <v>9.769441187964048E-4</v>
      </c>
      <c r="K78" s="296"/>
      <c r="L78" s="370"/>
      <c r="M78" s="369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367" t="str">
        <f>IFERROR(__xludf.DUMMYFUNCTION("""COMPUTED_VALUE"""),"Skull Isle - Helm 2★ #716")</f>
        <v>Skull Isle - Helm 2★ #716</v>
      </c>
      <c r="P78" s="296">
        <f>IFERROR(__xludf.DUMMYFUNCTION("""COMPUTED_VALUE"""),20.0)</f>
        <v>20</v>
      </c>
      <c r="Q78" s="353">
        <f>IFERROR(__xludf.DUMMYFUNCTION("if(P78="""", """", P78/sum(filter($P$16:$P$949, $P$16:$P$949&lt;&gt;"""")))"),9.769441187964048E-4)</f>
        <v>0.0009769441188</v>
      </c>
    </row>
    <row r="79" ht="12.75" customHeight="1">
      <c r="A79" s="360" t="str">
        <f>AlbumConfig!B66&amp;" "&amp;AlbumConfig!E66</f>
        <v>Dead Man Bay - Pistol 1★</v>
      </c>
      <c r="B79" s="379">
        <f>IFERROR(__xludf.DUMMYFUNCTION("index($B$3:$B$7, right(index(split(A79, ""★""),0,1)), 0)"),50.0)</f>
        <v>50</v>
      </c>
      <c r="C79" s="379">
        <f>IFERROR(__xludf.DUMMYFUNCTION("LET(
  ct, COUNTIF(ARRAYFORMULA(RIGHT(SPLIT($A$16:$A79, ""★""), 1)), TO_TEXT(RIGHT(SPLIT(A79, ""★""), 1))),
  n, index($C$3:$C$7, right(index(split(A79, ""★""), 0, 1), 1), 0),
  total, index($D$3:$D$7, right(index(split(A79, ""★""), 0, 1), 1), 0),
  base,"&amp;" INT(total/n),
  rem, total - base*n,
  index(MAP(SEQUENCE(n), LAMBDA(i, IF(i &lt;= rem, base+1, base))), ct, 0)
)"),13.0)</f>
        <v>13</v>
      </c>
      <c r="G79" s="354" t="s">
        <v>790</v>
      </c>
      <c r="H79" s="296">
        <v>20.0</v>
      </c>
      <c r="I79" s="353">
        <v>9.769441187964048E-4</v>
      </c>
      <c r="K79" s="296"/>
      <c r="L79" s="370"/>
      <c r="M79" s="369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367" t="str">
        <f>IFERROR(__xludf.DUMMYFUNCTION("""COMPUTED_VALUE"""),"Skull Isle - Helm 2★ #1CB")</f>
        <v>Skull Isle - Helm 2★ #1CB</v>
      </c>
      <c r="P79" s="296">
        <f>IFERROR(__xludf.DUMMYFUNCTION("""COMPUTED_VALUE"""),20.0)</f>
        <v>20</v>
      </c>
      <c r="Q79" s="353">
        <f>IFERROR(__xludf.DUMMYFUNCTION("if(P79="""", """", P79/sum(filter($P$16:$P$949, $P$16:$P$949&lt;&gt;"""")))"),9.769441187964048E-4)</f>
        <v>0.0009769441188</v>
      </c>
    </row>
    <row r="80" ht="12.75" customHeight="1">
      <c r="A80" s="360" t="str">
        <f>AlbumConfig!B67&amp;" "&amp;AlbumConfig!E67</f>
        <v>Dead Man Bay - Rum 1★</v>
      </c>
      <c r="B80" s="379">
        <f>IFERROR(__xludf.DUMMYFUNCTION("index($B$3:$B$7, right(index(split(A80, ""★""),0,1)), 0)"),50.0)</f>
        <v>50</v>
      </c>
      <c r="C80" s="379">
        <f>IFERROR(__xludf.DUMMYFUNCTION("LET(
  ct, COUNTIF(ARRAYFORMULA(RIGHT(SPLIT($A$16:$A80, ""★""), 1)), TO_TEXT(RIGHT(SPLIT(A80, ""★""), 1))),
  n, index($C$3:$C$7, right(index(split(A80, ""★""), 0, 1), 1), 0),
  total, index($D$3:$D$7, right(index(split(A80, ""★""), 0, 1), 1), 0),
  base,"&amp;" INT(total/n),
  rem, total - base*n,
  index(MAP(SEQUENCE(n), LAMBDA(i, IF(i &lt;= rem, base+1, base))), ct, 0)
)"),13.0)</f>
        <v>13</v>
      </c>
      <c r="G80" s="354" t="s">
        <v>791</v>
      </c>
      <c r="H80" s="296">
        <v>20.0</v>
      </c>
      <c r="I80" s="353">
        <v>9.769441187964048E-4</v>
      </c>
      <c r="K80" s="296"/>
      <c r="L80" s="370"/>
      <c r="M80" s="369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367" t="str">
        <f>IFERROR(__xludf.DUMMYFUNCTION("""COMPUTED_VALUE"""),"Skull Isle - Helm 2★ #C80")</f>
        <v>Skull Isle - Helm 2★ #C80</v>
      </c>
      <c r="P80" s="296">
        <f>IFERROR(__xludf.DUMMYFUNCTION("""COMPUTED_VALUE"""),20.0)</f>
        <v>20</v>
      </c>
      <c r="Q80" s="353">
        <f>IFERROR(__xludf.DUMMYFUNCTION("if(P80="""", """", P80/sum(filter($P$16:$P$949, $P$16:$P$949&lt;&gt;"""")))"),9.769441187964048E-4)</f>
        <v>0.0009769441188</v>
      </c>
    </row>
    <row r="81" ht="12.75" customHeight="1">
      <c r="A81" s="360" t="str">
        <f>AlbumConfig!B68&amp;" "&amp;AlbumConfig!E68</f>
        <v>Dead Man Bay - Treasure Map 2★</v>
      </c>
      <c r="B81" s="379">
        <f>IFERROR(__xludf.DUMMYFUNCTION("index($B$3:$B$7, right(index(split(A81, ""★""),0,1)), 0)"),20.0)</f>
        <v>20</v>
      </c>
      <c r="C81" s="379">
        <f>IFERROR(__xludf.DUMMYFUNCTION("LET(
  ct, COUNTIF(ARRAYFORMULA(RIGHT(SPLIT($A$16:$A81, ""★""), 1)), TO_TEXT(RIGHT(SPLIT(A81, ""★""), 1))),
  n, index($C$3:$C$7, right(index(split(A81, ""★""), 0, 1), 1), 0),
  total, index($D$3:$D$7, right(index(split(A81, ""★""), 0, 1), 1), 0),
  base,"&amp;" INT(total/n),
  rem, total - base*n,
  index(MAP(SEQUENCE(n), LAMBDA(i, IF(i &lt;= rem, base+1, base))), ct, 0)
)"),12.0)</f>
        <v>12</v>
      </c>
      <c r="G81" s="354" t="s">
        <v>792</v>
      </c>
      <c r="H81" s="296">
        <v>20.0</v>
      </c>
      <c r="I81" s="353">
        <v>9.769441187964048E-4</v>
      </c>
      <c r="K81" s="296"/>
      <c r="L81" s="370"/>
      <c r="M81" s="369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367" t="str">
        <f>IFERROR(__xludf.DUMMYFUNCTION("""COMPUTED_VALUE"""),"Skull Isle - Helm 2★ #735")</f>
        <v>Skull Isle - Helm 2★ #735</v>
      </c>
      <c r="P81" s="296">
        <f>IFERROR(__xludf.DUMMYFUNCTION("""COMPUTED_VALUE"""),20.0)</f>
        <v>20</v>
      </c>
      <c r="Q81" s="353">
        <f>IFERROR(__xludf.DUMMYFUNCTION("if(P81="""", """", P81/sum(filter($P$16:$P$949, $P$16:$P$949&lt;&gt;"""")))"),9.769441187964048E-4)</f>
        <v>0.0009769441188</v>
      </c>
    </row>
    <row r="82" ht="12.75" customHeight="1">
      <c r="A82" s="360" t="str">
        <f>AlbumConfig!B69&amp;" "&amp;AlbumConfig!E69</f>
        <v>Dead Man Bay - Jolly Roger 2★</v>
      </c>
      <c r="B82" s="379">
        <f>IFERROR(__xludf.DUMMYFUNCTION("index($B$3:$B$7, right(index(split(A82, ""★""),0,1)), 0)"),20.0)</f>
        <v>20</v>
      </c>
      <c r="C82" s="379">
        <f>IFERROR(__xludf.DUMMYFUNCTION("LET(
  ct, COUNTIF(ARRAYFORMULA(RIGHT(SPLIT($A$16:$A82, ""★""), 1)), TO_TEXT(RIGHT(SPLIT(A82, ""★""), 1))),
  n, index($C$3:$C$7, right(index(split(A82, ""★""), 0, 1), 1), 0),
  total, index($D$3:$D$7, right(index(split(A82, ""★""), 0, 1), 1), 0),
  base,"&amp;" INT(total/n),
  rem, total - base*n,
  index(MAP(SEQUENCE(n), LAMBDA(i, IF(i &lt;= rem, base+1, base))), ct, 0)
)"),12.0)</f>
        <v>12</v>
      </c>
      <c r="G82" s="354" t="s">
        <v>793</v>
      </c>
      <c r="H82" s="296">
        <v>20.0</v>
      </c>
      <c r="I82" s="353">
        <v>9.769441187964048E-4</v>
      </c>
      <c r="K82" s="296"/>
      <c r="L82" s="370"/>
      <c r="M82" s="369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367" t="str">
        <f>IFERROR(__xludf.DUMMYFUNCTION("""COMPUTED_VALUE"""),"Skull Isle - Helm 2★ #1EA")</f>
        <v>Skull Isle - Helm 2★ #1EA</v>
      </c>
      <c r="P82" s="296">
        <f>IFERROR(__xludf.DUMMYFUNCTION("""COMPUTED_VALUE"""),20.0)</f>
        <v>20</v>
      </c>
      <c r="Q82" s="353">
        <f>IFERROR(__xludf.DUMMYFUNCTION("if(P82="""", """", P82/sum(filter($P$16:$P$949, $P$16:$P$949&lt;&gt;"""")))"),9.769441187964048E-4)</f>
        <v>0.0009769441188</v>
      </c>
    </row>
    <row r="83" ht="12.75" customHeight="1">
      <c r="A83" s="360" t="str">
        <f>AlbumConfig!B70&amp;" "&amp;AlbumConfig!E70</f>
        <v>Dead Man Bay - Gold Tooth 3★</v>
      </c>
      <c r="B83" s="379">
        <f>IFERROR(__xludf.DUMMYFUNCTION("index($B$3:$B$7, right(index(split(A83, ""★""),0,1)), 0)"),10.0)</f>
        <v>10</v>
      </c>
      <c r="C83" s="379">
        <f>IFERROR(__xludf.DUMMYFUNCTION("LET(
  ct, COUNTIF(ARRAYFORMULA(RIGHT(SPLIT($A$16:$A83, ""★""), 1)), TO_TEXT(RIGHT(SPLIT(A83, ""★""), 1))),
  n, index($C$3:$C$7, right(index(split(A83, ""★""), 0, 1), 1), 0),
  total, index($D$3:$D$7, right(index(split(A83, ""★""), 0, 1), 1), 0),
  base,"&amp;" INT(total/n),
  rem, total - base*n,
  index(MAP(SEQUENCE(n), LAMBDA(i, IF(i &lt;= rem, base+1, base))), ct, 0)
)"),13.0)</f>
        <v>13</v>
      </c>
      <c r="G83" s="354" t="s">
        <v>794</v>
      </c>
      <c r="H83" s="296">
        <v>20.0</v>
      </c>
      <c r="I83" s="353">
        <v>9.769441187964048E-4</v>
      </c>
      <c r="K83" s="296"/>
      <c r="L83" s="370"/>
      <c r="M83" s="369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367" t="str">
        <f>IFERROR(__xludf.DUMMYFUNCTION("""COMPUTED_VALUE"""),"Skull Isle - Helm 2★ #C9F")</f>
        <v>Skull Isle - Helm 2★ #C9F</v>
      </c>
      <c r="P83" s="296">
        <f>IFERROR(__xludf.DUMMYFUNCTION("""COMPUTED_VALUE"""),20.0)</f>
        <v>20</v>
      </c>
      <c r="Q83" s="353">
        <f>IFERROR(__xludf.DUMMYFUNCTION("if(P83="""", """", P83/sum(filter($P$16:$P$949, $P$16:$P$949&lt;&gt;"""")))"),9.769441187964048E-4)</f>
        <v>0.0009769441188</v>
      </c>
    </row>
    <row r="84" ht="12.75" customHeight="1">
      <c r="A84" s="360" t="str">
        <f>AlbumConfig!B71&amp;" "&amp;AlbumConfig!E71</f>
        <v>Dead Man Bay - Dagger 4★</v>
      </c>
      <c r="B84" s="379">
        <f>IFERROR(__xludf.DUMMYFUNCTION("index($B$3:$B$7, right(index(split(A84, ""★""),0,1)), 0)"),5.0)</f>
        <v>5</v>
      </c>
      <c r="C84" s="379">
        <f>IFERROR(__xludf.DUMMYFUNCTION("LET(
  ct, COUNTIF(ARRAYFORMULA(RIGHT(SPLIT($A$16:$A84, ""★""), 1)), TO_TEXT(RIGHT(SPLIT(A84, ""★""), 1))),
  n, index($C$3:$C$7, right(index(split(A84, ""★""), 0, 1), 1), 0),
  total, index($D$3:$D$7, right(index(split(A84, ""★""), 0, 1), 1), 0),
  base,"&amp;" INT(total/n),
  rem, total - base*n,
  index(MAP(SEQUENCE(n), LAMBDA(i, IF(i &lt;= rem, base+1, base))), ct, 0)
)"),11.0)</f>
        <v>11</v>
      </c>
      <c r="G84" s="354" t="s">
        <v>795</v>
      </c>
      <c r="H84" s="296">
        <v>20.0</v>
      </c>
      <c r="I84" s="353">
        <v>9.769441187964048E-4</v>
      </c>
      <c r="K84" s="296"/>
      <c r="L84" s="370"/>
      <c r="M84" s="369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367" t="str">
        <f>IFERROR(__xludf.DUMMYFUNCTION("""COMPUTED_VALUE"""),"Skull Isle - Helm 2★ #754")</f>
        <v>Skull Isle - Helm 2★ #754</v>
      </c>
      <c r="P84" s="296">
        <f>IFERROR(__xludf.DUMMYFUNCTION("""COMPUTED_VALUE"""),20.0)</f>
        <v>20</v>
      </c>
      <c r="Q84" s="353">
        <f>IFERROR(__xludf.DUMMYFUNCTION("if(P84="""", """", P84/sum(filter($P$16:$P$949, $P$16:$P$949&lt;&gt;"""")))"),9.769441187964048E-4)</f>
        <v>0.0009769441188</v>
      </c>
    </row>
    <row r="85" ht="12.75" customHeight="1">
      <c r="A85" s="360" t="str">
        <f>AlbumConfig!B72&amp;" "&amp;AlbumConfig!E72</f>
        <v>Dead Man Bay - Bandana 5★</v>
      </c>
      <c r="B85" s="379">
        <f>IFERROR(__xludf.DUMMYFUNCTION("index($B$3:$B$7, right(index(split(A85, ""★""),0,1)), 0)"),2.0)</f>
        <v>2</v>
      </c>
      <c r="C85" s="379">
        <f>IFERROR(__xludf.DUMMYFUNCTION("LET(
  ct, COUNTIF(ARRAYFORMULA(RIGHT(SPLIT($A$16:$A85, ""★""), 1)), TO_TEXT(RIGHT(SPLIT(A85, ""★""), 1))),
  n, index($C$3:$C$7, right(index(split(A85, ""★""), 0, 1), 1), 0),
  total, index($D$3:$D$7, right(index(split(A85, ""★""), 0, 1), 1), 0),
  base,"&amp;" INT(total/n),
  rem, total - base*n,
  index(MAP(SEQUENCE(n), LAMBDA(i, IF(i &lt;= rem, base+1, base))), ct, 0)
)"),5.0)</f>
        <v>5</v>
      </c>
      <c r="G85" s="354" t="s">
        <v>796</v>
      </c>
      <c r="H85" s="296">
        <v>20.0</v>
      </c>
      <c r="I85" s="353">
        <v>9.769441187964048E-4</v>
      </c>
      <c r="K85" s="296"/>
      <c r="L85" s="370"/>
      <c r="M85" s="369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367" t="str">
        <f>IFERROR(__xludf.DUMMYFUNCTION("""COMPUTED_VALUE"""),"Skull Isle - Cutlass 2★ #209")</f>
        <v>Skull Isle - Cutlass 2★ #209</v>
      </c>
      <c r="P85" s="296">
        <f>IFERROR(__xludf.DUMMYFUNCTION("""COMPUTED_VALUE"""),20.0)</f>
        <v>20</v>
      </c>
      <c r="Q85" s="353">
        <f>IFERROR(__xludf.DUMMYFUNCTION("if(P85="""", """", P85/sum(filter($P$16:$P$949, $P$16:$P$949&lt;&gt;"""")))"),9.769441187964048E-4)</f>
        <v>0.0009769441188</v>
      </c>
    </row>
    <row r="86" ht="12.75" customHeight="1">
      <c r="A86" s="360" t="str">
        <f>AlbumConfig!B73&amp;" "&amp;AlbumConfig!E73</f>
        <v>Dead Man Bay - Boots 5★</v>
      </c>
      <c r="B86" s="379">
        <f>IFERROR(__xludf.DUMMYFUNCTION("index($B$3:$B$7, right(index(split(A86, ""★""),0,1)), 0)"),2.0)</f>
        <v>2</v>
      </c>
      <c r="C86" s="379">
        <f>IFERROR(__xludf.DUMMYFUNCTION("LET(
  ct, COUNTIF(ARRAYFORMULA(RIGHT(SPLIT($A$16:$A86, ""★""), 1)), TO_TEXT(RIGHT(SPLIT(A86, ""★""), 1))),
  n, index($C$3:$C$7, right(index(split(A86, ""★""), 0, 1), 1), 0),
  total, index($D$3:$D$7, right(index(split(A86, ""★""), 0, 1), 1), 0),
  base,"&amp;" INT(total/n),
  rem, total - base*n,
  index(MAP(SEQUENCE(n), LAMBDA(i, IF(i &lt;= rem, base+1, base))), ct, 0)
)"),5.0)</f>
        <v>5</v>
      </c>
      <c r="G86" s="354" t="s">
        <v>797</v>
      </c>
      <c r="H86" s="296">
        <v>20.0</v>
      </c>
      <c r="I86" s="353">
        <v>9.769441187964048E-4</v>
      </c>
      <c r="K86" s="296"/>
      <c r="L86" s="370"/>
      <c r="M86" s="369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367" t="str">
        <f>IFERROR(__xludf.DUMMYFUNCTION("""COMPUTED_VALUE"""),"Skull Isle - Cutlass 2★ #CBE")</f>
        <v>Skull Isle - Cutlass 2★ #CBE</v>
      </c>
      <c r="P86" s="296">
        <f>IFERROR(__xludf.DUMMYFUNCTION("""COMPUTED_VALUE"""),20.0)</f>
        <v>20</v>
      </c>
      <c r="Q86" s="353">
        <f>IFERROR(__xludf.DUMMYFUNCTION("if(P86="""", """", P86/sum(filter($P$16:$P$949, $P$16:$P$949&lt;&gt;"""")))"),9.769441187964048E-4)</f>
        <v>0.0009769441188</v>
      </c>
    </row>
    <row r="87" ht="12.75" customHeight="1">
      <c r="A87" s="360" t="str">
        <f>AlbumConfig!B74&amp;" "&amp;AlbumConfig!E74</f>
        <v>Dead Man Bay - Beard 5★</v>
      </c>
      <c r="B87" s="379">
        <f>IFERROR(__xludf.DUMMYFUNCTION("index($B$3:$B$7, right(index(split(A87, ""★""),0,1)), 0)"),2.0)</f>
        <v>2</v>
      </c>
      <c r="C87" s="379">
        <f>IFERROR(__xludf.DUMMYFUNCTION("LET(
  ct, COUNTIF(ARRAYFORMULA(RIGHT(SPLIT($A$16:$A87, ""★""), 1)), TO_TEXT(RIGHT(SPLIT(A87, ""★""), 1))),
  n, index($C$3:$C$7, right(index(split(A87, ""★""), 0, 1), 1), 0),
  total, index($D$3:$D$7, right(index(split(A87, ""★""), 0, 1), 1), 0),
  base,"&amp;" INT(total/n),
  rem, total - base*n,
  index(MAP(SEQUENCE(n), LAMBDA(i, IF(i &lt;= rem, base+1, base))), ct, 0)
)"),5.0)</f>
        <v>5</v>
      </c>
      <c r="G87" s="354" t="s">
        <v>798</v>
      </c>
      <c r="H87" s="296">
        <v>20.0</v>
      </c>
      <c r="I87" s="353">
        <v>9.769441187964048E-4</v>
      </c>
      <c r="K87" s="296"/>
      <c r="L87" s="370"/>
      <c r="M87" s="369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367" t="str">
        <f>IFERROR(__xludf.DUMMYFUNCTION("""COMPUTED_VALUE"""),"Skull Isle - Cutlass 2★ #773")</f>
        <v>Skull Isle - Cutlass 2★ #773</v>
      </c>
      <c r="P87" s="296">
        <f>IFERROR(__xludf.DUMMYFUNCTION("""COMPUTED_VALUE"""),20.0)</f>
        <v>20</v>
      </c>
      <c r="Q87" s="353">
        <f>IFERROR(__xludf.DUMMYFUNCTION("if(P87="""", """", P87/sum(filter($P$16:$P$949, $P$16:$P$949&lt;&gt;"""")))"),9.769441187964048E-4)</f>
        <v>0.0009769441188</v>
      </c>
    </row>
    <row r="88" ht="12.75" customHeight="1">
      <c r="A88" s="360" t="str">
        <f>AlbumConfig!B75&amp;" "&amp;AlbumConfig!E75</f>
        <v> </v>
      </c>
      <c r="G88" s="354" t="s">
        <v>799</v>
      </c>
      <c r="H88" s="296">
        <v>20.0</v>
      </c>
      <c r="I88" s="353">
        <v>9.769441187964048E-4</v>
      </c>
      <c r="K88" s="296"/>
      <c r="L88" s="370"/>
      <c r="M88" s="369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367" t="str">
        <f>IFERROR(__xludf.DUMMYFUNCTION("""COMPUTED_VALUE"""),"Skull Isle - Cutlass 2★ #228")</f>
        <v>Skull Isle - Cutlass 2★ #228</v>
      </c>
      <c r="P88" s="296">
        <f>IFERROR(__xludf.DUMMYFUNCTION("""COMPUTED_VALUE"""),20.0)</f>
        <v>20</v>
      </c>
      <c r="Q88" s="353">
        <f>IFERROR(__xludf.DUMMYFUNCTION("if(P88="""", """", P88/sum(filter($P$16:$P$949, $P$16:$P$949&lt;&gt;"""")))"),9.769441187964048E-4)</f>
        <v>0.0009769441188</v>
      </c>
    </row>
    <row r="89" ht="12.75" customHeight="1">
      <c r="A89" s="360" t="str">
        <f>AlbumConfig!B76&amp;" "&amp;AlbumConfig!E76</f>
        <v> </v>
      </c>
      <c r="G89" s="354" t="s">
        <v>800</v>
      </c>
      <c r="H89" s="296">
        <v>20.0</v>
      </c>
      <c r="I89" s="353">
        <v>9.769441187964048E-4</v>
      </c>
      <c r="K89" s="296"/>
      <c r="L89" s="370"/>
      <c r="M89" s="369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367" t="str">
        <f>IFERROR(__xludf.DUMMYFUNCTION("""COMPUTED_VALUE"""),"Skull Isle - Cutlass 2★ #CDD")</f>
        <v>Skull Isle - Cutlass 2★ #CDD</v>
      </c>
      <c r="P89" s="296">
        <f>IFERROR(__xludf.DUMMYFUNCTION("""COMPUTED_VALUE"""),20.0)</f>
        <v>20</v>
      </c>
      <c r="Q89" s="353">
        <f>IFERROR(__xludf.DUMMYFUNCTION("if(P89="""", """", P89/sum(filter($P$16:$P$949, $P$16:$P$949&lt;&gt;"""")))"),9.769441187964048E-4)</f>
        <v>0.0009769441188</v>
      </c>
    </row>
    <row r="90" ht="12.75" customHeight="1">
      <c r="A90" s="360" t="str">
        <f>AlbumConfig!B77&amp;" "&amp;AlbumConfig!E77</f>
        <v> </v>
      </c>
      <c r="G90" s="354" t="s">
        <v>801</v>
      </c>
      <c r="H90" s="296">
        <v>20.0</v>
      </c>
      <c r="I90" s="353">
        <v>9.769441187964048E-4</v>
      </c>
      <c r="K90" s="296"/>
      <c r="L90" s="370"/>
      <c r="M90" s="369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367" t="str">
        <f>IFERROR(__xludf.DUMMYFUNCTION("""COMPUTED_VALUE"""),"Skull Isle - Cutlass 2★ #792")</f>
        <v>Skull Isle - Cutlass 2★ #792</v>
      </c>
      <c r="P90" s="296">
        <f>IFERROR(__xludf.DUMMYFUNCTION("""COMPUTED_VALUE"""),20.0)</f>
        <v>20</v>
      </c>
      <c r="Q90" s="353">
        <f>IFERROR(__xludf.DUMMYFUNCTION("if(P90="""", """", P90/sum(filter($P$16:$P$949, $P$16:$P$949&lt;&gt;"""")))"),9.769441187964048E-4)</f>
        <v>0.0009769441188</v>
      </c>
    </row>
    <row r="91" ht="12.75" customHeight="1">
      <c r="A91" s="360"/>
      <c r="G91" s="354" t="s">
        <v>802</v>
      </c>
      <c r="H91" s="296">
        <v>20.0</v>
      </c>
      <c r="I91" s="353">
        <v>9.769441187964048E-4</v>
      </c>
      <c r="K91" s="296"/>
      <c r="L91" s="370"/>
      <c r="M91" s="369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367" t="str">
        <f>IFERROR(__xludf.DUMMYFUNCTION("""COMPUTED_VALUE"""),"Skull Isle - Cutlass 2★ #247")</f>
        <v>Skull Isle - Cutlass 2★ #247</v>
      </c>
      <c r="P91" s="296">
        <f>IFERROR(__xludf.DUMMYFUNCTION("""COMPUTED_VALUE"""),20.0)</f>
        <v>20</v>
      </c>
      <c r="Q91" s="353">
        <f>IFERROR(__xludf.DUMMYFUNCTION("if(P91="""", """", P91/sum(filter($P$16:$P$949, $P$16:$P$949&lt;&gt;"""")))"),9.769441187964048E-4)</f>
        <v>0.0009769441188</v>
      </c>
    </row>
    <row r="92" ht="12.75" customHeight="1">
      <c r="A92" s="360"/>
      <c r="G92" s="354" t="s">
        <v>803</v>
      </c>
      <c r="H92" s="296">
        <v>20.0</v>
      </c>
      <c r="I92" s="353">
        <v>9.769441187964048E-4</v>
      </c>
      <c r="K92" s="296"/>
      <c r="L92" s="370"/>
      <c r="M92" s="369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367" t="str">
        <f>IFERROR(__xludf.DUMMYFUNCTION("""COMPUTED_VALUE"""),"Skull Isle - Cutlass 2★ #CFC")</f>
        <v>Skull Isle - Cutlass 2★ #CFC</v>
      </c>
      <c r="P92" s="296">
        <f>IFERROR(__xludf.DUMMYFUNCTION("""COMPUTED_VALUE"""),20.0)</f>
        <v>20</v>
      </c>
      <c r="Q92" s="353">
        <f>IFERROR(__xludf.DUMMYFUNCTION("if(P92="""", """", P92/sum(filter($P$16:$P$949, $P$16:$P$949&lt;&gt;"""")))"),9.769441187964048E-4)</f>
        <v>0.0009769441188</v>
      </c>
    </row>
    <row r="93" ht="12.75" customHeight="1">
      <c r="A93" s="360"/>
      <c r="G93" s="354" t="s">
        <v>804</v>
      </c>
      <c r="H93" s="296">
        <v>20.0</v>
      </c>
      <c r="I93" s="353">
        <v>9.769441187964048E-4</v>
      </c>
      <c r="K93" s="296"/>
      <c r="L93" s="370"/>
      <c r="M93" s="369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367" t="str">
        <f>IFERROR(__xludf.DUMMYFUNCTION("""COMPUTED_VALUE"""),"Skull Isle - Cutlass 2★ #7B1")</f>
        <v>Skull Isle - Cutlass 2★ #7B1</v>
      </c>
      <c r="P93" s="296">
        <f>IFERROR(__xludf.DUMMYFUNCTION("""COMPUTED_VALUE"""),20.0)</f>
        <v>20</v>
      </c>
      <c r="Q93" s="353">
        <f>IFERROR(__xludf.DUMMYFUNCTION("if(P93="""", """", P93/sum(filter($P$16:$P$949, $P$16:$P$949&lt;&gt;"""")))"),9.769441187964048E-4)</f>
        <v>0.0009769441188</v>
      </c>
    </row>
    <row r="94" ht="12.75" customHeight="1">
      <c r="A94" s="360"/>
      <c r="G94" s="354" t="s">
        <v>805</v>
      </c>
      <c r="H94" s="296">
        <v>20.0</v>
      </c>
      <c r="I94" s="353">
        <v>9.769441187964048E-4</v>
      </c>
      <c r="K94" s="296"/>
      <c r="L94" s="370"/>
      <c r="M94" s="369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367" t="str">
        <f>IFERROR(__xludf.DUMMYFUNCTION("""COMPUTED_VALUE"""),"Skull Isle - Cutlass 2★ #266")</f>
        <v>Skull Isle - Cutlass 2★ #266</v>
      </c>
      <c r="P94" s="296">
        <f>IFERROR(__xludf.DUMMYFUNCTION("""COMPUTED_VALUE"""),20.0)</f>
        <v>20</v>
      </c>
      <c r="Q94" s="353">
        <f>IFERROR(__xludf.DUMMYFUNCTION("if(P94="""", """", P94/sum(filter($P$16:$P$949, $P$16:$P$949&lt;&gt;"""")))"),9.769441187964048E-4)</f>
        <v>0.0009769441188</v>
      </c>
    </row>
    <row r="95" ht="12.75" customHeight="1">
      <c r="A95" s="360"/>
      <c r="G95" s="354" t="s">
        <v>806</v>
      </c>
      <c r="H95" s="296">
        <v>20.0</v>
      </c>
      <c r="I95" s="353">
        <v>9.769441187964048E-4</v>
      </c>
      <c r="K95" s="296"/>
      <c r="L95" s="370"/>
      <c r="M95" s="369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367" t="str">
        <f>IFERROR(__xludf.DUMMYFUNCTION("""COMPUTED_VALUE"""),"Skull Isle - Cutlass 2★ #D1B")</f>
        <v>Skull Isle - Cutlass 2★ #D1B</v>
      </c>
      <c r="P95" s="296">
        <f>IFERROR(__xludf.DUMMYFUNCTION("""COMPUTED_VALUE"""),20.0)</f>
        <v>20</v>
      </c>
      <c r="Q95" s="353">
        <f>IFERROR(__xludf.DUMMYFUNCTION("if(P95="""", """", P95/sum(filter($P$16:$P$949, $P$16:$P$949&lt;&gt;"""")))"),9.769441187964048E-4)</f>
        <v>0.0009769441188</v>
      </c>
    </row>
    <row r="96" ht="12.75" customHeight="1">
      <c r="A96" s="360"/>
      <c r="G96" s="354" t="s">
        <v>807</v>
      </c>
      <c r="H96" s="296">
        <v>20.0</v>
      </c>
      <c r="I96" s="353">
        <v>9.769441187964048E-4</v>
      </c>
      <c r="K96" s="296"/>
      <c r="L96" s="370"/>
      <c r="M96" s="369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367" t="str">
        <f>IFERROR(__xludf.DUMMYFUNCTION("""COMPUTED_VALUE"""),"Skull Isle - Cutlass 2★ #7D0")</f>
        <v>Skull Isle - Cutlass 2★ #7D0</v>
      </c>
      <c r="P96" s="296">
        <f>IFERROR(__xludf.DUMMYFUNCTION("""COMPUTED_VALUE"""),20.0)</f>
        <v>20</v>
      </c>
      <c r="Q96" s="353">
        <f>IFERROR(__xludf.DUMMYFUNCTION("if(P96="""", """", P96/sum(filter($P$16:$P$949, $P$16:$P$949&lt;&gt;"""")))"),9.769441187964048E-4)</f>
        <v>0.0009769441188</v>
      </c>
    </row>
    <row r="97" ht="12.75" customHeight="1">
      <c r="A97" s="360"/>
      <c r="G97" s="354" t="s">
        <v>808</v>
      </c>
      <c r="H97" s="296">
        <v>20.0</v>
      </c>
      <c r="I97" s="353">
        <v>9.769441187964048E-4</v>
      </c>
      <c r="K97" s="296"/>
      <c r="L97" s="370"/>
      <c r="M97" s="369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367" t="str">
        <f>IFERROR(__xludf.DUMMYFUNCTION("""COMPUTED_VALUE"""),"Skull Isle - Cutlass 2★ #285")</f>
        <v>Skull Isle - Cutlass 2★ #285</v>
      </c>
      <c r="P97" s="296">
        <f>IFERROR(__xludf.DUMMYFUNCTION("""COMPUTED_VALUE"""),20.0)</f>
        <v>20</v>
      </c>
      <c r="Q97" s="353">
        <f>IFERROR(__xludf.DUMMYFUNCTION("if(P97="""", """", P97/sum(filter($P$16:$P$949, $P$16:$P$949&lt;&gt;"""")))"),9.769441187964048E-4)</f>
        <v>0.0009769441188</v>
      </c>
    </row>
    <row r="98" ht="12.75" customHeight="1">
      <c r="A98" s="360"/>
      <c r="G98" s="354" t="s">
        <v>809</v>
      </c>
      <c r="H98" s="296">
        <v>20.0</v>
      </c>
      <c r="I98" s="353">
        <v>9.769441187964048E-4</v>
      </c>
      <c r="K98" s="296"/>
      <c r="L98" s="370"/>
      <c r="M98" s="369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367" t="str">
        <f>IFERROR(__xludf.DUMMYFUNCTION("""COMPUTED_VALUE"""),"Skull Isle - Parrot 2★ #D3A")</f>
        <v>Skull Isle - Parrot 2★ #D3A</v>
      </c>
      <c r="P98" s="296">
        <f>IFERROR(__xludf.DUMMYFUNCTION("""COMPUTED_VALUE"""),20.0)</f>
        <v>20</v>
      </c>
      <c r="Q98" s="353">
        <f>IFERROR(__xludf.DUMMYFUNCTION("if(P98="""", """", P98/sum(filter($P$16:$P$949, $P$16:$P$949&lt;&gt;"""")))"),9.769441187964048E-4)</f>
        <v>0.0009769441188</v>
      </c>
    </row>
    <row r="99" ht="12.75" customHeight="1">
      <c r="A99" s="360"/>
      <c r="G99" s="354" t="s">
        <v>810</v>
      </c>
      <c r="H99" s="296">
        <v>20.0</v>
      </c>
      <c r="I99" s="353">
        <v>9.769441187964048E-4</v>
      </c>
      <c r="K99" s="296"/>
      <c r="L99" s="370"/>
      <c r="M99" s="369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367" t="str">
        <f>IFERROR(__xludf.DUMMYFUNCTION("""COMPUTED_VALUE"""),"Skull Isle - Parrot 2★ #7EF")</f>
        <v>Skull Isle - Parrot 2★ #7EF</v>
      </c>
      <c r="P99" s="296">
        <f>IFERROR(__xludf.DUMMYFUNCTION("""COMPUTED_VALUE"""),20.0)</f>
        <v>20</v>
      </c>
      <c r="Q99" s="353">
        <f>IFERROR(__xludf.DUMMYFUNCTION("if(P99="""", """", P99/sum(filter($P$16:$P$949, $P$16:$P$949&lt;&gt;"""")))"),9.769441187964048E-4)</f>
        <v>0.0009769441188</v>
      </c>
    </row>
    <row r="100" ht="12.75" customHeight="1">
      <c r="A100" s="360"/>
      <c r="G100" s="354" t="s">
        <v>811</v>
      </c>
      <c r="H100" s="296">
        <v>20.0</v>
      </c>
      <c r="I100" s="353">
        <v>9.769441187964048E-4</v>
      </c>
      <c r="K100" s="296"/>
      <c r="L100" s="370"/>
      <c r="M100" s="369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367" t="str">
        <f>IFERROR(__xludf.DUMMYFUNCTION("""COMPUTED_VALUE"""),"Skull Isle - Parrot 2★ #2A4")</f>
        <v>Skull Isle - Parrot 2★ #2A4</v>
      </c>
      <c r="P100" s="296">
        <f>IFERROR(__xludf.DUMMYFUNCTION("""COMPUTED_VALUE"""),20.0)</f>
        <v>20</v>
      </c>
      <c r="Q100" s="353">
        <f>IFERROR(__xludf.DUMMYFUNCTION("if(P100="""", """", P100/sum(filter($P$16:$P$949, $P$16:$P$949&lt;&gt;"""")))"),9.769441187964048E-4)</f>
        <v>0.0009769441188</v>
      </c>
    </row>
    <row r="101" ht="12.75" customHeight="1">
      <c r="G101" s="354" t="s">
        <v>812</v>
      </c>
      <c r="H101" s="296">
        <v>20.0</v>
      </c>
      <c r="I101" s="353">
        <v>9.769441187964048E-4</v>
      </c>
      <c r="K101" s="296"/>
      <c r="L101" s="370"/>
      <c r="M101" s="369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367" t="str">
        <f>IFERROR(__xludf.DUMMYFUNCTION("""COMPUTED_VALUE"""),"Skull Isle - Parrot 2★ #D59")</f>
        <v>Skull Isle - Parrot 2★ #D59</v>
      </c>
      <c r="P101" s="296">
        <f>IFERROR(__xludf.DUMMYFUNCTION("""COMPUTED_VALUE"""),20.0)</f>
        <v>20</v>
      </c>
      <c r="Q101" s="353">
        <f>IFERROR(__xludf.DUMMYFUNCTION("if(P101="""", """", P101/sum(filter($P$16:$P$949, $P$16:$P$949&lt;&gt;"""")))"),9.769441187964048E-4)</f>
        <v>0.0009769441188</v>
      </c>
    </row>
    <row r="102" ht="12.75" customHeight="1">
      <c r="G102" s="354" t="s">
        <v>813</v>
      </c>
      <c r="H102" s="296">
        <v>20.0</v>
      </c>
      <c r="I102" s="353">
        <v>9.769441187964048E-4</v>
      </c>
      <c r="K102" s="296"/>
      <c r="L102" s="370"/>
      <c r="M102" s="369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367" t="str">
        <f>IFERROR(__xludf.DUMMYFUNCTION("""COMPUTED_VALUE"""),"Skull Isle - Parrot 2★ #80E")</f>
        <v>Skull Isle - Parrot 2★ #80E</v>
      </c>
      <c r="P102" s="296">
        <f>IFERROR(__xludf.DUMMYFUNCTION("""COMPUTED_VALUE"""),20.0)</f>
        <v>20</v>
      </c>
      <c r="Q102" s="353">
        <f>IFERROR(__xludf.DUMMYFUNCTION("if(P102="""", """", P102/sum(filter($P$16:$P$949, $P$16:$P$949&lt;&gt;"""")))"),9.769441187964048E-4)</f>
        <v>0.0009769441188</v>
      </c>
    </row>
    <row r="103" ht="12.75" customHeight="1">
      <c r="G103" s="354" t="s">
        <v>814</v>
      </c>
      <c r="H103" s="296">
        <v>20.0</v>
      </c>
      <c r="I103" s="353">
        <v>9.769441187964048E-4</v>
      </c>
      <c r="K103" s="296"/>
      <c r="L103" s="370"/>
      <c r="M103" s="369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367" t="str">
        <f>IFERROR(__xludf.DUMMYFUNCTION("""COMPUTED_VALUE"""),"Skull Isle - Parrot 2★ #2C3")</f>
        <v>Skull Isle - Parrot 2★ #2C3</v>
      </c>
      <c r="P103" s="296">
        <f>IFERROR(__xludf.DUMMYFUNCTION("""COMPUTED_VALUE"""),20.0)</f>
        <v>20</v>
      </c>
      <c r="Q103" s="353">
        <f>IFERROR(__xludf.DUMMYFUNCTION("if(P103="""", """", P103/sum(filter($P$16:$P$949, $P$16:$P$949&lt;&gt;"""")))"),9.769441187964048E-4)</f>
        <v>0.0009769441188</v>
      </c>
    </row>
    <row r="104" ht="12.75" customHeight="1">
      <c r="G104" s="354" t="s">
        <v>815</v>
      </c>
      <c r="H104" s="296">
        <v>20.0</v>
      </c>
      <c r="I104" s="353">
        <v>9.769441187964048E-4</v>
      </c>
      <c r="K104" s="296"/>
      <c r="L104" s="354"/>
      <c r="M104" s="369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367" t="str">
        <f>IFERROR(__xludf.DUMMYFUNCTION("""COMPUTED_VALUE"""),"Skull Isle - Parrot 2★ #D78")</f>
        <v>Skull Isle - Parrot 2★ #D78</v>
      </c>
      <c r="P104" s="296">
        <f>IFERROR(__xludf.DUMMYFUNCTION("""COMPUTED_VALUE"""),20.0)</f>
        <v>20</v>
      </c>
      <c r="Q104" s="353">
        <f>IFERROR(__xludf.DUMMYFUNCTION("if(P104="""", """", P104/sum(filter($P$16:$P$949, $P$16:$P$949&lt;&gt;"""")))"),9.769441187964048E-4)</f>
        <v>0.0009769441188</v>
      </c>
    </row>
    <row r="105" ht="12.75" customHeight="1">
      <c r="G105" s="354" t="s">
        <v>816</v>
      </c>
      <c r="H105" s="296">
        <v>20.0</v>
      </c>
      <c r="I105" s="353">
        <v>9.769441187964048E-4</v>
      </c>
      <c r="K105" s="296"/>
      <c r="L105" s="354"/>
      <c r="M105" s="369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367" t="str">
        <f>IFERROR(__xludf.DUMMYFUNCTION("""COMPUTED_VALUE"""),"Skull Isle - Parrot 2★ #82D")</f>
        <v>Skull Isle - Parrot 2★ #82D</v>
      </c>
      <c r="P105" s="296">
        <f>IFERROR(__xludf.DUMMYFUNCTION("""COMPUTED_VALUE"""),20.0)</f>
        <v>20</v>
      </c>
      <c r="Q105" s="353">
        <f>IFERROR(__xludf.DUMMYFUNCTION("if(P105="""", """", P105/sum(filter($P$16:$P$949, $P$16:$P$949&lt;&gt;"""")))"),9.769441187964048E-4)</f>
        <v>0.0009769441188</v>
      </c>
    </row>
    <row r="106" ht="12.75" customHeight="1">
      <c r="G106" s="354" t="s">
        <v>817</v>
      </c>
      <c r="H106" s="296">
        <v>20.0</v>
      </c>
      <c r="I106" s="353">
        <v>9.769441187964048E-4</v>
      </c>
      <c r="K106" s="296"/>
      <c r="L106" s="354"/>
      <c r="M106" s="369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367" t="str">
        <f>IFERROR(__xludf.DUMMYFUNCTION("""COMPUTED_VALUE"""),"Skull Isle - Parrot 2★ #2E2")</f>
        <v>Skull Isle - Parrot 2★ #2E2</v>
      </c>
      <c r="P106" s="296">
        <f>IFERROR(__xludf.DUMMYFUNCTION("""COMPUTED_VALUE"""),20.0)</f>
        <v>20</v>
      </c>
      <c r="Q106" s="353">
        <f>IFERROR(__xludf.DUMMYFUNCTION("if(P106="""", """", P106/sum(filter($P$16:$P$949, $P$16:$P$949&lt;&gt;"""")))"),9.769441187964048E-4)</f>
        <v>0.0009769441188</v>
      </c>
    </row>
    <row r="107" ht="12.75" customHeight="1">
      <c r="G107" s="354" t="s">
        <v>818</v>
      </c>
      <c r="H107" s="296">
        <v>20.0</v>
      </c>
      <c r="I107" s="353">
        <v>9.769441187964048E-4</v>
      </c>
      <c r="K107" s="296"/>
      <c r="L107" s="354"/>
      <c r="M107" s="369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367" t="str">
        <f>IFERROR(__xludf.DUMMYFUNCTION("""COMPUTED_VALUE"""),"Skull Isle - Parrot 2★ #D97")</f>
        <v>Skull Isle - Parrot 2★ #D97</v>
      </c>
      <c r="P107" s="296">
        <f>IFERROR(__xludf.DUMMYFUNCTION("""COMPUTED_VALUE"""),20.0)</f>
        <v>20</v>
      </c>
      <c r="Q107" s="353">
        <f>IFERROR(__xludf.DUMMYFUNCTION("if(P107="""", """", P107/sum(filter($P$16:$P$949, $P$16:$P$949&lt;&gt;"""")))"),9.769441187964048E-4)</f>
        <v>0.0009769441188</v>
      </c>
    </row>
    <row r="108" ht="12.75" customHeight="1">
      <c r="G108" s="354" t="s">
        <v>819</v>
      </c>
      <c r="H108" s="296">
        <v>20.0</v>
      </c>
      <c r="I108" s="353">
        <v>9.769441187964048E-4</v>
      </c>
      <c r="K108" s="296"/>
      <c r="L108" s="354"/>
      <c r="M108" s="369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367" t="str">
        <f>IFERROR(__xludf.DUMMYFUNCTION("""COMPUTED_VALUE"""),"Skull Isle - Parrot 2★ #84C")</f>
        <v>Skull Isle - Parrot 2★ #84C</v>
      </c>
      <c r="P108" s="296">
        <f>IFERROR(__xludf.DUMMYFUNCTION("""COMPUTED_VALUE"""),20.0)</f>
        <v>20</v>
      </c>
      <c r="Q108" s="353">
        <f>IFERROR(__xludf.DUMMYFUNCTION("if(P108="""", """", P108/sum(filter($P$16:$P$949, $P$16:$P$949&lt;&gt;"""")))"),9.769441187964048E-4)</f>
        <v>0.0009769441188</v>
      </c>
    </row>
    <row r="109" ht="12.75" customHeight="1">
      <c r="G109" s="354" t="s">
        <v>820</v>
      </c>
      <c r="H109" s="296">
        <v>20.0</v>
      </c>
      <c r="I109" s="353">
        <v>9.769441187964048E-4</v>
      </c>
      <c r="K109" s="296"/>
      <c r="L109" s="354"/>
      <c r="M109" s="369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367" t="str">
        <f>IFERROR(__xludf.DUMMYFUNCTION("""COMPUTED_VALUE"""),"Skull Isle - Parrot 2★ #301")</f>
        <v>Skull Isle - Parrot 2★ #301</v>
      </c>
      <c r="P109" s="296">
        <f>IFERROR(__xludf.DUMMYFUNCTION("""COMPUTED_VALUE"""),20.0)</f>
        <v>20</v>
      </c>
      <c r="Q109" s="353">
        <f>IFERROR(__xludf.DUMMYFUNCTION("if(P109="""", """", P109/sum(filter($P$16:$P$949, $P$16:$P$949&lt;&gt;"""")))"),9.769441187964048E-4)</f>
        <v>0.0009769441188</v>
      </c>
    </row>
    <row r="110" ht="12.75" customHeight="1">
      <c r="G110" s="354" t="s">
        <v>821</v>
      </c>
      <c r="H110" s="296">
        <v>20.0</v>
      </c>
      <c r="I110" s="353">
        <v>9.769441187964048E-4</v>
      </c>
      <c r="K110" s="296"/>
      <c r="L110" s="354"/>
      <c r="M110" s="369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367" t="str">
        <f>IFERROR(__xludf.DUMMYFUNCTION("""COMPUTED_VALUE"""),"Skull Isle - Parrot 2★ #DB6")</f>
        <v>Skull Isle - Parrot 2★ #DB6</v>
      </c>
      <c r="P110" s="296">
        <f>IFERROR(__xludf.DUMMYFUNCTION("""COMPUTED_VALUE"""),20.0)</f>
        <v>20</v>
      </c>
      <c r="Q110" s="353">
        <f>IFERROR(__xludf.DUMMYFUNCTION("if(P110="""", """", P110/sum(filter($P$16:$P$949, $P$16:$P$949&lt;&gt;"""")))"),9.769441187964048E-4)</f>
        <v>0.0009769441188</v>
      </c>
    </row>
    <row r="111" ht="12.75" customHeight="1">
      <c r="G111" s="354" t="s">
        <v>822</v>
      </c>
      <c r="H111" s="296">
        <v>10.0</v>
      </c>
      <c r="I111" s="353">
        <v>4.884720593982024E-4</v>
      </c>
      <c r="K111" s="296"/>
      <c r="L111" s="354"/>
      <c r="M111" s="369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367" t="str">
        <f>IFERROR(__xludf.DUMMYFUNCTION("""COMPUTED_VALUE"""),"Skull Isle - Chest 3★ #86B")</f>
        <v>Skull Isle - Chest 3★ #86B</v>
      </c>
      <c r="P111" s="296">
        <f>IFERROR(__xludf.DUMMYFUNCTION("""COMPUTED_VALUE"""),10.0)</f>
        <v>10</v>
      </c>
      <c r="Q111" s="353">
        <f>IFERROR(__xludf.DUMMYFUNCTION("if(P111="""", """", P111/sum(filter($P$16:$P$949, $P$16:$P$949&lt;&gt;"""")))"),4.884720593982024E-4)</f>
        <v>0.0004884720594</v>
      </c>
    </row>
    <row r="112" ht="12.75" customHeight="1">
      <c r="G112" s="354" t="s">
        <v>823</v>
      </c>
      <c r="H112" s="296">
        <v>10.0</v>
      </c>
      <c r="I112" s="353">
        <v>4.884720593982024E-4</v>
      </c>
      <c r="K112" s="296"/>
      <c r="L112" s="354"/>
      <c r="M112" s="369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367" t="str">
        <f>IFERROR(__xludf.DUMMYFUNCTION("""COMPUTED_VALUE"""),"Skull Isle - Chest 3★ #320")</f>
        <v>Skull Isle - Chest 3★ #320</v>
      </c>
      <c r="P112" s="296">
        <f>IFERROR(__xludf.DUMMYFUNCTION("""COMPUTED_VALUE"""),10.0)</f>
        <v>10</v>
      </c>
      <c r="Q112" s="353">
        <f>IFERROR(__xludf.DUMMYFUNCTION("if(P112="""", """", P112/sum(filter($P$16:$P$949, $P$16:$P$949&lt;&gt;"""")))"),4.884720593982024E-4)</f>
        <v>0.0004884720594</v>
      </c>
    </row>
    <row r="113" ht="12.75" customHeight="1">
      <c r="G113" s="354" t="s">
        <v>824</v>
      </c>
      <c r="H113" s="296">
        <v>10.0</v>
      </c>
      <c r="I113" s="353">
        <v>4.884720593982024E-4</v>
      </c>
      <c r="K113" s="296"/>
      <c r="L113" s="354"/>
      <c r="M113" s="369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367" t="str">
        <f>IFERROR(__xludf.DUMMYFUNCTION("""COMPUTED_VALUE"""),"Skull Isle - Chest 3★ #DD5")</f>
        <v>Skull Isle - Chest 3★ #DD5</v>
      </c>
      <c r="P113" s="296">
        <f>IFERROR(__xludf.DUMMYFUNCTION("""COMPUTED_VALUE"""),10.0)</f>
        <v>10</v>
      </c>
      <c r="Q113" s="353">
        <f>IFERROR(__xludf.DUMMYFUNCTION("if(P113="""", """", P113/sum(filter($P$16:$P$949, $P$16:$P$949&lt;&gt;"""")))"),4.884720593982024E-4)</f>
        <v>0.0004884720594</v>
      </c>
    </row>
    <row r="114" ht="12.75" customHeight="1">
      <c r="G114" s="354" t="s">
        <v>825</v>
      </c>
      <c r="H114" s="296">
        <v>10.0</v>
      </c>
      <c r="I114" s="353">
        <v>4.884720593982024E-4</v>
      </c>
      <c r="K114" s="296"/>
      <c r="L114" s="354"/>
      <c r="M114" s="369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367" t="str">
        <f>IFERROR(__xludf.DUMMYFUNCTION("""COMPUTED_VALUE"""),"Skull Isle - Chest 3★ #88A")</f>
        <v>Skull Isle - Chest 3★ #88A</v>
      </c>
      <c r="P114" s="296">
        <f>IFERROR(__xludf.DUMMYFUNCTION("""COMPUTED_VALUE"""),10.0)</f>
        <v>10</v>
      </c>
      <c r="Q114" s="353">
        <f>IFERROR(__xludf.DUMMYFUNCTION("if(P114="""", """", P114/sum(filter($P$16:$P$949, $P$16:$P$949&lt;&gt;"""")))"),4.884720593982024E-4)</f>
        <v>0.0004884720594</v>
      </c>
    </row>
    <row r="115" ht="12.75" customHeight="1">
      <c r="G115" s="354" t="s">
        <v>826</v>
      </c>
      <c r="H115" s="296">
        <v>10.0</v>
      </c>
      <c r="I115" s="353">
        <v>4.884720593982024E-4</v>
      </c>
      <c r="K115" s="296"/>
      <c r="L115" s="354"/>
      <c r="M115" s="369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367" t="str">
        <f>IFERROR(__xludf.DUMMYFUNCTION("""COMPUTED_VALUE"""),"Skull Isle - Chest 3★ #33F")</f>
        <v>Skull Isle - Chest 3★ #33F</v>
      </c>
      <c r="P115" s="296">
        <f>IFERROR(__xludf.DUMMYFUNCTION("""COMPUTED_VALUE"""),10.0)</f>
        <v>10</v>
      </c>
      <c r="Q115" s="353">
        <f>IFERROR(__xludf.DUMMYFUNCTION("if(P115="""", """", P115/sum(filter($P$16:$P$949, $P$16:$P$949&lt;&gt;"""")))"),4.884720593982024E-4)</f>
        <v>0.0004884720594</v>
      </c>
    </row>
    <row r="116" ht="12.75" customHeight="1">
      <c r="G116" s="354" t="s">
        <v>827</v>
      </c>
      <c r="H116" s="296">
        <v>10.0</v>
      </c>
      <c r="I116" s="353">
        <v>4.884720593982024E-4</v>
      </c>
      <c r="K116" s="296"/>
      <c r="L116" s="354"/>
      <c r="M116" s="369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367" t="str">
        <f>IFERROR(__xludf.DUMMYFUNCTION("""COMPUTED_VALUE"""),"Skull Isle - Chest 3★ #DF4")</f>
        <v>Skull Isle - Chest 3★ #DF4</v>
      </c>
      <c r="P116" s="296">
        <f>IFERROR(__xludf.DUMMYFUNCTION("""COMPUTED_VALUE"""),10.0)</f>
        <v>10</v>
      </c>
      <c r="Q116" s="353">
        <f>IFERROR(__xludf.DUMMYFUNCTION("if(P116="""", """", P116/sum(filter($P$16:$P$949, $P$16:$P$949&lt;&gt;"""")))"),4.884720593982024E-4)</f>
        <v>0.0004884720594</v>
      </c>
    </row>
    <row r="117" ht="12.75" customHeight="1">
      <c r="G117" s="354" t="s">
        <v>828</v>
      </c>
      <c r="H117" s="296">
        <v>10.0</v>
      </c>
      <c r="I117" s="353">
        <v>4.884720593982024E-4</v>
      </c>
      <c r="K117" s="296"/>
      <c r="L117" s="354"/>
      <c r="M117" s="369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367" t="str">
        <f>IFERROR(__xludf.DUMMYFUNCTION("""COMPUTED_VALUE"""),"Skull Isle - Chest 3★ #8A9")</f>
        <v>Skull Isle - Chest 3★ #8A9</v>
      </c>
      <c r="P117" s="296">
        <f>IFERROR(__xludf.DUMMYFUNCTION("""COMPUTED_VALUE"""),10.0)</f>
        <v>10</v>
      </c>
      <c r="Q117" s="353">
        <f>IFERROR(__xludf.DUMMYFUNCTION("if(P117="""", """", P117/sum(filter($P$16:$P$949, $P$16:$P$949&lt;&gt;"""")))"),4.884720593982024E-4)</f>
        <v>0.0004884720594</v>
      </c>
    </row>
    <row r="118" ht="12.75" customHeight="1">
      <c r="G118" s="354" t="s">
        <v>829</v>
      </c>
      <c r="H118" s="296">
        <v>10.0</v>
      </c>
      <c r="I118" s="353">
        <v>4.884720593982024E-4</v>
      </c>
      <c r="K118" s="296"/>
      <c r="L118" s="354"/>
      <c r="M118" s="369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367" t="str">
        <f>IFERROR(__xludf.DUMMYFUNCTION("""COMPUTED_VALUE"""),"Skull Isle - Chest 3★ #35E")</f>
        <v>Skull Isle - Chest 3★ #35E</v>
      </c>
      <c r="P118" s="296">
        <f>IFERROR(__xludf.DUMMYFUNCTION("""COMPUTED_VALUE"""),10.0)</f>
        <v>10</v>
      </c>
      <c r="Q118" s="353">
        <f>IFERROR(__xludf.DUMMYFUNCTION("if(P118="""", """", P118/sum(filter($P$16:$P$949, $P$16:$P$949&lt;&gt;"""")))"),4.884720593982024E-4)</f>
        <v>0.0004884720594</v>
      </c>
    </row>
    <row r="119" ht="12.75" customHeight="1">
      <c r="G119" s="354" t="s">
        <v>830</v>
      </c>
      <c r="H119" s="296">
        <v>10.0</v>
      </c>
      <c r="I119" s="353">
        <v>4.884720593982024E-4</v>
      </c>
      <c r="K119" s="296"/>
      <c r="L119" s="354"/>
      <c r="M119" s="369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367" t="str">
        <f>IFERROR(__xludf.DUMMYFUNCTION("""COMPUTED_VALUE"""),"Skull Isle - Chest 3★ #E13")</f>
        <v>Skull Isle - Chest 3★ #E13</v>
      </c>
      <c r="P119" s="296">
        <f>IFERROR(__xludf.DUMMYFUNCTION("""COMPUTED_VALUE"""),10.0)</f>
        <v>10</v>
      </c>
      <c r="Q119" s="353">
        <f>IFERROR(__xludf.DUMMYFUNCTION("if(P119="""", """", P119/sum(filter($P$16:$P$949, $P$16:$P$949&lt;&gt;"""")))"),4.884720593982024E-4)</f>
        <v>0.0004884720594</v>
      </c>
    </row>
    <row r="120" ht="12.75" customHeight="1">
      <c r="G120" s="354" t="s">
        <v>831</v>
      </c>
      <c r="H120" s="296">
        <v>10.0</v>
      </c>
      <c r="I120" s="353">
        <v>4.884720593982024E-4</v>
      </c>
      <c r="K120" s="296"/>
      <c r="L120" s="354"/>
      <c r="M120" s="369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367" t="str">
        <f>IFERROR(__xludf.DUMMYFUNCTION("""COMPUTED_VALUE"""),"Skull Isle - Chest 3★ #8C8")</f>
        <v>Skull Isle - Chest 3★ #8C8</v>
      </c>
      <c r="P120" s="296">
        <f>IFERROR(__xludf.DUMMYFUNCTION("""COMPUTED_VALUE"""),10.0)</f>
        <v>10</v>
      </c>
      <c r="Q120" s="353">
        <f>IFERROR(__xludf.DUMMYFUNCTION("if(P120="""", """", P120/sum(filter($P$16:$P$949, $P$16:$P$949&lt;&gt;"""")))"),4.884720593982024E-4)</f>
        <v>0.0004884720594</v>
      </c>
    </row>
    <row r="121" ht="12.75" customHeight="1">
      <c r="G121" s="354" t="s">
        <v>832</v>
      </c>
      <c r="H121" s="296">
        <v>10.0</v>
      </c>
      <c r="I121" s="353">
        <v>4.884720593982024E-4</v>
      </c>
      <c r="K121" s="296"/>
      <c r="L121" s="354"/>
      <c r="M121" s="369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367" t="str">
        <f>IFERROR(__xludf.DUMMYFUNCTION("""COMPUTED_VALUE"""),"Skull Isle - Chest 3★ #37D")</f>
        <v>Skull Isle - Chest 3★ #37D</v>
      </c>
      <c r="P121" s="296">
        <f>IFERROR(__xludf.DUMMYFUNCTION("""COMPUTED_VALUE"""),10.0)</f>
        <v>10</v>
      </c>
      <c r="Q121" s="353">
        <f>IFERROR(__xludf.DUMMYFUNCTION("if(P121="""", """", P121/sum(filter($P$16:$P$949, $P$16:$P$949&lt;&gt;"""")))"),4.884720593982024E-4)</f>
        <v>0.0004884720594</v>
      </c>
    </row>
    <row r="122" ht="12.75" customHeight="1">
      <c r="G122" s="354" t="s">
        <v>833</v>
      </c>
      <c r="H122" s="296">
        <v>10.0</v>
      </c>
      <c r="I122" s="353">
        <v>4.884720593982024E-4</v>
      </c>
      <c r="K122" s="296"/>
      <c r="L122" s="354"/>
      <c r="M122" s="369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367" t="str">
        <f>IFERROR(__xludf.DUMMYFUNCTION("""COMPUTED_VALUE"""),"Skull Isle - Chest 3★ #E32")</f>
        <v>Skull Isle - Chest 3★ #E32</v>
      </c>
      <c r="P122" s="296">
        <f>IFERROR(__xludf.DUMMYFUNCTION("""COMPUTED_VALUE"""),10.0)</f>
        <v>10</v>
      </c>
      <c r="Q122" s="353">
        <f>IFERROR(__xludf.DUMMYFUNCTION("if(P122="""", """", P122/sum(filter($P$16:$P$949, $P$16:$P$949&lt;&gt;"""")))"),4.884720593982024E-4)</f>
        <v>0.0004884720594</v>
      </c>
    </row>
    <row r="123" ht="12.75" customHeight="1">
      <c r="G123" s="354" t="s">
        <v>834</v>
      </c>
      <c r="H123" s="296">
        <v>10.0</v>
      </c>
      <c r="I123" s="353">
        <v>4.884720593982024E-4</v>
      </c>
      <c r="K123" s="296"/>
      <c r="L123" s="354"/>
      <c r="M123" s="369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367" t="str">
        <f>IFERROR(__xludf.DUMMYFUNCTION("""COMPUTED_VALUE"""),"Skull Isle - Chest 3★ #8E7")</f>
        <v>Skull Isle - Chest 3★ #8E7</v>
      </c>
      <c r="P123" s="296">
        <f>IFERROR(__xludf.DUMMYFUNCTION("""COMPUTED_VALUE"""),10.0)</f>
        <v>10</v>
      </c>
      <c r="Q123" s="353">
        <f>IFERROR(__xludf.DUMMYFUNCTION("if(P123="""", """", P123/sum(filter($P$16:$P$949, $P$16:$P$949&lt;&gt;"""")))"),4.884720593982024E-4)</f>
        <v>0.0004884720594</v>
      </c>
    </row>
    <row r="124" ht="12.75" customHeight="1">
      <c r="G124" s="354" t="s">
        <v>835</v>
      </c>
      <c r="H124" s="296">
        <v>10.0</v>
      </c>
      <c r="I124" s="353">
        <v>4.884720593982024E-4</v>
      </c>
      <c r="K124" s="296"/>
      <c r="L124" s="354"/>
      <c r="M124" s="369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367" t="str">
        <f>IFERROR(__xludf.DUMMYFUNCTION("""COMPUTED_VALUE"""),"Skull Isle - Skull 3★ #39C")</f>
        <v>Skull Isle - Skull 3★ #39C</v>
      </c>
      <c r="P124" s="296">
        <f>IFERROR(__xludf.DUMMYFUNCTION("""COMPUTED_VALUE"""),10.0)</f>
        <v>10</v>
      </c>
      <c r="Q124" s="353">
        <f>IFERROR(__xludf.DUMMYFUNCTION("if(P124="""", """", P124/sum(filter($P$16:$P$949, $P$16:$P$949&lt;&gt;"""")))"),4.884720593982024E-4)</f>
        <v>0.0004884720594</v>
      </c>
    </row>
    <row r="125" ht="12.75" customHeight="1">
      <c r="G125" s="354" t="s">
        <v>836</v>
      </c>
      <c r="H125" s="296">
        <v>10.0</v>
      </c>
      <c r="I125" s="353">
        <v>4.884720593982024E-4</v>
      </c>
      <c r="K125" s="296"/>
      <c r="L125" s="354"/>
      <c r="M125" s="369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367" t="str">
        <f>IFERROR(__xludf.DUMMYFUNCTION("""COMPUTED_VALUE"""),"Skull Isle - Skull 3★ #E51")</f>
        <v>Skull Isle - Skull 3★ #E51</v>
      </c>
      <c r="P125" s="296">
        <f>IFERROR(__xludf.DUMMYFUNCTION("""COMPUTED_VALUE"""),10.0)</f>
        <v>10</v>
      </c>
      <c r="Q125" s="353">
        <f>IFERROR(__xludf.DUMMYFUNCTION("if(P125="""", """", P125/sum(filter($P$16:$P$949, $P$16:$P$949&lt;&gt;"""")))"),4.884720593982024E-4)</f>
        <v>0.0004884720594</v>
      </c>
    </row>
    <row r="126" ht="12.75" customHeight="1">
      <c r="G126" s="354" t="s">
        <v>837</v>
      </c>
      <c r="H126" s="296">
        <v>10.0</v>
      </c>
      <c r="I126" s="353">
        <v>4.884720593982024E-4</v>
      </c>
      <c r="K126" s="296"/>
      <c r="L126" s="354"/>
      <c r="M126" s="369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367" t="str">
        <f>IFERROR(__xludf.DUMMYFUNCTION("""COMPUTED_VALUE"""),"Skull Isle - Skull 3★ #906")</f>
        <v>Skull Isle - Skull 3★ #906</v>
      </c>
      <c r="P126" s="296">
        <f>IFERROR(__xludf.DUMMYFUNCTION("""COMPUTED_VALUE"""),10.0)</f>
        <v>10</v>
      </c>
      <c r="Q126" s="353">
        <f>IFERROR(__xludf.DUMMYFUNCTION("if(P126="""", """", P126/sum(filter($P$16:$P$949, $P$16:$P$949&lt;&gt;"""")))"),4.884720593982024E-4)</f>
        <v>0.0004884720594</v>
      </c>
    </row>
    <row r="127" ht="12.75" customHeight="1">
      <c r="G127" s="354" t="s">
        <v>838</v>
      </c>
      <c r="H127" s="296">
        <v>10.0</v>
      </c>
      <c r="I127" s="353">
        <v>4.884720593982024E-4</v>
      </c>
      <c r="K127" s="296"/>
      <c r="L127" s="354"/>
      <c r="M127" s="369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367" t="str">
        <f>IFERROR(__xludf.DUMMYFUNCTION("""COMPUTED_VALUE"""),"Skull Isle - Skull 3★ #3BB")</f>
        <v>Skull Isle - Skull 3★ #3BB</v>
      </c>
      <c r="P127" s="296">
        <f>IFERROR(__xludf.DUMMYFUNCTION("""COMPUTED_VALUE"""),10.0)</f>
        <v>10</v>
      </c>
      <c r="Q127" s="353">
        <f>IFERROR(__xludf.DUMMYFUNCTION("if(P127="""", """", P127/sum(filter($P$16:$P$949, $P$16:$P$949&lt;&gt;"""")))"),4.884720593982024E-4)</f>
        <v>0.0004884720594</v>
      </c>
    </row>
    <row r="128" ht="12.75" customHeight="1">
      <c r="G128" s="354" t="s">
        <v>839</v>
      </c>
      <c r="H128" s="296">
        <v>10.0</v>
      </c>
      <c r="I128" s="353">
        <v>4.884720593982024E-4</v>
      </c>
      <c r="K128" s="296"/>
      <c r="L128" s="354"/>
      <c r="M128" s="369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367" t="str">
        <f>IFERROR(__xludf.DUMMYFUNCTION("""COMPUTED_VALUE"""),"Skull Isle - Skull 3★ #E70")</f>
        <v>Skull Isle - Skull 3★ #E70</v>
      </c>
      <c r="P128" s="296">
        <f>IFERROR(__xludf.DUMMYFUNCTION("""COMPUTED_VALUE"""),10.0)</f>
        <v>10</v>
      </c>
      <c r="Q128" s="353">
        <f>IFERROR(__xludf.DUMMYFUNCTION("if(P128="""", """", P128/sum(filter($P$16:$P$949, $P$16:$P$949&lt;&gt;"""")))"),4.884720593982024E-4)</f>
        <v>0.0004884720594</v>
      </c>
    </row>
    <row r="129" ht="12.75" customHeight="1">
      <c r="G129" s="354" t="s">
        <v>840</v>
      </c>
      <c r="H129" s="296">
        <v>10.0</v>
      </c>
      <c r="I129" s="353">
        <v>4.884720593982024E-4</v>
      </c>
      <c r="K129" s="296"/>
      <c r="L129" s="354"/>
      <c r="M129" s="369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367" t="str">
        <f>IFERROR(__xludf.DUMMYFUNCTION("""COMPUTED_VALUE"""),"Skull Isle - Skull 3★ #925")</f>
        <v>Skull Isle - Skull 3★ #925</v>
      </c>
      <c r="P129" s="296">
        <f>IFERROR(__xludf.DUMMYFUNCTION("""COMPUTED_VALUE"""),10.0)</f>
        <v>10</v>
      </c>
      <c r="Q129" s="353">
        <f>IFERROR(__xludf.DUMMYFUNCTION("if(P129="""", """", P129/sum(filter($P$16:$P$949, $P$16:$P$949&lt;&gt;"""")))"),4.884720593982024E-4)</f>
        <v>0.0004884720594</v>
      </c>
    </row>
    <row r="130" ht="12.75" customHeight="1">
      <c r="G130" s="354" t="s">
        <v>841</v>
      </c>
      <c r="H130" s="296">
        <v>10.0</v>
      </c>
      <c r="I130" s="353">
        <v>4.884720593982024E-4</v>
      </c>
      <c r="K130" s="296"/>
      <c r="L130" s="354"/>
      <c r="M130" s="369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367" t="str">
        <f>IFERROR(__xludf.DUMMYFUNCTION("""COMPUTED_VALUE"""),"Skull Isle - Skull 3★ #3DA")</f>
        <v>Skull Isle - Skull 3★ #3DA</v>
      </c>
      <c r="P130" s="296">
        <f>IFERROR(__xludf.DUMMYFUNCTION("""COMPUTED_VALUE"""),10.0)</f>
        <v>10</v>
      </c>
      <c r="Q130" s="353">
        <f>IFERROR(__xludf.DUMMYFUNCTION("if(P130="""", """", P130/sum(filter($P$16:$P$949, $P$16:$P$949&lt;&gt;"""")))"),4.884720593982024E-4)</f>
        <v>0.0004884720594</v>
      </c>
    </row>
    <row r="131" ht="12.75" customHeight="1">
      <c r="G131" s="354" t="s">
        <v>842</v>
      </c>
      <c r="H131" s="296">
        <v>10.0</v>
      </c>
      <c r="I131" s="353">
        <v>4.884720593982024E-4</v>
      </c>
      <c r="K131" s="296"/>
      <c r="L131" s="354"/>
      <c r="M131" s="369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367" t="str">
        <f>IFERROR(__xludf.DUMMYFUNCTION("""COMPUTED_VALUE"""),"Skull Isle - Skull 3★ #E8F")</f>
        <v>Skull Isle - Skull 3★ #E8F</v>
      </c>
      <c r="P131" s="296">
        <f>IFERROR(__xludf.DUMMYFUNCTION("""COMPUTED_VALUE"""),10.0)</f>
        <v>10</v>
      </c>
      <c r="Q131" s="353">
        <f>IFERROR(__xludf.DUMMYFUNCTION("if(P131="""", """", P131/sum(filter($P$16:$P$949, $P$16:$P$949&lt;&gt;"""")))"),4.884720593982024E-4)</f>
        <v>0.0004884720594</v>
      </c>
    </row>
    <row r="132" ht="12.75" customHeight="1">
      <c r="G132" s="354" t="s">
        <v>843</v>
      </c>
      <c r="H132" s="296">
        <v>10.0</v>
      </c>
      <c r="I132" s="353">
        <v>4.884720593982024E-4</v>
      </c>
      <c r="K132" s="296"/>
      <c r="L132" s="354"/>
      <c r="M132" s="369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367" t="str">
        <f>IFERROR(__xludf.DUMMYFUNCTION("""COMPUTED_VALUE"""),"Skull Isle - Skull 3★ #944")</f>
        <v>Skull Isle - Skull 3★ #944</v>
      </c>
      <c r="P132" s="296">
        <f>IFERROR(__xludf.DUMMYFUNCTION("""COMPUTED_VALUE"""),10.0)</f>
        <v>10</v>
      </c>
      <c r="Q132" s="353">
        <f>IFERROR(__xludf.DUMMYFUNCTION("if(P132="""", """", P132/sum(filter($P$16:$P$949, $P$16:$P$949&lt;&gt;"""")))"),4.884720593982024E-4)</f>
        <v>0.0004884720594</v>
      </c>
    </row>
    <row r="133" ht="12.75" customHeight="1">
      <c r="G133" s="354" t="s">
        <v>844</v>
      </c>
      <c r="H133" s="296">
        <v>10.0</v>
      </c>
      <c r="I133" s="353">
        <v>4.884720593982024E-4</v>
      </c>
      <c r="K133" s="296"/>
      <c r="L133" s="354"/>
      <c r="M133" s="369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367" t="str">
        <f>IFERROR(__xludf.DUMMYFUNCTION("""COMPUTED_VALUE"""),"Skull Isle - Skull 3★ #3F9")</f>
        <v>Skull Isle - Skull 3★ #3F9</v>
      </c>
      <c r="P133" s="296">
        <f>IFERROR(__xludf.DUMMYFUNCTION("""COMPUTED_VALUE"""),10.0)</f>
        <v>10</v>
      </c>
      <c r="Q133" s="353">
        <f>IFERROR(__xludf.DUMMYFUNCTION("if(P133="""", """", P133/sum(filter($P$16:$P$949, $P$16:$P$949&lt;&gt;"""")))"),4.884720593982024E-4)</f>
        <v>0.0004884720594</v>
      </c>
    </row>
    <row r="134" ht="12.75" customHeight="1">
      <c r="G134" s="354" t="s">
        <v>845</v>
      </c>
      <c r="H134" s="296">
        <v>10.0</v>
      </c>
      <c r="I134" s="353">
        <v>4.884720593982024E-4</v>
      </c>
      <c r="K134" s="296"/>
      <c r="L134" s="354"/>
      <c r="M134" s="369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367" t="str">
        <f>IFERROR(__xludf.DUMMYFUNCTION("""COMPUTED_VALUE"""),"Skull Isle - Skull 3★ #EAE")</f>
        <v>Skull Isle - Skull 3★ #EAE</v>
      </c>
      <c r="P134" s="296">
        <f>IFERROR(__xludf.DUMMYFUNCTION("""COMPUTED_VALUE"""),10.0)</f>
        <v>10</v>
      </c>
      <c r="Q134" s="353">
        <f>IFERROR(__xludf.DUMMYFUNCTION("if(P134="""", """", P134/sum(filter($P$16:$P$949, $P$16:$P$949&lt;&gt;"""")))"),4.884720593982024E-4)</f>
        <v>0.0004884720594</v>
      </c>
    </row>
    <row r="135" ht="12.75" customHeight="1">
      <c r="G135" s="354" t="s">
        <v>846</v>
      </c>
      <c r="H135" s="296">
        <v>10.0</v>
      </c>
      <c r="I135" s="353">
        <v>4.884720593982024E-4</v>
      </c>
      <c r="K135" s="296"/>
      <c r="L135" s="354"/>
      <c r="M135" s="369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367" t="str">
        <f>IFERROR(__xludf.DUMMYFUNCTION("""COMPUTED_VALUE"""),"Skull Isle - Skull 3★ #963")</f>
        <v>Skull Isle - Skull 3★ #963</v>
      </c>
      <c r="P135" s="296">
        <f>IFERROR(__xludf.DUMMYFUNCTION("""COMPUTED_VALUE"""),10.0)</f>
        <v>10</v>
      </c>
      <c r="Q135" s="353">
        <f>IFERROR(__xludf.DUMMYFUNCTION("if(P135="""", """", P135/sum(filter($P$16:$P$949, $P$16:$P$949&lt;&gt;"""")))"),4.884720593982024E-4)</f>
        <v>0.0004884720594</v>
      </c>
    </row>
    <row r="136" ht="12.75" customHeight="1">
      <c r="G136" s="354" t="s">
        <v>847</v>
      </c>
      <c r="H136" s="296">
        <v>10.0</v>
      </c>
      <c r="I136" s="353">
        <v>4.884720593982024E-4</v>
      </c>
      <c r="K136" s="296"/>
      <c r="L136" s="354"/>
      <c r="M136" s="369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367" t="str">
        <f>IFERROR(__xludf.DUMMYFUNCTION("""COMPUTED_VALUE"""),"Skull Isle - Skull 3★ #418")</f>
        <v>Skull Isle - Skull 3★ #418</v>
      </c>
      <c r="P136" s="296">
        <f>IFERROR(__xludf.DUMMYFUNCTION("""COMPUTED_VALUE"""),10.0)</f>
        <v>10</v>
      </c>
      <c r="Q136" s="353">
        <f>IFERROR(__xludf.DUMMYFUNCTION("if(P136="""", """", P136/sum(filter($P$16:$P$949, $P$16:$P$949&lt;&gt;"""")))"),4.884720593982024E-4)</f>
        <v>0.0004884720594</v>
      </c>
    </row>
    <row r="137" ht="12.75" customHeight="1">
      <c r="G137" s="354" t="s">
        <v>848</v>
      </c>
      <c r="H137" s="296">
        <v>50.0</v>
      </c>
      <c r="I137" s="353">
        <v>0.0024423602969910123</v>
      </c>
      <c r="K137" s="296"/>
      <c r="L137" s="354"/>
      <c r="M137" s="369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367" t="str">
        <f>IFERROR(__xludf.DUMMYFUNCTION("""COMPUTED_VALUE"""),"Kraken Lair - Tentacle 1★ #ECD")</f>
        <v>Kraken Lair - Tentacle 1★ #ECD</v>
      </c>
      <c r="P137" s="296">
        <f>IFERROR(__xludf.DUMMYFUNCTION("""COMPUTED_VALUE"""),50.0)</f>
        <v>50</v>
      </c>
      <c r="Q137" s="353">
        <f>IFERROR(__xludf.DUMMYFUNCTION("if(P137="""", """", P137/sum(filter($P$16:$P$949, $P$16:$P$949&lt;&gt;"""")))"),0.0024423602969910123)</f>
        <v>0.002442360297</v>
      </c>
    </row>
    <row r="138" ht="12.75" customHeight="1">
      <c r="G138" s="354" t="s">
        <v>849</v>
      </c>
      <c r="H138" s="296">
        <v>50.0</v>
      </c>
      <c r="I138" s="353">
        <v>0.0024423602969910123</v>
      </c>
      <c r="K138" s="296"/>
      <c r="L138" s="354"/>
      <c r="M138" s="369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367" t="str">
        <f>IFERROR(__xludf.DUMMYFUNCTION("""COMPUTED_VALUE"""),"Kraken Lair - Tentacle 1★ #982")</f>
        <v>Kraken Lair - Tentacle 1★ #982</v>
      </c>
      <c r="P138" s="296">
        <f>IFERROR(__xludf.DUMMYFUNCTION("""COMPUTED_VALUE"""),50.0)</f>
        <v>50</v>
      </c>
      <c r="Q138" s="353">
        <f>IFERROR(__xludf.DUMMYFUNCTION("if(P138="""", """", P138/sum(filter($P$16:$P$949, $P$16:$P$949&lt;&gt;"""")))"),0.0024423602969910123)</f>
        <v>0.002442360297</v>
      </c>
    </row>
    <row r="139" ht="12.75" customHeight="1">
      <c r="G139" s="354" t="s">
        <v>850</v>
      </c>
      <c r="H139" s="296">
        <v>50.0</v>
      </c>
      <c r="I139" s="353">
        <v>0.0024423602969910123</v>
      </c>
      <c r="K139" s="296"/>
      <c r="L139" s="354"/>
      <c r="M139" s="369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367" t="str">
        <f>IFERROR(__xludf.DUMMYFUNCTION("""COMPUTED_VALUE"""),"Kraken Lair - Tentacle 1★ #437")</f>
        <v>Kraken Lair - Tentacle 1★ #437</v>
      </c>
      <c r="P139" s="296">
        <f>IFERROR(__xludf.DUMMYFUNCTION("""COMPUTED_VALUE"""),50.0)</f>
        <v>50</v>
      </c>
      <c r="Q139" s="353">
        <f>IFERROR(__xludf.DUMMYFUNCTION("if(P139="""", """", P139/sum(filter($P$16:$P$949, $P$16:$P$949&lt;&gt;"""")))"),0.0024423602969910123)</f>
        <v>0.002442360297</v>
      </c>
    </row>
    <row r="140" ht="12.75" customHeight="1">
      <c r="G140" s="354" t="s">
        <v>851</v>
      </c>
      <c r="H140" s="296">
        <v>50.0</v>
      </c>
      <c r="I140" s="353">
        <v>0.0024423602969910123</v>
      </c>
      <c r="K140" s="296"/>
      <c r="L140" s="354"/>
      <c r="M140" s="369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367" t="str">
        <f>IFERROR(__xludf.DUMMYFUNCTION("""COMPUTED_VALUE"""),"Kraken Lair - Tentacle 1★ #EEC")</f>
        <v>Kraken Lair - Tentacle 1★ #EEC</v>
      </c>
      <c r="P140" s="296">
        <f>IFERROR(__xludf.DUMMYFUNCTION("""COMPUTED_VALUE"""),50.0)</f>
        <v>50</v>
      </c>
      <c r="Q140" s="353">
        <f>IFERROR(__xludf.DUMMYFUNCTION("if(P140="""", """", P140/sum(filter($P$16:$P$949, $P$16:$P$949&lt;&gt;"""")))"),0.0024423602969910123)</f>
        <v>0.002442360297</v>
      </c>
    </row>
    <row r="141" ht="12.75" customHeight="1">
      <c r="G141" s="354" t="s">
        <v>852</v>
      </c>
      <c r="H141" s="296">
        <v>50.0</v>
      </c>
      <c r="I141" s="353">
        <v>0.0024423602969910123</v>
      </c>
      <c r="K141" s="296"/>
      <c r="L141" s="354"/>
      <c r="M141" s="369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367" t="str">
        <f>IFERROR(__xludf.DUMMYFUNCTION("""COMPUTED_VALUE"""),"Kraken Lair - Tentacle 1★ #9A1")</f>
        <v>Kraken Lair - Tentacle 1★ #9A1</v>
      </c>
      <c r="P141" s="296">
        <f>IFERROR(__xludf.DUMMYFUNCTION("""COMPUTED_VALUE"""),50.0)</f>
        <v>50</v>
      </c>
      <c r="Q141" s="353">
        <f>IFERROR(__xludf.DUMMYFUNCTION("if(P141="""", """", P141/sum(filter($P$16:$P$949, $P$16:$P$949&lt;&gt;"""")))"),0.0024423602969910123)</f>
        <v>0.002442360297</v>
      </c>
    </row>
    <row r="142" ht="12.75" customHeight="1">
      <c r="G142" s="354" t="s">
        <v>853</v>
      </c>
      <c r="H142" s="296">
        <v>50.0</v>
      </c>
      <c r="I142" s="353">
        <v>0.0024423602969910123</v>
      </c>
      <c r="K142" s="296"/>
      <c r="L142" s="354"/>
      <c r="M142" s="369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367" t="str">
        <f>IFERROR(__xludf.DUMMYFUNCTION("""COMPUTED_VALUE"""),"Kraken Lair - Tentacle 1★ #456")</f>
        <v>Kraken Lair - Tentacle 1★ #456</v>
      </c>
      <c r="P142" s="296">
        <f>IFERROR(__xludf.DUMMYFUNCTION("""COMPUTED_VALUE"""),50.0)</f>
        <v>50</v>
      </c>
      <c r="Q142" s="353">
        <f>IFERROR(__xludf.DUMMYFUNCTION("if(P142="""", """", P142/sum(filter($P$16:$P$949, $P$16:$P$949&lt;&gt;"""")))"),0.0024423602969910123)</f>
        <v>0.002442360297</v>
      </c>
    </row>
    <row r="143" ht="12.75" customHeight="1">
      <c r="G143" s="354" t="s">
        <v>854</v>
      </c>
      <c r="H143" s="296">
        <v>50.0</v>
      </c>
      <c r="I143" s="353">
        <v>0.0024423602969910123</v>
      </c>
      <c r="K143" s="296"/>
      <c r="L143" s="354"/>
      <c r="M143" s="369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367" t="str">
        <f>IFERROR(__xludf.DUMMYFUNCTION("""COMPUTED_VALUE"""),"Kraken Lair - Tentacle 1★ #F0B")</f>
        <v>Kraken Lair - Tentacle 1★ #F0B</v>
      </c>
      <c r="P143" s="296">
        <f>IFERROR(__xludf.DUMMYFUNCTION("""COMPUTED_VALUE"""),50.0)</f>
        <v>50</v>
      </c>
      <c r="Q143" s="353">
        <f>IFERROR(__xludf.DUMMYFUNCTION("if(P143="""", """", P143/sum(filter($P$16:$P$949, $P$16:$P$949&lt;&gt;"""")))"),0.0024423602969910123)</f>
        <v>0.002442360297</v>
      </c>
    </row>
    <row r="144" ht="12.75" customHeight="1">
      <c r="G144" s="354" t="s">
        <v>855</v>
      </c>
      <c r="H144" s="296">
        <v>50.0</v>
      </c>
      <c r="I144" s="353">
        <v>0.0024423602969910123</v>
      </c>
      <c r="K144" s="296"/>
      <c r="L144" s="354"/>
      <c r="M144" s="369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367" t="str">
        <f>IFERROR(__xludf.DUMMYFUNCTION("""COMPUTED_VALUE"""),"Kraken Lair - Tentacle 1★ #9C0")</f>
        <v>Kraken Lair - Tentacle 1★ #9C0</v>
      </c>
      <c r="P144" s="296">
        <f>IFERROR(__xludf.DUMMYFUNCTION("""COMPUTED_VALUE"""),50.0)</f>
        <v>50</v>
      </c>
      <c r="Q144" s="353">
        <f>IFERROR(__xludf.DUMMYFUNCTION("if(P144="""", """", P144/sum(filter($P$16:$P$949, $P$16:$P$949&lt;&gt;"""")))"),0.0024423602969910123)</f>
        <v>0.002442360297</v>
      </c>
    </row>
    <row r="145" ht="12.75" customHeight="1">
      <c r="G145" s="354" t="s">
        <v>856</v>
      </c>
      <c r="H145" s="296">
        <v>50.0</v>
      </c>
      <c r="I145" s="353">
        <v>0.0024423602969910123</v>
      </c>
      <c r="K145" s="296"/>
      <c r="L145" s="354"/>
      <c r="M145" s="369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367" t="str">
        <f>IFERROR(__xludf.DUMMYFUNCTION("""COMPUTED_VALUE"""),"Kraken Lair - Tentacle 1★ #475")</f>
        <v>Kraken Lair - Tentacle 1★ #475</v>
      </c>
      <c r="P145" s="296">
        <f>IFERROR(__xludf.DUMMYFUNCTION("""COMPUTED_VALUE"""),50.0)</f>
        <v>50</v>
      </c>
      <c r="Q145" s="353">
        <f>IFERROR(__xludf.DUMMYFUNCTION("if(P145="""", """", P145/sum(filter($P$16:$P$949, $P$16:$P$949&lt;&gt;"""")))"),0.0024423602969910123)</f>
        <v>0.002442360297</v>
      </c>
    </row>
    <row r="146" ht="12.75" customHeight="1">
      <c r="G146" s="354" t="s">
        <v>857</v>
      </c>
      <c r="H146" s="296">
        <v>50.0</v>
      </c>
      <c r="I146" s="353">
        <v>0.0024423602969910123</v>
      </c>
      <c r="K146" s="296"/>
      <c r="L146" s="354"/>
      <c r="M146" s="369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367" t="str">
        <f>IFERROR(__xludf.DUMMYFUNCTION("""COMPUTED_VALUE"""),"Kraken Lair - Tentacle 1★ #F2A")</f>
        <v>Kraken Lair - Tentacle 1★ #F2A</v>
      </c>
      <c r="P146" s="296">
        <f>IFERROR(__xludf.DUMMYFUNCTION("""COMPUTED_VALUE"""),50.0)</f>
        <v>50</v>
      </c>
      <c r="Q146" s="353">
        <f>IFERROR(__xludf.DUMMYFUNCTION("if(P146="""", """", P146/sum(filter($P$16:$P$949, $P$16:$P$949&lt;&gt;"""")))"),0.0024423602969910123)</f>
        <v>0.002442360297</v>
      </c>
    </row>
    <row r="147" ht="12.75" customHeight="1">
      <c r="G147" s="354" t="s">
        <v>858</v>
      </c>
      <c r="H147" s="296">
        <v>50.0</v>
      </c>
      <c r="I147" s="353">
        <v>0.0024423602969910123</v>
      </c>
      <c r="K147" s="296"/>
      <c r="L147" s="354"/>
      <c r="M147" s="369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367" t="str">
        <f>IFERROR(__xludf.DUMMYFUNCTION("""COMPUTED_VALUE"""),"Kraken Lair - Tentacle 1★ #9DF")</f>
        <v>Kraken Lair - Tentacle 1★ #9DF</v>
      </c>
      <c r="P147" s="296">
        <f>IFERROR(__xludf.DUMMYFUNCTION("""COMPUTED_VALUE"""),50.0)</f>
        <v>50</v>
      </c>
      <c r="Q147" s="353">
        <f>IFERROR(__xludf.DUMMYFUNCTION("if(P147="""", """", P147/sum(filter($P$16:$P$949, $P$16:$P$949&lt;&gt;"""")))"),0.0024423602969910123)</f>
        <v>0.002442360297</v>
      </c>
    </row>
    <row r="148" ht="12.75" customHeight="1">
      <c r="G148" s="354" t="s">
        <v>859</v>
      </c>
      <c r="H148" s="296">
        <v>50.0</v>
      </c>
      <c r="I148" s="353">
        <v>0.0024423602969910123</v>
      </c>
      <c r="K148" s="296"/>
      <c r="L148" s="354"/>
      <c r="M148" s="369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367" t="str">
        <f>IFERROR(__xludf.DUMMYFUNCTION("""COMPUTED_VALUE"""),"Kraken Lair - Tentacle 1★ #494")</f>
        <v>Kraken Lair - Tentacle 1★ #494</v>
      </c>
      <c r="P148" s="296">
        <f>IFERROR(__xludf.DUMMYFUNCTION("""COMPUTED_VALUE"""),50.0)</f>
        <v>50</v>
      </c>
      <c r="Q148" s="353">
        <f>IFERROR(__xludf.DUMMYFUNCTION("if(P148="""", """", P148/sum(filter($P$16:$P$949, $P$16:$P$949&lt;&gt;"""")))"),0.0024423602969910123)</f>
        <v>0.002442360297</v>
      </c>
    </row>
    <row r="149" ht="12.75" customHeight="1">
      <c r="G149" s="354" t="s">
        <v>860</v>
      </c>
      <c r="H149" s="296">
        <v>50.0</v>
      </c>
      <c r="I149" s="353">
        <v>0.0024423602969910123</v>
      </c>
      <c r="K149" s="296"/>
      <c r="L149" s="354"/>
      <c r="M149" s="369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367" t="str">
        <f>IFERROR(__xludf.DUMMYFUNCTION("""COMPUTED_VALUE"""),"Kraken Lair - Tentacle 1★ #F49")</f>
        <v>Kraken Lair - Tentacle 1★ #F49</v>
      </c>
      <c r="P149" s="296">
        <f>IFERROR(__xludf.DUMMYFUNCTION("""COMPUTED_VALUE"""),50.0)</f>
        <v>50</v>
      </c>
      <c r="Q149" s="353">
        <f>IFERROR(__xludf.DUMMYFUNCTION("if(P149="""", """", P149/sum(filter($P$16:$P$949, $P$16:$P$949&lt;&gt;"""")))"),0.0024423602969910123)</f>
        <v>0.002442360297</v>
      </c>
    </row>
    <row r="150" ht="12.75" customHeight="1">
      <c r="G150" s="354" t="s">
        <v>861</v>
      </c>
      <c r="H150" s="296">
        <v>50.0</v>
      </c>
      <c r="I150" s="353">
        <v>0.0024423602969910123</v>
      </c>
      <c r="K150" s="296"/>
      <c r="L150" s="354"/>
      <c r="M150" s="369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367" t="str">
        <f>IFERROR(__xludf.DUMMYFUNCTION("""COMPUTED_VALUE"""),"Kraken Lair - Tentacle 1★ #9FE")</f>
        <v>Kraken Lair - Tentacle 1★ #9FE</v>
      </c>
      <c r="P150" s="296">
        <f>IFERROR(__xludf.DUMMYFUNCTION("""COMPUTED_VALUE"""),50.0)</f>
        <v>50</v>
      </c>
      <c r="Q150" s="353">
        <f>IFERROR(__xludf.DUMMYFUNCTION("if(P150="""", """", P150/sum(filter($P$16:$P$949, $P$16:$P$949&lt;&gt;"""")))"),0.0024423602969910123)</f>
        <v>0.002442360297</v>
      </c>
    </row>
    <row r="151" ht="12.75" customHeight="1">
      <c r="G151" s="354" t="s">
        <v>862</v>
      </c>
      <c r="H151" s="296">
        <v>50.0</v>
      </c>
      <c r="I151" s="353">
        <v>0.0024423602969910123</v>
      </c>
      <c r="K151" s="296"/>
      <c r="L151" s="354"/>
      <c r="M151" s="369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367" t="str">
        <f>IFERROR(__xludf.DUMMYFUNCTION("""COMPUTED_VALUE"""),"Kraken Lair - Ink Cloud 1★ #4B3")</f>
        <v>Kraken Lair - Ink Cloud 1★ #4B3</v>
      </c>
      <c r="P151" s="296">
        <f>IFERROR(__xludf.DUMMYFUNCTION("""COMPUTED_VALUE"""),50.0)</f>
        <v>50</v>
      </c>
      <c r="Q151" s="353">
        <f>IFERROR(__xludf.DUMMYFUNCTION("if(P151="""", """", P151/sum(filter($P$16:$P$949, $P$16:$P$949&lt;&gt;"""")))"),0.0024423602969910123)</f>
        <v>0.002442360297</v>
      </c>
    </row>
    <row r="152" ht="12.75" customHeight="1">
      <c r="G152" s="354" t="s">
        <v>863</v>
      </c>
      <c r="H152" s="296">
        <v>50.0</v>
      </c>
      <c r="I152" s="353">
        <v>0.0024423602969910123</v>
      </c>
      <c r="K152" s="296"/>
      <c r="L152" s="354"/>
      <c r="M152" s="355"/>
      <c r="O152" s="367" t="str">
        <f>IFERROR(__xludf.DUMMYFUNCTION("""COMPUTED_VALUE"""),"Kraken Lair - Ink Cloud 1★ #F68")</f>
        <v>Kraken Lair - Ink Cloud 1★ #F68</v>
      </c>
      <c r="P152" s="296">
        <f>IFERROR(__xludf.DUMMYFUNCTION("""COMPUTED_VALUE"""),50.0)</f>
        <v>50</v>
      </c>
      <c r="Q152" s="353">
        <f>IFERROR(__xludf.DUMMYFUNCTION("if(P152="""", """", P152/sum(filter($P$16:$P$949, $P$16:$P$949&lt;&gt;"""")))"),0.0024423602969910123)</f>
        <v>0.002442360297</v>
      </c>
    </row>
    <row r="153" ht="12.75" customHeight="1">
      <c r="G153" s="354" t="s">
        <v>864</v>
      </c>
      <c r="H153" s="296">
        <v>50.0</v>
      </c>
      <c r="I153" s="353">
        <v>0.0024423602969910123</v>
      </c>
      <c r="K153" s="296"/>
      <c r="L153" s="354"/>
      <c r="M153" s="355"/>
      <c r="O153" s="367" t="str">
        <f>IFERROR(__xludf.DUMMYFUNCTION("""COMPUTED_VALUE"""),"Kraken Lair - Ink Cloud 1★ #A1D")</f>
        <v>Kraken Lair - Ink Cloud 1★ #A1D</v>
      </c>
      <c r="P153" s="296">
        <f>IFERROR(__xludf.DUMMYFUNCTION("""COMPUTED_VALUE"""),50.0)</f>
        <v>50</v>
      </c>
      <c r="Q153" s="353">
        <f>IFERROR(__xludf.DUMMYFUNCTION("if(P153="""", """", P153/sum(filter($P$16:$P$949, $P$16:$P$949&lt;&gt;"""")))"),0.0024423602969910123)</f>
        <v>0.002442360297</v>
      </c>
    </row>
    <row r="154" ht="12.75" customHeight="1">
      <c r="G154" s="354" t="s">
        <v>865</v>
      </c>
      <c r="H154" s="296">
        <v>50.0</v>
      </c>
      <c r="I154" s="353">
        <v>0.0024423602969910123</v>
      </c>
      <c r="K154" s="296"/>
      <c r="L154" s="354"/>
      <c r="M154" s="355"/>
      <c r="O154" s="367" t="str">
        <f>IFERROR(__xludf.DUMMYFUNCTION("""COMPUTED_VALUE"""),"Kraken Lair - Ink Cloud 1★ #4D2")</f>
        <v>Kraken Lair - Ink Cloud 1★ #4D2</v>
      </c>
      <c r="P154" s="296">
        <f>IFERROR(__xludf.DUMMYFUNCTION("""COMPUTED_VALUE"""),50.0)</f>
        <v>50</v>
      </c>
      <c r="Q154" s="353">
        <f>IFERROR(__xludf.DUMMYFUNCTION("if(P154="""", """", P154/sum(filter($P$16:$P$949, $P$16:$P$949&lt;&gt;"""")))"),0.0024423602969910123)</f>
        <v>0.002442360297</v>
      </c>
    </row>
    <row r="155" ht="12.75" customHeight="1">
      <c r="G155" s="354" t="s">
        <v>866</v>
      </c>
      <c r="H155" s="296">
        <v>50.0</v>
      </c>
      <c r="I155" s="353">
        <v>0.0024423602969910123</v>
      </c>
      <c r="K155" s="296"/>
      <c r="L155" s="354"/>
      <c r="M155" s="355"/>
      <c r="O155" s="367" t="str">
        <f>IFERROR(__xludf.DUMMYFUNCTION("""COMPUTED_VALUE"""),"Kraken Lair - Ink Cloud 1★ #F87")</f>
        <v>Kraken Lair - Ink Cloud 1★ #F87</v>
      </c>
      <c r="P155" s="296">
        <f>IFERROR(__xludf.DUMMYFUNCTION("""COMPUTED_VALUE"""),50.0)</f>
        <v>50</v>
      </c>
      <c r="Q155" s="353">
        <f>IFERROR(__xludf.DUMMYFUNCTION("if(P155="""", """", P155/sum(filter($P$16:$P$949, $P$16:$P$949&lt;&gt;"""")))"),0.0024423602969910123)</f>
        <v>0.002442360297</v>
      </c>
    </row>
    <row r="156" ht="12.75" customHeight="1">
      <c r="G156" s="354" t="s">
        <v>867</v>
      </c>
      <c r="H156" s="296">
        <v>50.0</v>
      </c>
      <c r="I156" s="353">
        <v>0.0024423602969910123</v>
      </c>
      <c r="K156" s="296"/>
      <c r="L156" s="354"/>
      <c r="M156" s="355"/>
      <c r="O156" s="367" t="str">
        <f>IFERROR(__xludf.DUMMYFUNCTION("""COMPUTED_VALUE"""),"Kraken Lair - Ink Cloud 1★ #A3C")</f>
        <v>Kraken Lair - Ink Cloud 1★ #A3C</v>
      </c>
      <c r="P156" s="296">
        <f>IFERROR(__xludf.DUMMYFUNCTION("""COMPUTED_VALUE"""),50.0)</f>
        <v>50</v>
      </c>
      <c r="Q156" s="353">
        <f>IFERROR(__xludf.DUMMYFUNCTION("if(P156="""", """", P156/sum(filter($P$16:$P$949, $P$16:$P$949&lt;&gt;"""")))"),0.0024423602969910123)</f>
        <v>0.002442360297</v>
      </c>
    </row>
    <row r="157" ht="12.75" customHeight="1">
      <c r="G157" s="354" t="s">
        <v>868</v>
      </c>
      <c r="H157" s="296">
        <v>50.0</v>
      </c>
      <c r="I157" s="353">
        <v>0.0024423602969910123</v>
      </c>
      <c r="K157" s="296"/>
      <c r="L157" s="354"/>
      <c r="M157" s="355"/>
      <c r="O157" s="367" t="str">
        <f>IFERROR(__xludf.DUMMYFUNCTION("""COMPUTED_VALUE"""),"Kraken Lair - Ink Cloud 1★ #4F1")</f>
        <v>Kraken Lair - Ink Cloud 1★ #4F1</v>
      </c>
      <c r="P157" s="296">
        <f>IFERROR(__xludf.DUMMYFUNCTION("""COMPUTED_VALUE"""),50.0)</f>
        <v>50</v>
      </c>
      <c r="Q157" s="353">
        <f>IFERROR(__xludf.DUMMYFUNCTION("if(P157="""", """", P157/sum(filter($P$16:$P$949, $P$16:$P$949&lt;&gt;"""")))"),0.0024423602969910123)</f>
        <v>0.002442360297</v>
      </c>
    </row>
    <row r="158" ht="12.75" customHeight="1">
      <c r="G158" s="354" t="s">
        <v>869</v>
      </c>
      <c r="H158" s="296">
        <v>50.0</v>
      </c>
      <c r="I158" s="353">
        <v>0.0024423602969910123</v>
      </c>
      <c r="K158" s="296"/>
      <c r="L158" s="354"/>
      <c r="M158" s="355"/>
      <c r="O158" s="367" t="str">
        <f>IFERROR(__xludf.DUMMYFUNCTION("""COMPUTED_VALUE"""),"Kraken Lair - Ink Cloud 1★ #FA6")</f>
        <v>Kraken Lair - Ink Cloud 1★ #FA6</v>
      </c>
      <c r="P158" s="296">
        <f>IFERROR(__xludf.DUMMYFUNCTION("""COMPUTED_VALUE"""),50.0)</f>
        <v>50</v>
      </c>
      <c r="Q158" s="353">
        <f>IFERROR(__xludf.DUMMYFUNCTION("if(P158="""", """", P158/sum(filter($P$16:$P$949, $P$16:$P$949&lt;&gt;"""")))"),0.0024423602969910123)</f>
        <v>0.002442360297</v>
      </c>
    </row>
    <row r="159" ht="12.75" customHeight="1">
      <c r="G159" s="354" t="s">
        <v>870</v>
      </c>
      <c r="H159" s="296">
        <v>50.0</v>
      </c>
      <c r="I159" s="353">
        <v>0.0024423602969910123</v>
      </c>
      <c r="K159" s="296"/>
      <c r="L159" s="354"/>
      <c r="M159" s="355"/>
      <c r="O159" s="367" t="str">
        <f>IFERROR(__xludf.DUMMYFUNCTION("""COMPUTED_VALUE"""),"Kraken Lair - Ink Cloud 1★ #A5B")</f>
        <v>Kraken Lair - Ink Cloud 1★ #A5B</v>
      </c>
      <c r="P159" s="296">
        <f>IFERROR(__xludf.DUMMYFUNCTION("""COMPUTED_VALUE"""),50.0)</f>
        <v>50</v>
      </c>
      <c r="Q159" s="353">
        <f>IFERROR(__xludf.DUMMYFUNCTION("if(P159="""", """", P159/sum(filter($P$16:$P$949, $P$16:$P$949&lt;&gt;"""")))"),0.0024423602969910123)</f>
        <v>0.002442360297</v>
      </c>
    </row>
    <row r="160" ht="12.75" customHeight="1">
      <c r="G160" s="354" t="s">
        <v>871</v>
      </c>
      <c r="H160" s="296">
        <v>50.0</v>
      </c>
      <c r="I160" s="353">
        <v>0.0024423602969910123</v>
      </c>
      <c r="K160" s="296"/>
      <c r="L160" s="354"/>
      <c r="M160" s="355"/>
      <c r="O160" s="367" t="str">
        <f>IFERROR(__xludf.DUMMYFUNCTION("""COMPUTED_VALUE"""),"Kraken Lair - Ink Cloud 1★ #510")</f>
        <v>Kraken Lair - Ink Cloud 1★ #510</v>
      </c>
      <c r="P160" s="296">
        <f>IFERROR(__xludf.DUMMYFUNCTION("""COMPUTED_VALUE"""),50.0)</f>
        <v>50</v>
      </c>
      <c r="Q160" s="353">
        <f>IFERROR(__xludf.DUMMYFUNCTION("if(P160="""", """", P160/sum(filter($P$16:$P$949, $P$16:$P$949&lt;&gt;"""")))"),0.0024423602969910123)</f>
        <v>0.002442360297</v>
      </c>
    </row>
    <row r="161" ht="12.75" customHeight="1">
      <c r="G161" s="354" t="s">
        <v>872</v>
      </c>
      <c r="H161" s="296">
        <v>50.0</v>
      </c>
      <c r="I161" s="353">
        <v>0.0024423602969910123</v>
      </c>
      <c r="K161" s="296"/>
      <c r="L161" s="354"/>
      <c r="M161" s="355"/>
      <c r="O161" s="367" t="str">
        <f>IFERROR(__xludf.DUMMYFUNCTION("""COMPUTED_VALUE"""),"Kraken Lair - Ink Cloud 1★ #FC5")</f>
        <v>Kraken Lair - Ink Cloud 1★ #FC5</v>
      </c>
      <c r="P161" s="296">
        <f>IFERROR(__xludf.DUMMYFUNCTION("""COMPUTED_VALUE"""),50.0)</f>
        <v>50</v>
      </c>
      <c r="Q161" s="355"/>
    </row>
    <row r="162" ht="12.75" customHeight="1">
      <c r="G162" s="354" t="s">
        <v>873</v>
      </c>
      <c r="H162" s="296">
        <v>50.0</v>
      </c>
      <c r="I162" s="353">
        <v>0.0024423602969910123</v>
      </c>
      <c r="K162" s="296"/>
      <c r="L162" s="354"/>
      <c r="M162" s="355"/>
      <c r="O162" s="367" t="str">
        <f>IFERROR(__xludf.DUMMYFUNCTION("""COMPUTED_VALUE"""),"Kraken Lair - Ink Cloud 1★ #A7A")</f>
        <v>Kraken Lair - Ink Cloud 1★ #A7A</v>
      </c>
      <c r="P162" s="296">
        <f>IFERROR(__xludf.DUMMYFUNCTION("""COMPUTED_VALUE"""),50.0)</f>
        <v>50</v>
      </c>
      <c r="Q162" s="355"/>
    </row>
    <row r="163" ht="12.75" customHeight="1">
      <c r="G163" s="354" t="s">
        <v>874</v>
      </c>
      <c r="H163" s="296">
        <v>50.0</v>
      </c>
      <c r="I163" s="353">
        <v>0.0024423602969910123</v>
      </c>
      <c r="K163" s="296"/>
      <c r="L163" s="354"/>
      <c r="M163" s="355"/>
      <c r="O163" s="367" t="str">
        <f>IFERROR(__xludf.DUMMYFUNCTION("""COMPUTED_VALUE"""),"Kraken Lair - Ink Cloud 1★ #52F")</f>
        <v>Kraken Lair - Ink Cloud 1★ #52F</v>
      </c>
      <c r="P163" s="296">
        <f>IFERROR(__xludf.DUMMYFUNCTION("""COMPUTED_VALUE"""),50.0)</f>
        <v>50</v>
      </c>
      <c r="Q163" s="355"/>
    </row>
    <row r="164" ht="12.75" customHeight="1">
      <c r="G164" s="354" t="s">
        <v>875</v>
      </c>
      <c r="H164" s="296">
        <v>50.0</v>
      </c>
      <c r="I164" s="353">
        <v>0.0024423602969910123</v>
      </c>
      <c r="K164" s="296"/>
      <c r="L164" s="354"/>
      <c r="M164" s="355"/>
      <c r="O164" s="367" t="str">
        <f>IFERROR(__xludf.DUMMYFUNCTION("""COMPUTED_VALUE"""),"Kraken Lair - Ink Cloud 1★ #FE4")</f>
        <v>Kraken Lair - Ink Cloud 1★ #FE4</v>
      </c>
      <c r="P164" s="296">
        <f>IFERROR(__xludf.DUMMYFUNCTION("""COMPUTED_VALUE"""),50.0)</f>
        <v>50</v>
      </c>
      <c r="Q164" s="355"/>
    </row>
    <row r="165" ht="12.75" customHeight="1">
      <c r="G165" s="354" t="s">
        <v>876</v>
      </c>
      <c r="H165" s="296">
        <v>50.0</v>
      </c>
      <c r="I165" s="353">
        <v>0.0024423602969910123</v>
      </c>
      <c r="K165" s="296"/>
      <c r="L165" s="354"/>
      <c r="M165" s="355"/>
      <c r="O165" s="367" t="str">
        <f>IFERROR(__xludf.DUMMYFUNCTION("""COMPUTED_VALUE"""),"Kraken Lair - Pearl 1★ #A99")</f>
        <v>Kraken Lair - Pearl 1★ #A99</v>
      </c>
      <c r="P165" s="296">
        <f>IFERROR(__xludf.DUMMYFUNCTION("""COMPUTED_VALUE"""),50.0)</f>
        <v>50</v>
      </c>
      <c r="Q165" s="355"/>
    </row>
    <row r="166" ht="12.75" customHeight="1">
      <c r="G166" s="354" t="s">
        <v>877</v>
      </c>
      <c r="H166" s="296">
        <v>50.0</v>
      </c>
      <c r="I166" s="353">
        <v>0.0024423602969910123</v>
      </c>
      <c r="K166" s="296"/>
      <c r="L166" s="354"/>
      <c r="M166" s="355"/>
      <c r="O166" s="367" t="str">
        <f>IFERROR(__xludf.DUMMYFUNCTION("""COMPUTED_VALUE"""),"Kraken Lair - Pearl 1★ #54E")</f>
        <v>Kraken Lair - Pearl 1★ #54E</v>
      </c>
      <c r="P166" s="296">
        <f>IFERROR(__xludf.DUMMYFUNCTION("""COMPUTED_VALUE"""),50.0)</f>
        <v>50</v>
      </c>
      <c r="Q166" s="355"/>
    </row>
    <row r="167" ht="12.75" customHeight="1">
      <c r="G167" s="354" t="s">
        <v>878</v>
      </c>
      <c r="H167" s="296">
        <v>50.0</v>
      </c>
      <c r="I167" s="353">
        <v>0.0024423602969910123</v>
      </c>
      <c r="K167" s="296"/>
      <c r="L167" s="354"/>
      <c r="M167" s="355"/>
      <c r="O167" s="367" t="str">
        <f>IFERROR(__xludf.DUMMYFUNCTION("""COMPUTED_VALUE"""),"Kraken Lair - Pearl 1★ #003")</f>
        <v>Kraken Lair - Pearl 1★ #003</v>
      </c>
      <c r="P167" s="296">
        <f>IFERROR(__xludf.DUMMYFUNCTION("""COMPUTED_VALUE"""),50.0)</f>
        <v>50</v>
      </c>
      <c r="Q167" s="355"/>
    </row>
    <row r="168" ht="12.75" customHeight="1">
      <c r="G168" s="354" t="s">
        <v>879</v>
      </c>
      <c r="H168" s="296">
        <v>50.0</v>
      </c>
      <c r="I168" s="353">
        <v>0.0024423602969910123</v>
      </c>
      <c r="K168" s="296"/>
      <c r="L168" s="354"/>
      <c r="M168" s="355"/>
      <c r="O168" s="367" t="str">
        <f>IFERROR(__xludf.DUMMYFUNCTION("""COMPUTED_VALUE"""),"Kraken Lair - Pearl 1★ #AB8")</f>
        <v>Kraken Lair - Pearl 1★ #AB8</v>
      </c>
      <c r="P168" s="296">
        <f>IFERROR(__xludf.DUMMYFUNCTION("""COMPUTED_VALUE"""),50.0)</f>
        <v>50</v>
      </c>
      <c r="Q168" s="355"/>
    </row>
    <row r="169" ht="12.75" customHeight="1">
      <c r="G169" s="354" t="s">
        <v>880</v>
      </c>
      <c r="H169" s="296">
        <v>50.0</v>
      </c>
      <c r="I169" s="353">
        <v>0.0024423602969910123</v>
      </c>
      <c r="K169" s="296"/>
      <c r="L169" s="354"/>
      <c r="M169" s="355"/>
      <c r="O169" s="367" t="str">
        <f>IFERROR(__xludf.DUMMYFUNCTION("""COMPUTED_VALUE"""),"Kraken Lair - Pearl 1★ #56D")</f>
        <v>Kraken Lair - Pearl 1★ #56D</v>
      </c>
      <c r="P169" s="296">
        <f>IFERROR(__xludf.DUMMYFUNCTION("""COMPUTED_VALUE"""),50.0)</f>
        <v>50</v>
      </c>
      <c r="Q169" s="355"/>
    </row>
    <row r="170" ht="12.75" customHeight="1">
      <c r="G170" s="354" t="s">
        <v>881</v>
      </c>
      <c r="H170" s="296">
        <v>50.0</v>
      </c>
      <c r="I170" s="353">
        <v>0.0024423602969910123</v>
      </c>
      <c r="K170" s="296"/>
      <c r="L170" s="354"/>
      <c r="M170" s="355"/>
      <c r="O170" s="367" t="str">
        <f>IFERROR(__xludf.DUMMYFUNCTION("""COMPUTED_VALUE"""),"Kraken Lair - Pearl 1★ #022")</f>
        <v>Kraken Lair - Pearl 1★ #022</v>
      </c>
      <c r="P170" s="296">
        <f>IFERROR(__xludf.DUMMYFUNCTION("""COMPUTED_VALUE"""),50.0)</f>
        <v>50</v>
      </c>
      <c r="Q170" s="355"/>
    </row>
    <row r="171" ht="12.75" customHeight="1">
      <c r="G171" s="354" t="s">
        <v>882</v>
      </c>
      <c r="H171" s="296">
        <v>50.0</v>
      </c>
      <c r="I171" s="353">
        <v>0.0024423602969910123</v>
      </c>
      <c r="K171" s="296"/>
      <c r="L171" s="354"/>
      <c r="M171" s="355"/>
      <c r="O171" s="367" t="str">
        <f>IFERROR(__xludf.DUMMYFUNCTION("""COMPUTED_VALUE"""),"Kraken Lair - Pearl 1★ #AD7")</f>
        <v>Kraken Lair - Pearl 1★ #AD7</v>
      </c>
      <c r="P171" s="296">
        <f>IFERROR(__xludf.DUMMYFUNCTION("""COMPUTED_VALUE"""),50.0)</f>
        <v>50</v>
      </c>
      <c r="Q171" s="355"/>
    </row>
    <row r="172" ht="12.75" customHeight="1">
      <c r="G172" s="354" t="s">
        <v>883</v>
      </c>
      <c r="H172" s="296">
        <v>50.0</v>
      </c>
      <c r="I172" s="353">
        <v>0.0024423602969910123</v>
      </c>
      <c r="K172" s="296"/>
      <c r="L172" s="354"/>
      <c r="M172" s="355"/>
      <c r="O172" s="367" t="str">
        <f>IFERROR(__xludf.DUMMYFUNCTION("""COMPUTED_VALUE"""),"Kraken Lair - Pearl 1★ #58C")</f>
        <v>Kraken Lair - Pearl 1★ #58C</v>
      </c>
      <c r="P172" s="296">
        <f>IFERROR(__xludf.DUMMYFUNCTION("""COMPUTED_VALUE"""),50.0)</f>
        <v>50</v>
      </c>
      <c r="Q172" s="355"/>
    </row>
    <row r="173" ht="12.75" customHeight="1">
      <c r="G173" s="354" t="s">
        <v>884</v>
      </c>
      <c r="H173" s="296">
        <v>50.0</v>
      </c>
      <c r="I173" s="353">
        <v>0.0024423602969910123</v>
      </c>
      <c r="K173" s="296"/>
      <c r="L173" s="354"/>
      <c r="M173" s="355"/>
      <c r="O173" s="367" t="str">
        <f>IFERROR(__xludf.DUMMYFUNCTION("""COMPUTED_VALUE"""),"Kraken Lair - Pearl 1★ #041")</f>
        <v>Kraken Lair - Pearl 1★ #041</v>
      </c>
      <c r="P173" s="296">
        <f>IFERROR(__xludf.DUMMYFUNCTION("""COMPUTED_VALUE"""),50.0)</f>
        <v>50</v>
      </c>
      <c r="Q173" s="355"/>
    </row>
    <row r="174" ht="12.75" customHeight="1">
      <c r="G174" s="354" t="s">
        <v>885</v>
      </c>
      <c r="H174" s="296">
        <v>50.0</v>
      </c>
      <c r="I174" s="353">
        <v>0.0024423602969910123</v>
      </c>
      <c r="K174" s="296"/>
      <c r="L174" s="354"/>
      <c r="M174" s="355"/>
      <c r="O174" s="367" t="str">
        <f>IFERROR(__xludf.DUMMYFUNCTION("""COMPUTED_VALUE"""),"Kraken Lair - Pearl 1★ #AF6")</f>
        <v>Kraken Lair - Pearl 1★ #AF6</v>
      </c>
      <c r="P174" s="296">
        <f>IFERROR(__xludf.DUMMYFUNCTION("""COMPUTED_VALUE"""),50.0)</f>
        <v>50</v>
      </c>
      <c r="Q174" s="355"/>
    </row>
    <row r="175" ht="12.75" customHeight="1">
      <c r="G175" s="354" t="s">
        <v>886</v>
      </c>
      <c r="H175" s="296">
        <v>50.0</v>
      </c>
      <c r="I175" s="353">
        <v>0.0024423602969910123</v>
      </c>
      <c r="K175" s="296"/>
      <c r="L175" s="354"/>
      <c r="M175" s="355"/>
      <c r="O175" s="367" t="str">
        <f>IFERROR(__xludf.DUMMYFUNCTION("""COMPUTED_VALUE"""),"Kraken Lair - Pearl 1★ #5AB")</f>
        <v>Kraken Lair - Pearl 1★ #5AB</v>
      </c>
      <c r="P175" s="296">
        <f>IFERROR(__xludf.DUMMYFUNCTION("""COMPUTED_VALUE"""),50.0)</f>
        <v>50</v>
      </c>
      <c r="Q175" s="355"/>
    </row>
    <row r="176" ht="12.75" customHeight="1">
      <c r="G176" s="354" t="s">
        <v>887</v>
      </c>
      <c r="H176" s="296">
        <v>50.0</v>
      </c>
      <c r="I176" s="353">
        <v>0.0024423602969910123</v>
      </c>
      <c r="K176" s="296"/>
      <c r="L176" s="354"/>
      <c r="M176" s="355"/>
      <c r="O176" s="367" t="str">
        <f>IFERROR(__xludf.DUMMYFUNCTION("""COMPUTED_VALUE"""),"Kraken Lair - Pearl 1★ #060")</f>
        <v>Kraken Lair - Pearl 1★ #060</v>
      </c>
      <c r="P176" s="296">
        <f>IFERROR(__xludf.DUMMYFUNCTION("""COMPUTED_VALUE"""),50.0)</f>
        <v>50</v>
      </c>
      <c r="Q176" s="355"/>
    </row>
    <row r="177" ht="12.75" customHeight="1">
      <c r="G177" s="354" t="s">
        <v>888</v>
      </c>
      <c r="H177" s="296">
        <v>50.0</v>
      </c>
      <c r="I177" s="353">
        <v>0.0024423602969910123</v>
      </c>
      <c r="K177" s="296"/>
      <c r="L177" s="354"/>
      <c r="M177" s="355"/>
      <c r="O177" s="367" t="str">
        <f>IFERROR(__xludf.DUMMYFUNCTION("""COMPUTED_VALUE"""),"Kraken Lair - Pearl 1★ #B15")</f>
        <v>Kraken Lair - Pearl 1★ #B15</v>
      </c>
      <c r="P177" s="296">
        <f>IFERROR(__xludf.DUMMYFUNCTION("""COMPUTED_VALUE"""),50.0)</f>
        <v>50</v>
      </c>
      <c r="Q177" s="355"/>
    </row>
    <row r="178" ht="12.75" customHeight="1">
      <c r="G178" s="354" t="s">
        <v>889</v>
      </c>
      <c r="H178" s="296">
        <v>50.0</v>
      </c>
      <c r="I178" s="353">
        <v>0.0024423602969910123</v>
      </c>
      <c r="K178" s="296"/>
      <c r="L178" s="354"/>
      <c r="M178" s="355"/>
      <c r="O178" s="367" t="str">
        <f>IFERROR(__xludf.DUMMYFUNCTION("""COMPUTED_VALUE"""),"Kraken Lair - Pearl 1★ #5CA")</f>
        <v>Kraken Lair - Pearl 1★ #5CA</v>
      </c>
      <c r="P178" s="296">
        <f>IFERROR(__xludf.DUMMYFUNCTION("""COMPUTED_VALUE"""),50.0)</f>
        <v>50</v>
      </c>
      <c r="Q178" s="355"/>
    </row>
    <row r="179" ht="12.75" customHeight="1">
      <c r="G179" s="354" t="s">
        <v>890</v>
      </c>
      <c r="H179" s="296">
        <v>50.0</v>
      </c>
      <c r="I179" s="353">
        <v>0.0024423602969910123</v>
      </c>
      <c r="K179" s="296"/>
      <c r="L179" s="354"/>
      <c r="M179" s="355"/>
      <c r="O179" s="367" t="str">
        <f>IFERROR(__xludf.DUMMYFUNCTION("""COMPUTED_VALUE"""),"Kraken Lair - Trident 1★ #07F")</f>
        <v>Kraken Lair - Trident 1★ #07F</v>
      </c>
      <c r="P179" s="296">
        <f>IFERROR(__xludf.DUMMYFUNCTION("""COMPUTED_VALUE"""),50.0)</f>
        <v>50</v>
      </c>
      <c r="Q179" s="355"/>
    </row>
    <row r="180" ht="12.75" customHeight="1">
      <c r="G180" s="354" t="s">
        <v>891</v>
      </c>
      <c r="H180" s="296">
        <v>50.0</v>
      </c>
      <c r="I180" s="353">
        <v>0.0024423602969910123</v>
      </c>
      <c r="K180" s="296"/>
      <c r="L180" s="354"/>
      <c r="M180" s="355"/>
      <c r="O180" s="367" t="str">
        <f>IFERROR(__xludf.DUMMYFUNCTION("""COMPUTED_VALUE"""),"Kraken Lair - Trident 1★ #B34")</f>
        <v>Kraken Lair - Trident 1★ #B34</v>
      </c>
      <c r="P180" s="296">
        <f>IFERROR(__xludf.DUMMYFUNCTION("""COMPUTED_VALUE"""),50.0)</f>
        <v>50</v>
      </c>
      <c r="Q180" s="355"/>
    </row>
    <row r="181" ht="12.75" customHeight="1">
      <c r="G181" s="354" t="s">
        <v>892</v>
      </c>
      <c r="H181" s="296">
        <v>50.0</v>
      </c>
      <c r="I181" s="353">
        <v>0.0024423602969910123</v>
      </c>
      <c r="K181" s="296"/>
      <c r="L181" s="354"/>
      <c r="M181" s="355"/>
      <c r="O181" s="367" t="str">
        <f>IFERROR(__xludf.DUMMYFUNCTION("""COMPUTED_VALUE"""),"Kraken Lair - Trident 1★ #5E9")</f>
        <v>Kraken Lair - Trident 1★ #5E9</v>
      </c>
      <c r="P181" s="296">
        <f>IFERROR(__xludf.DUMMYFUNCTION("""COMPUTED_VALUE"""),50.0)</f>
        <v>50</v>
      </c>
      <c r="Q181" s="355"/>
    </row>
    <row r="182" ht="12.75" customHeight="1">
      <c r="G182" s="354" t="s">
        <v>893</v>
      </c>
      <c r="H182" s="296">
        <v>50.0</v>
      </c>
      <c r="I182" s="353">
        <v>0.0024423602969910123</v>
      </c>
      <c r="K182" s="296"/>
      <c r="L182" s="354"/>
      <c r="M182" s="355"/>
      <c r="O182" s="367" t="str">
        <f>IFERROR(__xludf.DUMMYFUNCTION("""COMPUTED_VALUE"""),"Kraken Lair - Trident 1★ #09E")</f>
        <v>Kraken Lair - Trident 1★ #09E</v>
      </c>
      <c r="P182" s="296">
        <f>IFERROR(__xludf.DUMMYFUNCTION("""COMPUTED_VALUE"""),50.0)</f>
        <v>50</v>
      </c>
      <c r="Q182" s="355"/>
    </row>
    <row r="183" ht="12.75" customHeight="1">
      <c r="G183" s="354" t="s">
        <v>894</v>
      </c>
      <c r="H183" s="296">
        <v>50.0</v>
      </c>
      <c r="I183" s="353">
        <v>0.0024423602969910123</v>
      </c>
      <c r="K183" s="296"/>
      <c r="L183" s="354"/>
      <c r="M183" s="355"/>
      <c r="O183" s="367" t="str">
        <f>IFERROR(__xludf.DUMMYFUNCTION("""COMPUTED_VALUE"""),"Kraken Lair - Trident 1★ #B53")</f>
        <v>Kraken Lair - Trident 1★ #B53</v>
      </c>
      <c r="P183" s="296">
        <f>IFERROR(__xludf.DUMMYFUNCTION("""COMPUTED_VALUE"""),50.0)</f>
        <v>50</v>
      </c>
      <c r="Q183" s="355"/>
    </row>
    <row r="184" ht="12.75" customHeight="1">
      <c r="G184" s="354" t="s">
        <v>895</v>
      </c>
      <c r="H184" s="296">
        <v>50.0</v>
      </c>
      <c r="I184" s="353">
        <v>0.0024423602969910123</v>
      </c>
      <c r="K184" s="296"/>
      <c r="L184" s="354"/>
      <c r="M184" s="355"/>
      <c r="O184" s="367" t="str">
        <f>IFERROR(__xludf.DUMMYFUNCTION("""COMPUTED_VALUE"""),"Kraken Lair - Trident 1★ #608")</f>
        <v>Kraken Lair - Trident 1★ #608</v>
      </c>
      <c r="P184" s="296">
        <f>IFERROR(__xludf.DUMMYFUNCTION("""COMPUTED_VALUE"""),50.0)</f>
        <v>50</v>
      </c>
      <c r="Q184" s="355"/>
    </row>
    <row r="185" ht="12.75" customHeight="1">
      <c r="G185" s="354" t="s">
        <v>896</v>
      </c>
      <c r="H185" s="296">
        <v>50.0</v>
      </c>
      <c r="I185" s="353">
        <v>0.0024423602969910123</v>
      </c>
      <c r="K185" s="296"/>
      <c r="L185" s="354"/>
      <c r="M185" s="355"/>
      <c r="O185" s="367" t="str">
        <f>IFERROR(__xludf.DUMMYFUNCTION("""COMPUTED_VALUE"""),"Kraken Lair - Trident 1★ #0BD")</f>
        <v>Kraken Lair - Trident 1★ #0BD</v>
      </c>
      <c r="P185" s="296">
        <f>IFERROR(__xludf.DUMMYFUNCTION("""COMPUTED_VALUE"""),50.0)</f>
        <v>50</v>
      </c>
      <c r="Q185" s="355"/>
    </row>
    <row r="186" ht="12.75" customHeight="1">
      <c r="G186" s="354" t="s">
        <v>897</v>
      </c>
      <c r="H186" s="296">
        <v>50.0</v>
      </c>
      <c r="I186" s="353">
        <v>0.0024423602969910123</v>
      </c>
      <c r="K186" s="296"/>
      <c r="L186" s="354"/>
      <c r="M186" s="355"/>
      <c r="O186" s="367" t="str">
        <f>IFERROR(__xludf.DUMMYFUNCTION("""COMPUTED_VALUE"""),"Kraken Lair - Trident 1★ #B72")</f>
        <v>Kraken Lair - Trident 1★ #B72</v>
      </c>
      <c r="P186" s="296">
        <f>IFERROR(__xludf.DUMMYFUNCTION("""COMPUTED_VALUE"""),50.0)</f>
        <v>50</v>
      </c>
      <c r="Q186" s="355"/>
    </row>
    <row r="187" ht="12.75" customHeight="1">
      <c r="G187" s="354" t="s">
        <v>898</v>
      </c>
      <c r="H187" s="296">
        <v>50.0</v>
      </c>
      <c r="I187" s="353">
        <v>0.0024423602969910123</v>
      </c>
      <c r="K187" s="296"/>
      <c r="L187" s="354"/>
      <c r="M187" s="355"/>
      <c r="O187" s="367" t="str">
        <f>IFERROR(__xludf.DUMMYFUNCTION("""COMPUTED_VALUE"""),"Kraken Lair - Trident 1★ #627")</f>
        <v>Kraken Lair - Trident 1★ #627</v>
      </c>
      <c r="P187" s="296">
        <f>IFERROR(__xludf.DUMMYFUNCTION("""COMPUTED_VALUE"""),50.0)</f>
        <v>50</v>
      </c>
      <c r="Q187" s="355"/>
    </row>
    <row r="188" ht="12.75" customHeight="1">
      <c r="B188" s="190" t="str">
        <f>IFERROR(__xludf.DUMMYFUNCTION("iferror(filter(#REF!, #REF!=#REF!, #REF!=#REF!), """")"),"")</f>
        <v/>
      </c>
      <c r="G188" s="354" t="s">
        <v>899</v>
      </c>
      <c r="H188" s="296">
        <v>50.0</v>
      </c>
      <c r="I188" s="353">
        <v>0.0024423602969910123</v>
      </c>
      <c r="K188" s="296"/>
      <c r="L188" s="354"/>
      <c r="M188" s="355"/>
      <c r="O188" s="367" t="str">
        <f>IFERROR(__xludf.DUMMYFUNCTION("""COMPUTED_VALUE"""),"Kraken Lair - Trident 1★ #0DC")</f>
        <v>Kraken Lair - Trident 1★ #0DC</v>
      </c>
      <c r="P188" s="296">
        <f>IFERROR(__xludf.DUMMYFUNCTION("""COMPUTED_VALUE"""),50.0)</f>
        <v>50</v>
      </c>
      <c r="Q188" s="355"/>
    </row>
    <row r="189" ht="12.75" customHeight="1">
      <c r="G189" s="354" t="s">
        <v>900</v>
      </c>
      <c r="H189" s="296">
        <v>50.0</v>
      </c>
      <c r="I189" s="353">
        <v>0.0024423602969910123</v>
      </c>
      <c r="K189" s="296"/>
      <c r="L189" s="354"/>
      <c r="M189" s="355"/>
      <c r="O189" s="367" t="str">
        <f>IFERROR(__xludf.DUMMYFUNCTION("""COMPUTED_VALUE"""),"Kraken Lair - Trident 1★ #B91")</f>
        <v>Kraken Lair - Trident 1★ #B91</v>
      </c>
      <c r="P189" s="296">
        <f>IFERROR(__xludf.DUMMYFUNCTION("""COMPUTED_VALUE"""),50.0)</f>
        <v>50</v>
      </c>
      <c r="Q189" s="355"/>
    </row>
    <row r="190" ht="12.75" customHeight="1">
      <c r="G190" s="354" t="s">
        <v>901</v>
      </c>
      <c r="H190" s="296">
        <v>50.0</v>
      </c>
      <c r="I190" s="353">
        <v>0.0024423602969910123</v>
      </c>
      <c r="K190" s="296"/>
      <c r="L190" s="354"/>
      <c r="M190" s="355"/>
      <c r="O190" s="367" t="str">
        <f>IFERROR(__xludf.DUMMYFUNCTION("""COMPUTED_VALUE"""),"Kraken Lair - Trident 1★ #646")</f>
        <v>Kraken Lair - Trident 1★ #646</v>
      </c>
      <c r="P190" s="296">
        <f>IFERROR(__xludf.DUMMYFUNCTION("""COMPUTED_VALUE"""),50.0)</f>
        <v>50</v>
      </c>
      <c r="Q190" s="355"/>
    </row>
    <row r="191" ht="12.75" customHeight="1">
      <c r="G191" s="354" t="s">
        <v>902</v>
      </c>
      <c r="H191" s="296">
        <v>50.0</v>
      </c>
      <c r="I191" s="353">
        <v>0.0024423602969910123</v>
      </c>
      <c r="K191" s="296"/>
      <c r="L191" s="354"/>
      <c r="M191" s="355"/>
      <c r="O191" s="367" t="str">
        <f>IFERROR(__xludf.DUMMYFUNCTION("""COMPUTED_VALUE"""),"Kraken Lair - Trident 1★ #0FB")</f>
        <v>Kraken Lair - Trident 1★ #0FB</v>
      </c>
      <c r="P191" s="296">
        <f>IFERROR(__xludf.DUMMYFUNCTION("""COMPUTED_VALUE"""),50.0)</f>
        <v>50</v>
      </c>
      <c r="Q191" s="355"/>
    </row>
    <row r="192" ht="12.75" customHeight="1">
      <c r="G192" s="354" t="s">
        <v>903</v>
      </c>
      <c r="H192" s="296">
        <v>50.0</v>
      </c>
      <c r="I192" s="353">
        <v>0.0024423602969910123</v>
      </c>
      <c r="K192" s="296"/>
      <c r="L192" s="354"/>
      <c r="M192" s="355"/>
      <c r="O192" s="367" t="str">
        <f>IFERROR(__xludf.DUMMYFUNCTION("""COMPUTED_VALUE"""),"Kraken Lair - Trident 1★ #BB0")</f>
        <v>Kraken Lair - Trident 1★ #BB0</v>
      </c>
      <c r="P192" s="296">
        <f>IFERROR(__xludf.DUMMYFUNCTION("""COMPUTED_VALUE"""),50.0)</f>
        <v>50</v>
      </c>
      <c r="Q192" s="355"/>
    </row>
    <row r="193" ht="12.75" customHeight="1">
      <c r="G193" s="354" t="s">
        <v>904</v>
      </c>
      <c r="H193" s="296">
        <v>20.0</v>
      </c>
      <c r="I193" s="353">
        <v>9.769441187964048E-4</v>
      </c>
      <c r="K193" s="296"/>
      <c r="L193" s="354"/>
      <c r="M193" s="355"/>
      <c r="O193" s="367" t="str">
        <f>IFERROR(__xludf.DUMMYFUNCTION("""COMPUTED_VALUE"""),"Kraken Lair - Shell 2★ #665")</f>
        <v>Kraken Lair - Shell 2★ #665</v>
      </c>
      <c r="P193" s="296">
        <f>IFERROR(__xludf.DUMMYFUNCTION("""COMPUTED_VALUE"""),20.0)</f>
        <v>20</v>
      </c>
      <c r="Q193" s="355"/>
    </row>
    <row r="194" ht="12.75" customHeight="1">
      <c r="G194" s="354" t="s">
        <v>905</v>
      </c>
      <c r="H194" s="296">
        <v>20.0</v>
      </c>
      <c r="I194" s="353">
        <v>9.769441187964048E-4</v>
      </c>
      <c r="K194" s="296"/>
      <c r="L194" s="354"/>
      <c r="M194" s="355"/>
      <c r="O194" s="367" t="str">
        <f>IFERROR(__xludf.DUMMYFUNCTION("""COMPUTED_VALUE"""),"Kraken Lair - Shell 2★ #11A")</f>
        <v>Kraken Lair - Shell 2★ #11A</v>
      </c>
      <c r="P194" s="296">
        <f>IFERROR(__xludf.DUMMYFUNCTION("""COMPUTED_VALUE"""),20.0)</f>
        <v>20</v>
      </c>
      <c r="Q194" s="355"/>
    </row>
    <row r="195" ht="12.75" customHeight="1">
      <c r="G195" s="354" t="s">
        <v>906</v>
      </c>
      <c r="H195" s="296">
        <v>20.0</v>
      </c>
      <c r="I195" s="353">
        <v>9.769441187964048E-4</v>
      </c>
      <c r="K195" s="296"/>
      <c r="L195" s="354"/>
      <c r="M195" s="355"/>
      <c r="O195" s="367" t="str">
        <f>IFERROR(__xludf.DUMMYFUNCTION("""COMPUTED_VALUE"""),"Kraken Lair - Shell 2★ #BCF")</f>
        <v>Kraken Lair - Shell 2★ #BCF</v>
      </c>
      <c r="P195" s="296">
        <f>IFERROR(__xludf.DUMMYFUNCTION("""COMPUTED_VALUE"""),20.0)</f>
        <v>20</v>
      </c>
      <c r="Q195" s="355"/>
    </row>
    <row r="196" ht="12.75" customHeight="1">
      <c r="G196" s="354" t="s">
        <v>907</v>
      </c>
      <c r="H196" s="296">
        <v>20.0</v>
      </c>
      <c r="I196" s="353">
        <v>9.769441187964048E-4</v>
      </c>
      <c r="K196" s="296"/>
      <c r="L196" s="354"/>
      <c r="M196" s="355"/>
      <c r="O196" s="367" t="str">
        <f>IFERROR(__xludf.DUMMYFUNCTION("""COMPUTED_VALUE"""),"Kraken Lair - Shell 2★ #684")</f>
        <v>Kraken Lair - Shell 2★ #684</v>
      </c>
      <c r="P196" s="296">
        <f>IFERROR(__xludf.DUMMYFUNCTION("""COMPUTED_VALUE"""),20.0)</f>
        <v>20</v>
      </c>
      <c r="Q196" s="355"/>
    </row>
    <row r="197" ht="12.75" customHeight="1">
      <c r="G197" s="354" t="s">
        <v>908</v>
      </c>
      <c r="H197" s="296">
        <v>20.0</v>
      </c>
      <c r="I197" s="353">
        <v>9.769441187964048E-4</v>
      </c>
      <c r="K197" s="296"/>
      <c r="L197" s="354"/>
      <c r="M197" s="355"/>
      <c r="O197" s="367" t="str">
        <f>IFERROR(__xludf.DUMMYFUNCTION("""COMPUTED_VALUE"""),"Kraken Lair - Shell 2★ #139")</f>
        <v>Kraken Lair - Shell 2★ #139</v>
      </c>
      <c r="P197" s="296">
        <f>IFERROR(__xludf.DUMMYFUNCTION("""COMPUTED_VALUE"""),20.0)</f>
        <v>20</v>
      </c>
      <c r="Q197" s="355"/>
    </row>
    <row r="198" ht="12.75" customHeight="1">
      <c r="G198" s="354" t="s">
        <v>909</v>
      </c>
      <c r="H198" s="296">
        <v>20.0</v>
      </c>
      <c r="I198" s="353">
        <v>9.769441187964048E-4</v>
      </c>
      <c r="K198" s="296"/>
      <c r="L198" s="354"/>
      <c r="M198" s="355"/>
      <c r="O198" s="367" t="str">
        <f>IFERROR(__xludf.DUMMYFUNCTION("""COMPUTED_VALUE"""),"Kraken Lair - Shell 2★ #BEE")</f>
        <v>Kraken Lair - Shell 2★ #BEE</v>
      </c>
      <c r="P198" s="296">
        <f>IFERROR(__xludf.DUMMYFUNCTION("""COMPUTED_VALUE"""),20.0)</f>
        <v>20</v>
      </c>
      <c r="Q198" s="355"/>
    </row>
    <row r="199" ht="12.75" customHeight="1">
      <c r="G199" s="354" t="s">
        <v>910</v>
      </c>
      <c r="H199" s="296">
        <v>20.0</v>
      </c>
      <c r="I199" s="353">
        <v>9.769441187964048E-4</v>
      </c>
      <c r="K199" s="296"/>
      <c r="L199" s="354"/>
      <c r="M199" s="355"/>
      <c r="O199" s="367" t="str">
        <f>IFERROR(__xludf.DUMMYFUNCTION("""COMPUTED_VALUE"""),"Kraken Lair - Shell 2★ #6A3")</f>
        <v>Kraken Lair - Shell 2★ #6A3</v>
      </c>
      <c r="P199" s="296">
        <f>IFERROR(__xludf.DUMMYFUNCTION("""COMPUTED_VALUE"""),20.0)</f>
        <v>20</v>
      </c>
      <c r="Q199" s="355"/>
    </row>
    <row r="200" ht="12.75" customHeight="1">
      <c r="G200" s="354" t="s">
        <v>911</v>
      </c>
      <c r="H200" s="296">
        <v>20.0</v>
      </c>
      <c r="I200" s="353">
        <v>9.769441187964048E-4</v>
      </c>
      <c r="K200" s="296"/>
      <c r="L200" s="354"/>
      <c r="M200" s="355"/>
      <c r="O200" s="367" t="str">
        <f>IFERROR(__xludf.DUMMYFUNCTION("""COMPUTED_VALUE"""),"Kraken Lair - Shell 2★ #158")</f>
        <v>Kraken Lair - Shell 2★ #158</v>
      </c>
      <c r="P200" s="296">
        <f>IFERROR(__xludf.DUMMYFUNCTION("""COMPUTED_VALUE"""),20.0)</f>
        <v>20</v>
      </c>
      <c r="Q200" s="355"/>
    </row>
    <row r="201" ht="12.75" customHeight="1">
      <c r="G201" s="354" t="s">
        <v>912</v>
      </c>
      <c r="H201" s="296">
        <v>20.0</v>
      </c>
      <c r="I201" s="353">
        <v>9.769441187964048E-4</v>
      </c>
      <c r="K201" s="296"/>
      <c r="L201" s="354"/>
      <c r="M201" s="355"/>
      <c r="O201" s="367" t="str">
        <f>IFERROR(__xludf.DUMMYFUNCTION("""COMPUTED_VALUE"""),"Kraken Lair - Shell 2★ #C0D")</f>
        <v>Kraken Lair - Shell 2★ #C0D</v>
      </c>
      <c r="P201" s="296">
        <f>IFERROR(__xludf.DUMMYFUNCTION("""COMPUTED_VALUE"""),20.0)</f>
        <v>20</v>
      </c>
      <c r="Q201" s="355"/>
    </row>
    <row r="202" ht="12.75" customHeight="1">
      <c r="G202" s="354" t="s">
        <v>913</v>
      </c>
      <c r="H202" s="296">
        <v>20.0</v>
      </c>
      <c r="I202" s="353">
        <v>9.769441187964048E-4</v>
      </c>
      <c r="K202" s="296"/>
      <c r="L202" s="354"/>
      <c r="M202" s="355"/>
      <c r="O202" s="367" t="str">
        <f>IFERROR(__xludf.DUMMYFUNCTION("""COMPUTED_VALUE"""),"Kraken Lair - Shell 2★ #6C2")</f>
        <v>Kraken Lair - Shell 2★ #6C2</v>
      </c>
      <c r="P202" s="296">
        <f>IFERROR(__xludf.DUMMYFUNCTION("""COMPUTED_VALUE"""),20.0)</f>
        <v>20</v>
      </c>
      <c r="Q202" s="355"/>
    </row>
    <row r="203" ht="12.75" customHeight="1">
      <c r="G203" s="354" t="s">
        <v>914</v>
      </c>
      <c r="H203" s="296">
        <v>20.0</v>
      </c>
      <c r="I203" s="353">
        <v>9.769441187964048E-4</v>
      </c>
      <c r="K203" s="296"/>
      <c r="L203" s="354"/>
      <c r="M203" s="355"/>
      <c r="O203" s="367" t="str">
        <f>IFERROR(__xludf.DUMMYFUNCTION("""COMPUTED_VALUE"""),"Kraken Lair - Shell 2★ #177")</f>
        <v>Kraken Lair - Shell 2★ #177</v>
      </c>
      <c r="P203" s="296">
        <f>IFERROR(__xludf.DUMMYFUNCTION("""COMPUTED_VALUE"""),20.0)</f>
        <v>20</v>
      </c>
      <c r="Q203" s="355"/>
    </row>
    <row r="204" ht="12.75" customHeight="1">
      <c r="G204" s="354" t="s">
        <v>915</v>
      </c>
      <c r="H204" s="296">
        <v>20.0</v>
      </c>
      <c r="I204" s="353">
        <v>9.769441187964048E-4</v>
      </c>
      <c r="K204" s="296"/>
      <c r="L204" s="354"/>
      <c r="M204" s="355"/>
      <c r="O204" s="367" t="str">
        <f>IFERROR(__xludf.DUMMYFUNCTION("""COMPUTED_VALUE"""),"Kraken Lair - Shell 2★ #C2C")</f>
        <v>Kraken Lair - Shell 2★ #C2C</v>
      </c>
      <c r="P204" s="296">
        <f>IFERROR(__xludf.DUMMYFUNCTION("""COMPUTED_VALUE"""),20.0)</f>
        <v>20</v>
      </c>
      <c r="Q204" s="355"/>
    </row>
    <row r="205" ht="12.75" customHeight="1">
      <c r="G205" s="354" t="s">
        <v>916</v>
      </c>
      <c r="H205" s="296">
        <v>20.0</v>
      </c>
      <c r="I205" s="353">
        <v>9.769441187964048E-4</v>
      </c>
      <c r="K205" s="296"/>
      <c r="L205" s="354"/>
      <c r="M205" s="355"/>
      <c r="O205" s="367" t="str">
        <f>IFERROR(__xludf.DUMMYFUNCTION("""COMPUTED_VALUE"""),"Kraken Lair - Shell 2★ #6E1")</f>
        <v>Kraken Lair - Shell 2★ #6E1</v>
      </c>
      <c r="P205" s="296">
        <f>IFERROR(__xludf.DUMMYFUNCTION("""COMPUTED_VALUE"""),20.0)</f>
        <v>20</v>
      </c>
      <c r="Q205" s="355"/>
    </row>
    <row r="206" ht="12.75" customHeight="1">
      <c r="G206" s="354" t="s">
        <v>917</v>
      </c>
      <c r="H206" s="296">
        <v>20.0</v>
      </c>
      <c r="I206" s="353">
        <v>9.769441187964048E-4</v>
      </c>
      <c r="K206" s="296"/>
      <c r="L206" s="354"/>
      <c r="M206" s="355"/>
      <c r="O206" s="367" t="str">
        <f>IFERROR(__xludf.DUMMYFUNCTION("""COMPUTED_VALUE"""),"Kraken Lair - Coral 2★ #196")</f>
        <v>Kraken Lair - Coral 2★ #196</v>
      </c>
      <c r="P206" s="296">
        <f>IFERROR(__xludf.DUMMYFUNCTION("""COMPUTED_VALUE"""),20.0)</f>
        <v>20</v>
      </c>
      <c r="Q206" s="355"/>
    </row>
    <row r="207" ht="12.75" customHeight="1">
      <c r="G207" s="354" t="s">
        <v>918</v>
      </c>
      <c r="H207" s="296">
        <v>20.0</v>
      </c>
      <c r="I207" s="353">
        <v>9.769441187964048E-4</v>
      </c>
      <c r="K207" s="296"/>
      <c r="L207" s="354"/>
      <c r="M207" s="355"/>
      <c r="O207" s="367" t="str">
        <f>IFERROR(__xludf.DUMMYFUNCTION("""COMPUTED_VALUE"""),"Kraken Lair - Coral 2★ #C4B")</f>
        <v>Kraken Lair - Coral 2★ #C4B</v>
      </c>
      <c r="P207" s="296">
        <f>IFERROR(__xludf.DUMMYFUNCTION("""COMPUTED_VALUE"""),20.0)</f>
        <v>20</v>
      </c>
      <c r="Q207" s="355"/>
    </row>
    <row r="208" ht="12.75" customHeight="1">
      <c r="G208" s="354" t="s">
        <v>919</v>
      </c>
      <c r="H208" s="296">
        <v>20.0</v>
      </c>
      <c r="I208" s="353">
        <v>9.769441187964048E-4</v>
      </c>
      <c r="K208" s="296"/>
      <c r="L208" s="354"/>
      <c r="M208" s="355"/>
      <c r="O208" s="367" t="str">
        <f>IFERROR(__xludf.DUMMYFUNCTION("""COMPUTED_VALUE"""),"Kraken Lair - Coral 2★ #700")</f>
        <v>Kraken Lair - Coral 2★ #700</v>
      </c>
      <c r="P208" s="296">
        <f>IFERROR(__xludf.DUMMYFUNCTION("""COMPUTED_VALUE"""),20.0)</f>
        <v>20</v>
      </c>
      <c r="Q208" s="355"/>
    </row>
    <row r="209" ht="12.75" customHeight="1">
      <c r="G209" s="354" t="s">
        <v>920</v>
      </c>
      <c r="H209" s="296">
        <v>20.0</v>
      </c>
      <c r="I209" s="353">
        <v>9.769441187964048E-4</v>
      </c>
      <c r="K209" s="296"/>
      <c r="L209" s="354"/>
      <c r="M209" s="355"/>
      <c r="O209" s="367" t="str">
        <f>IFERROR(__xludf.DUMMYFUNCTION("""COMPUTED_VALUE"""),"Kraken Lair - Coral 2★ #1B5")</f>
        <v>Kraken Lair - Coral 2★ #1B5</v>
      </c>
      <c r="P209" s="296">
        <f>IFERROR(__xludf.DUMMYFUNCTION("""COMPUTED_VALUE"""),20.0)</f>
        <v>20</v>
      </c>
      <c r="Q209" s="355"/>
    </row>
    <row r="210" ht="12.75" customHeight="1">
      <c r="G210" s="354" t="s">
        <v>921</v>
      </c>
      <c r="H210" s="296">
        <v>20.0</v>
      </c>
      <c r="I210" s="353">
        <v>9.769441187964048E-4</v>
      </c>
      <c r="K210" s="296"/>
      <c r="L210" s="354"/>
      <c r="M210" s="355"/>
      <c r="O210" s="367" t="str">
        <f>IFERROR(__xludf.DUMMYFUNCTION("""COMPUTED_VALUE"""),"Kraken Lair - Coral 2★ #C6A")</f>
        <v>Kraken Lair - Coral 2★ #C6A</v>
      </c>
      <c r="P210" s="296">
        <f>IFERROR(__xludf.DUMMYFUNCTION("""COMPUTED_VALUE"""),20.0)</f>
        <v>20</v>
      </c>
      <c r="Q210" s="355"/>
    </row>
    <row r="211" ht="12.75" customHeight="1">
      <c r="G211" s="354" t="s">
        <v>922</v>
      </c>
      <c r="H211" s="296">
        <v>20.0</v>
      </c>
      <c r="I211" s="353">
        <v>9.769441187964048E-4</v>
      </c>
      <c r="K211" s="296"/>
      <c r="L211" s="354"/>
      <c r="M211" s="355"/>
      <c r="O211" s="367" t="str">
        <f>IFERROR(__xludf.DUMMYFUNCTION("""COMPUTED_VALUE"""),"Kraken Lair - Coral 2★ #71F")</f>
        <v>Kraken Lair - Coral 2★ #71F</v>
      </c>
      <c r="P211" s="296">
        <f>IFERROR(__xludf.DUMMYFUNCTION("""COMPUTED_VALUE"""),20.0)</f>
        <v>20</v>
      </c>
      <c r="Q211" s="355"/>
    </row>
    <row r="212" ht="12.75" customHeight="1">
      <c r="G212" s="354" t="s">
        <v>923</v>
      </c>
      <c r="H212" s="296">
        <v>20.0</v>
      </c>
      <c r="I212" s="353">
        <v>9.769441187964048E-4</v>
      </c>
      <c r="K212" s="296"/>
      <c r="L212" s="354"/>
      <c r="M212" s="355"/>
      <c r="O212" s="367" t="str">
        <f>IFERROR(__xludf.DUMMYFUNCTION("""COMPUTED_VALUE"""),"Kraken Lair - Coral 2★ #1D4")</f>
        <v>Kraken Lair - Coral 2★ #1D4</v>
      </c>
      <c r="P212" s="296">
        <f>IFERROR(__xludf.DUMMYFUNCTION("""COMPUTED_VALUE"""),20.0)</f>
        <v>20</v>
      </c>
      <c r="Q212" s="355"/>
    </row>
    <row r="213" ht="12.75" customHeight="1">
      <c r="G213" s="354" t="s">
        <v>924</v>
      </c>
      <c r="H213" s="296">
        <v>20.0</v>
      </c>
      <c r="I213" s="353">
        <v>9.769441187964048E-4</v>
      </c>
      <c r="K213" s="296"/>
      <c r="L213" s="354"/>
      <c r="M213" s="355"/>
      <c r="O213" s="367" t="str">
        <f>IFERROR(__xludf.DUMMYFUNCTION("""COMPUTED_VALUE"""),"Kraken Lair - Coral 2★ #C89")</f>
        <v>Kraken Lair - Coral 2★ #C89</v>
      </c>
      <c r="P213" s="296">
        <f>IFERROR(__xludf.DUMMYFUNCTION("""COMPUTED_VALUE"""),20.0)</f>
        <v>20</v>
      </c>
      <c r="Q213" s="355"/>
    </row>
    <row r="214" ht="12.75" customHeight="1">
      <c r="G214" s="354" t="s">
        <v>925</v>
      </c>
      <c r="H214" s="296">
        <v>20.0</v>
      </c>
      <c r="I214" s="353">
        <v>9.769441187964048E-4</v>
      </c>
      <c r="K214" s="296"/>
      <c r="L214" s="354"/>
      <c r="M214" s="355"/>
      <c r="O214" s="367" t="str">
        <f>IFERROR(__xludf.DUMMYFUNCTION("""COMPUTED_VALUE"""),"Kraken Lair - Coral 2★ #73E")</f>
        <v>Kraken Lair - Coral 2★ #73E</v>
      </c>
      <c r="P214" s="296">
        <f>IFERROR(__xludf.DUMMYFUNCTION("""COMPUTED_VALUE"""),20.0)</f>
        <v>20</v>
      </c>
      <c r="Q214" s="355"/>
    </row>
    <row r="215" ht="12.75" customHeight="1">
      <c r="G215" s="354" t="s">
        <v>926</v>
      </c>
      <c r="H215" s="296">
        <v>20.0</v>
      </c>
      <c r="I215" s="353">
        <v>9.769441187964048E-4</v>
      </c>
      <c r="K215" s="296"/>
      <c r="L215" s="354"/>
      <c r="M215" s="355"/>
      <c r="O215" s="367" t="str">
        <f>IFERROR(__xludf.DUMMYFUNCTION("""COMPUTED_VALUE"""),"Kraken Lair - Coral 2★ #1F3")</f>
        <v>Kraken Lair - Coral 2★ #1F3</v>
      </c>
      <c r="P215" s="296">
        <f>IFERROR(__xludf.DUMMYFUNCTION("""COMPUTED_VALUE"""),20.0)</f>
        <v>20</v>
      </c>
      <c r="Q215" s="355"/>
    </row>
    <row r="216" ht="12.75" customHeight="1">
      <c r="G216" s="354" t="s">
        <v>927</v>
      </c>
      <c r="H216" s="296">
        <v>20.0</v>
      </c>
      <c r="I216" s="353">
        <v>9.769441187964048E-4</v>
      </c>
      <c r="K216" s="296"/>
      <c r="L216" s="354"/>
      <c r="M216" s="355"/>
      <c r="O216" s="367" t="str">
        <f>IFERROR(__xludf.DUMMYFUNCTION("""COMPUTED_VALUE"""),"Kraken Lair - Coral 2★ #CA8")</f>
        <v>Kraken Lair - Coral 2★ #CA8</v>
      </c>
      <c r="P216" s="296">
        <f>IFERROR(__xludf.DUMMYFUNCTION("""COMPUTED_VALUE"""),20.0)</f>
        <v>20</v>
      </c>
      <c r="Q216" s="355"/>
    </row>
    <row r="217" ht="12.75" customHeight="1">
      <c r="G217" s="354" t="s">
        <v>928</v>
      </c>
      <c r="H217" s="296">
        <v>20.0</v>
      </c>
      <c r="I217" s="353">
        <v>9.769441187964048E-4</v>
      </c>
      <c r="K217" s="296"/>
      <c r="L217" s="354"/>
      <c r="M217" s="355"/>
      <c r="O217" s="367" t="str">
        <f>IFERROR(__xludf.DUMMYFUNCTION("""COMPUTED_VALUE"""),"Kraken Lair - Coral 2★ #75D")</f>
        <v>Kraken Lair - Coral 2★ #75D</v>
      </c>
      <c r="P217" s="296">
        <f>IFERROR(__xludf.DUMMYFUNCTION("""COMPUTED_VALUE"""),20.0)</f>
        <v>20</v>
      </c>
      <c r="Q217" s="355"/>
    </row>
    <row r="218" ht="12.75" customHeight="1">
      <c r="G218" s="354" t="s">
        <v>929</v>
      </c>
      <c r="H218" s="296">
        <v>20.0</v>
      </c>
      <c r="I218" s="353">
        <v>9.769441187964048E-4</v>
      </c>
      <c r="K218" s="296"/>
      <c r="L218" s="354"/>
      <c r="M218" s="355"/>
      <c r="O218" s="367" t="str">
        <f>IFERROR(__xludf.DUMMYFUNCTION("""COMPUTED_VALUE"""),"Kraken Lair - Coral 2★ #212")</f>
        <v>Kraken Lair - Coral 2★ #212</v>
      </c>
      <c r="P218" s="296">
        <f>IFERROR(__xludf.DUMMYFUNCTION("""COMPUTED_VALUE"""),20.0)</f>
        <v>20</v>
      </c>
      <c r="Q218" s="355"/>
    </row>
    <row r="219" ht="12.75" customHeight="1">
      <c r="G219" s="354" t="s">
        <v>930</v>
      </c>
      <c r="H219" s="296">
        <v>10.0</v>
      </c>
      <c r="I219" s="353">
        <v>4.884720593982024E-4</v>
      </c>
      <c r="K219" s="296"/>
      <c r="L219" s="354"/>
      <c r="M219" s="355"/>
      <c r="O219" s="367" t="str">
        <f>IFERROR(__xludf.DUMMYFUNCTION("""COMPUTED_VALUE"""),"Kraken Lair - Lantern 3★ #CC7")</f>
        <v>Kraken Lair - Lantern 3★ #CC7</v>
      </c>
      <c r="P219" s="296">
        <f>IFERROR(__xludf.DUMMYFUNCTION("""COMPUTED_VALUE"""),10.0)</f>
        <v>10</v>
      </c>
      <c r="Q219" s="355"/>
    </row>
    <row r="220" ht="12.75" customHeight="1">
      <c r="G220" s="354" t="s">
        <v>931</v>
      </c>
      <c r="H220" s="296">
        <v>10.0</v>
      </c>
      <c r="I220" s="353">
        <v>4.884720593982024E-4</v>
      </c>
      <c r="K220" s="296"/>
      <c r="L220" s="354"/>
      <c r="M220" s="355"/>
      <c r="O220" s="367" t="str">
        <f>IFERROR(__xludf.DUMMYFUNCTION("""COMPUTED_VALUE"""),"Kraken Lair - Lantern 3★ #77C")</f>
        <v>Kraken Lair - Lantern 3★ #77C</v>
      </c>
      <c r="P220" s="296">
        <f>IFERROR(__xludf.DUMMYFUNCTION("""COMPUTED_VALUE"""),10.0)</f>
        <v>10</v>
      </c>
      <c r="Q220" s="355"/>
    </row>
    <row r="221" ht="12.75" customHeight="1">
      <c r="G221" s="354" t="s">
        <v>932</v>
      </c>
      <c r="H221" s="296">
        <v>10.0</v>
      </c>
      <c r="I221" s="353">
        <v>4.884720593982024E-4</v>
      </c>
      <c r="K221" s="296"/>
      <c r="L221" s="354"/>
      <c r="M221" s="355"/>
      <c r="O221" s="367" t="str">
        <f>IFERROR(__xludf.DUMMYFUNCTION("""COMPUTED_VALUE"""),"Kraken Lair - Lantern 3★ #231")</f>
        <v>Kraken Lair - Lantern 3★ #231</v>
      </c>
      <c r="P221" s="296">
        <f>IFERROR(__xludf.DUMMYFUNCTION("""COMPUTED_VALUE"""),10.0)</f>
        <v>10</v>
      </c>
      <c r="Q221" s="355"/>
    </row>
    <row r="222" ht="12.75" customHeight="1">
      <c r="G222" s="354" t="s">
        <v>933</v>
      </c>
      <c r="H222" s="296">
        <v>10.0</v>
      </c>
      <c r="I222" s="353">
        <v>4.884720593982024E-4</v>
      </c>
      <c r="K222" s="296"/>
      <c r="L222" s="354"/>
      <c r="M222" s="355"/>
      <c r="O222" s="367" t="str">
        <f>IFERROR(__xludf.DUMMYFUNCTION("""COMPUTED_VALUE"""),"Kraken Lair - Lantern 3★ #CE6")</f>
        <v>Kraken Lair - Lantern 3★ #CE6</v>
      </c>
      <c r="P222" s="296">
        <f>IFERROR(__xludf.DUMMYFUNCTION("""COMPUTED_VALUE"""),10.0)</f>
        <v>10</v>
      </c>
      <c r="Q222" s="355"/>
    </row>
    <row r="223" ht="12.75" customHeight="1">
      <c r="G223" s="354" t="s">
        <v>934</v>
      </c>
      <c r="H223" s="296">
        <v>10.0</v>
      </c>
      <c r="I223" s="353">
        <v>4.884720593982024E-4</v>
      </c>
      <c r="K223" s="296"/>
      <c r="L223" s="354"/>
      <c r="M223" s="355"/>
      <c r="O223" s="367" t="str">
        <f>IFERROR(__xludf.DUMMYFUNCTION("""COMPUTED_VALUE"""),"Kraken Lair - Lantern 3★ #79B")</f>
        <v>Kraken Lair - Lantern 3★ #79B</v>
      </c>
      <c r="P223" s="296">
        <f>IFERROR(__xludf.DUMMYFUNCTION("""COMPUTED_VALUE"""),10.0)</f>
        <v>10</v>
      </c>
      <c r="Q223" s="355"/>
    </row>
    <row r="224" ht="12.75" customHeight="1">
      <c r="G224" s="354" t="s">
        <v>935</v>
      </c>
      <c r="H224" s="296">
        <v>10.0</v>
      </c>
      <c r="I224" s="353">
        <v>4.884720593982024E-4</v>
      </c>
      <c r="K224" s="296"/>
      <c r="L224" s="354"/>
      <c r="M224" s="355"/>
      <c r="O224" s="367" t="str">
        <f>IFERROR(__xludf.DUMMYFUNCTION("""COMPUTED_VALUE"""),"Kraken Lair - Lantern 3★ #250")</f>
        <v>Kraken Lair - Lantern 3★ #250</v>
      </c>
      <c r="P224" s="296">
        <f>IFERROR(__xludf.DUMMYFUNCTION("""COMPUTED_VALUE"""),10.0)</f>
        <v>10</v>
      </c>
      <c r="Q224" s="355"/>
    </row>
    <row r="225" ht="12.75" customHeight="1">
      <c r="G225" s="354" t="s">
        <v>936</v>
      </c>
      <c r="H225" s="296">
        <v>10.0</v>
      </c>
      <c r="I225" s="353">
        <v>4.884720593982024E-4</v>
      </c>
      <c r="K225" s="296"/>
      <c r="L225" s="354"/>
      <c r="M225" s="355"/>
      <c r="O225" s="367" t="str">
        <f>IFERROR(__xludf.DUMMYFUNCTION("""COMPUTED_VALUE"""),"Kraken Lair - Lantern 3★ #D05")</f>
        <v>Kraken Lair - Lantern 3★ #D05</v>
      </c>
      <c r="P225" s="296">
        <f>IFERROR(__xludf.DUMMYFUNCTION("""COMPUTED_VALUE"""),10.0)</f>
        <v>10</v>
      </c>
      <c r="Q225" s="355"/>
    </row>
    <row r="226" ht="12.75" customHeight="1">
      <c r="G226" s="354" t="s">
        <v>937</v>
      </c>
      <c r="H226" s="296">
        <v>10.0</v>
      </c>
      <c r="I226" s="353">
        <v>4.884720593982024E-4</v>
      </c>
      <c r="K226" s="296"/>
      <c r="L226" s="354"/>
      <c r="M226" s="355"/>
      <c r="O226" s="367" t="str">
        <f>IFERROR(__xludf.DUMMYFUNCTION("""COMPUTED_VALUE"""),"Kraken Lair - Lantern 3★ #7BA")</f>
        <v>Kraken Lair - Lantern 3★ #7BA</v>
      </c>
      <c r="P226" s="296">
        <f>IFERROR(__xludf.DUMMYFUNCTION("""COMPUTED_VALUE"""),10.0)</f>
        <v>10</v>
      </c>
      <c r="Q226" s="355"/>
    </row>
    <row r="227" ht="12.75" customHeight="1">
      <c r="G227" s="354" t="s">
        <v>938</v>
      </c>
      <c r="H227" s="296">
        <v>10.0</v>
      </c>
      <c r="I227" s="353">
        <v>4.884720593982024E-4</v>
      </c>
      <c r="K227" s="296"/>
      <c r="L227" s="354"/>
      <c r="M227" s="355"/>
      <c r="O227" s="367" t="str">
        <f>IFERROR(__xludf.DUMMYFUNCTION("""COMPUTED_VALUE"""),"Kraken Lair - Lantern 3★ #26F")</f>
        <v>Kraken Lair - Lantern 3★ #26F</v>
      </c>
      <c r="P227" s="296">
        <f>IFERROR(__xludf.DUMMYFUNCTION("""COMPUTED_VALUE"""),10.0)</f>
        <v>10</v>
      </c>
      <c r="Q227" s="355"/>
    </row>
    <row r="228" ht="12.75" customHeight="1">
      <c r="G228" s="354" t="s">
        <v>939</v>
      </c>
      <c r="H228" s="296">
        <v>10.0</v>
      </c>
      <c r="I228" s="353">
        <v>4.884720593982024E-4</v>
      </c>
      <c r="K228" s="296"/>
      <c r="L228" s="354"/>
      <c r="M228" s="355"/>
      <c r="O228" s="367" t="str">
        <f>IFERROR(__xludf.DUMMYFUNCTION("""COMPUTED_VALUE"""),"Kraken Lair - Lantern 3★ #D24")</f>
        <v>Kraken Lair - Lantern 3★ #D24</v>
      </c>
      <c r="P228" s="296">
        <f>IFERROR(__xludf.DUMMYFUNCTION("""COMPUTED_VALUE"""),10.0)</f>
        <v>10</v>
      </c>
      <c r="Q228" s="355"/>
    </row>
    <row r="229" ht="12.75" customHeight="1">
      <c r="G229" s="354" t="s">
        <v>940</v>
      </c>
      <c r="H229" s="296">
        <v>10.0</v>
      </c>
      <c r="I229" s="353">
        <v>4.884720593982024E-4</v>
      </c>
      <c r="K229" s="296"/>
      <c r="L229" s="354"/>
      <c r="M229" s="355"/>
      <c r="O229" s="367" t="str">
        <f>IFERROR(__xludf.DUMMYFUNCTION("""COMPUTED_VALUE"""),"Kraken Lair - Lantern 3★ #7D9")</f>
        <v>Kraken Lair - Lantern 3★ #7D9</v>
      </c>
      <c r="P229" s="296">
        <f>IFERROR(__xludf.DUMMYFUNCTION("""COMPUTED_VALUE"""),10.0)</f>
        <v>10</v>
      </c>
      <c r="Q229" s="355"/>
    </row>
    <row r="230" ht="12.75" customHeight="1">
      <c r="G230" s="354" t="s">
        <v>941</v>
      </c>
      <c r="H230" s="296">
        <v>10.0</v>
      </c>
      <c r="I230" s="353">
        <v>4.884720593982024E-4</v>
      </c>
      <c r="K230" s="296"/>
      <c r="L230" s="354"/>
      <c r="M230" s="355"/>
      <c r="O230" s="367" t="str">
        <f>IFERROR(__xludf.DUMMYFUNCTION("""COMPUTED_VALUE"""),"Kraken Lair - Lantern 3★ #28E")</f>
        <v>Kraken Lair - Lantern 3★ #28E</v>
      </c>
      <c r="P230" s="296">
        <f>IFERROR(__xludf.DUMMYFUNCTION("""COMPUTED_VALUE"""),10.0)</f>
        <v>10</v>
      </c>
      <c r="Q230" s="355"/>
    </row>
    <row r="231" ht="12.75" customHeight="1">
      <c r="G231" s="354" t="s">
        <v>942</v>
      </c>
      <c r="H231" s="296">
        <v>10.0</v>
      </c>
      <c r="I231" s="353">
        <v>4.884720593982024E-4</v>
      </c>
      <c r="K231" s="296"/>
      <c r="L231" s="354"/>
      <c r="M231" s="355"/>
      <c r="O231" s="367" t="str">
        <f>IFERROR(__xludf.DUMMYFUNCTION("""COMPUTED_VALUE"""),"Kraken Lair - Lantern 3★ #D43")</f>
        <v>Kraken Lair - Lantern 3★ #D43</v>
      </c>
      <c r="P231" s="296">
        <f>IFERROR(__xludf.DUMMYFUNCTION("""COMPUTED_VALUE"""),10.0)</f>
        <v>10</v>
      </c>
      <c r="Q231" s="355"/>
    </row>
    <row r="232" ht="12.75" customHeight="1">
      <c r="G232" s="354" t="s">
        <v>943</v>
      </c>
      <c r="H232" s="296">
        <v>10.0</v>
      </c>
      <c r="I232" s="353">
        <v>4.884720593982024E-4</v>
      </c>
      <c r="K232" s="296"/>
      <c r="L232" s="354"/>
      <c r="M232" s="355"/>
      <c r="O232" s="367" t="str">
        <f>IFERROR(__xludf.DUMMYFUNCTION("""COMPUTED_VALUE"""),"Kraken Lair - Hook 3★ #7F8")</f>
        <v>Kraken Lair - Hook 3★ #7F8</v>
      </c>
      <c r="P232" s="296">
        <f>IFERROR(__xludf.DUMMYFUNCTION("""COMPUTED_VALUE"""),10.0)</f>
        <v>10</v>
      </c>
      <c r="Q232" s="355"/>
    </row>
    <row r="233" ht="12.75" customHeight="1">
      <c r="G233" s="354" t="s">
        <v>944</v>
      </c>
      <c r="H233" s="296">
        <v>10.0</v>
      </c>
      <c r="I233" s="353">
        <v>4.884720593982024E-4</v>
      </c>
      <c r="K233" s="296"/>
      <c r="L233" s="354"/>
      <c r="M233" s="355"/>
      <c r="O233" s="367" t="str">
        <f>IFERROR(__xludf.DUMMYFUNCTION("""COMPUTED_VALUE"""),"Kraken Lair - Hook 3★ #2AD")</f>
        <v>Kraken Lair - Hook 3★ #2AD</v>
      </c>
      <c r="P233" s="296">
        <f>IFERROR(__xludf.DUMMYFUNCTION("""COMPUTED_VALUE"""),10.0)</f>
        <v>10</v>
      </c>
      <c r="Q233" s="355"/>
    </row>
    <row r="234" ht="12.75" customHeight="1">
      <c r="G234" s="354" t="s">
        <v>945</v>
      </c>
      <c r="H234" s="296">
        <v>10.0</v>
      </c>
      <c r="I234" s="353">
        <v>4.884720593982024E-4</v>
      </c>
      <c r="K234" s="296"/>
      <c r="L234" s="354"/>
      <c r="M234" s="355"/>
      <c r="O234" s="367" t="str">
        <f>IFERROR(__xludf.DUMMYFUNCTION("""COMPUTED_VALUE"""),"Kraken Lair - Hook 3★ #D62")</f>
        <v>Kraken Lair - Hook 3★ #D62</v>
      </c>
      <c r="P234" s="296">
        <f>IFERROR(__xludf.DUMMYFUNCTION("""COMPUTED_VALUE"""),10.0)</f>
        <v>10</v>
      </c>
      <c r="Q234" s="355"/>
    </row>
    <row r="235" ht="12.75" customHeight="1">
      <c r="G235" s="354" t="s">
        <v>946</v>
      </c>
      <c r="H235" s="296">
        <v>10.0</v>
      </c>
      <c r="I235" s="353">
        <v>4.884720593982024E-4</v>
      </c>
      <c r="K235" s="296"/>
      <c r="L235" s="354"/>
      <c r="M235" s="355"/>
      <c r="O235" s="367" t="str">
        <f>IFERROR(__xludf.DUMMYFUNCTION("""COMPUTED_VALUE"""),"Kraken Lair - Hook 3★ #817")</f>
        <v>Kraken Lair - Hook 3★ #817</v>
      </c>
      <c r="P235" s="296">
        <f>IFERROR(__xludf.DUMMYFUNCTION("""COMPUTED_VALUE"""),10.0)</f>
        <v>10</v>
      </c>
      <c r="Q235" s="355"/>
    </row>
    <row r="236" ht="12.75" customHeight="1">
      <c r="G236" s="354" t="s">
        <v>947</v>
      </c>
      <c r="H236" s="296">
        <v>10.0</v>
      </c>
      <c r="I236" s="353">
        <v>4.884720593982024E-4</v>
      </c>
      <c r="K236" s="296"/>
      <c r="L236" s="354"/>
      <c r="M236" s="355"/>
      <c r="O236" s="367" t="str">
        <f>IFERROR(__xludf.DUMMYFUNCTION("""COMPUTED_VALUE"""),"Kraken Lair - Hook 3★ #2CC")</f>
        <v>Kraken Lair - Hook 3★ #2CC</v>
      </c>
      <c r="P236" s="296">
        <f>IFERROR(__xludf.DUMMYFUNCTION("""COMPUTED_VALUE"""),10.0)</f>
        <v>10</v>
      </c>
      <c r="Q236" s="355"/>
    </row>
    <row r="237" ht="12.75" customHeight="1">
      <c r="G237" s="354" t="s">
        <v>948</v>
      </c>
      <c r="H237" s="296">
        <v>10.0</v>
      </c>
      <c r="I237" s="353">
        <v>4.884720593982024E-4</v>
      </c>
      <c r="K237" s="296"/>
      <c r="L237" s="354"/>
      <c r="M237" s="355"/>
      <c r="O237" s="367" t="str">
        <f>IFERROR(__xludf.DUMMYFUNCTION("""COMPUTED_VALUE"""),"Kraken Lair - Hook 3★ #D81")</f>
        <v>Kraken Lair - Hook 3★ #D81</v>
      </c>
      <c r="P237" s="296">
        <f>IFERROR(__xludf.DUMMYFUNCTION("""COMPUTED_VALUE"""),10.0)</f>
        <v>10</v>
      </c>
      <c r="Q237" s="355"/>
    </row>
    <row r="238" ht="12.75" customHeight="1">
      <c r="G238" s="354" t="s">
        <v>949</v>
      </c>
      <c r="H238" s="296">
        <v>10.0</v>
      </c>
      <c r="I238" s="353">
        <v>4.884720593982024E-4</v>
      </c>
      <c r="K238" s="296"/>
      <c r="L238" s="354"/>
      <c r="M238" s="355"/>
      <c r="O238" s="367" t="str">
        <f>IFERROR(__xludf.DUMMYFUNCTION("""COMPUTED_VALUE"""),"Kraken Lair - Hook 3★ #836")</f>
        <v>Kraken Lair - Hook 3★ #836</v>
      </c>
      <c r="P238" s="296">
        <f>IFERROR(__xludf.DUMMYFUNCTION("""COMPUTED_VALUE"""),10.0)</f>
        <v>10</v>
      </c>
      <c r="Q238" s="355"/>
    </row>
    <row r="239" ht="12.75" customHeight="1">
      <c r="G239" s="354" t="s">
        <v>950</v>
      </c>
      <c r="H239" s="296">
        <v>10.0</v>
      </c>
      <c r="I239" s="353">
        <v>4.884720593982024E-4</v>
      </c>
      <c r="K239" s="296"/>
      <c r="L239" s="354"/>
      <c r="M239" s="355"/>
      <c r="O239" s="367" t="str">
        <f>IFERROR(__xludf.DUMMYFUNCTION("""COMPUTED_VALUE"""),"Kraken Lair - Hook 3★ #2EB")</f>
        <v>Kraken Lair - Hook 3★ #2EB</v>
      </c>
      <c r="P239" s="296">
        <f>IFERROR(__xludf.DUMMYFUNCTION("""COMPUTED_VALUE"""),10.0)</f>
        <v>10</v>
      </c>
      <c r="Q239" s="355"/>
    </row>
    <row r="240" ht="12.75" customHeight="1">
      <c r="G240" s="354" t="s">
        <v>951</v>
      </c>
      <c r="H240" s="296">
        <v>10.0</v>
      </c>
      <c r="I240" s="353">
        <v>4.884720593982024E-4</v>
      </c>
      <c r="K240" s="296"/>
      <c r="L240" s="354"/>
      <c r="M240" s="355"/>
      <c r="O240" s="367" t="str">
        <f>IFERROR(__xludf.DUMMYFUNCTION("""COMPUTED_VALUE"""),"Kraken Lair - Hook 3★ #DA0")</f>
        <v>Kraken Lair - Hook 3★ #DA0</v>
      </c>
      <c r="P240" s="296">
        <f>IFERROR(__xludf.DUMMYFUNCTION("""COMPUTED_VALUE"""),10.0)</f>
        <v>10</v>
      </c>
      <c r="Q240" s="355"/>
    </row>
    <row r="241" ht="12.75" customHeight="1">
      <c r="G241" s="354" t="s">
        <v>952</v>
      </c>
      <c r="H241" s="296">
        <v>10.0</v>
      </c>
      <c r="I241" s="353">
        <v>4.884720593982024E-4</v>
      </c>
      <c r="K241" s="296"/>
      <c r="L241" s="354"/>
      <c r="M241" s="355"/>
      <c r="O241" s="367" t="str">
        <f>IFERROR(__xludf.DUMMYFUNCTION("""COMPUTED_VALUE"""),"Kraken Lair - Hook 3★ #855")</f>
        <v>Kraken Lair - Hook 3★ #855</v>
      </c>
      <c r="P241" s="296">
        <f>IFERROR(__xludf.DUMMYFUNCTION("""COMPUTED_VALUE"""),10.0)</f>
        <v>10</v>
      </c>
      <c r="Q241" s="355"/>
    </row>
    <row r="242" ht="12.75" customHeight="1">
      <c r="G242" s="354" t="s">
        <v>953</v>
      </c>
      <c r="H242" s="296">
        <v>10.0</v>
      </c>
      <c r="I242" s="353">
        <v>4.884720593982024E-4</v>
      </c>
      <c r="K242" s="296"/>
      <c r="L242" s="354"/>
      <c r="M242" s="355"/>
      <c r="O242" s="367" t="str">
        <f>IFERROR(__xludf.DUMMYFUNCTION("""COMPUTED_VALUE"""),"Kraken Lair - Hook 3★ #30A")</f>
        <v>Kraken Lair - Hook 3★ #30A</v>
      </c>
      <c r="P242" s="296">
        <f>IFERROR(__xludf.DUMMYFUNCTION("""COMPUTED_VALUE"""),10.0)</f>
        <v>10</v>
      </c>
      <c r="Q242" s="355"/>
    </row>
    <row r="243" ht="12.75" customHeight="1">
      <c r="G243" s="354" t="s">
        <v>954</v>
      </c>
      <c r="H243" s="296">
        <v>10.0</v>
      </c>
      <c r="I243" s="353">
        <v>4.884720593982024E-4</v>
      </c>
      <c r="K243" s="296"/>
      <c r="L243" s="354"/>
      <c r="M243" s="355"/>
      <c r="O243" s="367" t="str">
        <f>IFERROR(__xludf.DUMMYFUNCTION("""COMPUTED_VALUE"""),"Kraken Lair - Hook 3★ #DBF")</f>
        <v>Kraken Lair - Hook 3★ #DBF</v>
      </c>
      <c r="P243" s="296">
        <f>IFERROR(__xludf.DUMMYFUNCTION("""COMPUTED_VALUE"""),10.0)</f>
        <v>10</v>
      </c>
      <c r="Q243" s="355"/>
    </row>
    <row r="244" ht="12.75" customHeight="1">
      <c r="G244" s="354" t="s">
        <v>955</v>
      </c>
      <c r="H244" s="296">
        <v>10.0</v>
      </c>
      <c r="I244" s="353">
        <v>4.884720593982024E-4</v>
      </c>
      <c r="K244" s="296"/>
      <c r="L244" s="354"/>
      <c r="M244" s="355"/>
      <c r="O244" s="367" t="str">
        <f>IFERROR(__xludf.DUMMYFUNCTION("""COMPUTED_VALUE"""),"Kraken Lair - Hook 3★ #874")</f>
        <v>Kraken Lair - Hook 3★ #874</v>
      </c>
      <c r="P244" s="296">
        <f>IFERROR(__xludf.DUMMYFUNCTION("""COMPUTED_VALUE"""),10.0)</f>
        <v>10</v>
      </c>
      <c r="Q244" s="355"/>
    </row>
    <row r="245" ht="12.75" customHeight="1">
      <c r="G245" s="354" t="s">
        <v>956</v>
      </c>
      <c r="H245" s="296">
        <v>5.0</v>
      </c>
      <c r="I245" s="353">
        <v>2.442360296991012E-4</v>
      </c>
      <c r="K245" s="296"/>
      <c r="L245" s="354"/>
      <c r="M245" s="355"/>
      <c r="O245" s="367" t="str">
        <f>IFERROR(__xludf.DUMMYFUNCTION("""COMPUTED_VALUE"""),"Kraken Lair - Eyepatch 4★ #329")</f>
        <v>Kraken Lair - Eyepatch 4★ #329</v>
      </c>
      <c r="P245" s="296">
        <f>IFERROR(__xludf.DUMMYFUNCTION("""COMPUTED_VALUE"""),5.0)</f>
        <v>5</v>
      </c>
      <c r="Q245" s="355"/>
    </row>
    <row r="246" ht="12.75" customHeight="1">
      <c r="G246" s="354" t="s">
        <v>957</v>
      </c>
      <c r="H246" s="296">
        <v>5.0</v>
      </c>
      <c r="I246" s="353">
        <v>2.442360296991012E-4</v>
      </c>
      <c r="K246" s="296"/>
      <c r="L246" s="354"/>
      <c r="M246" s="355"/>
      <c r="O246" s="367" t="str">
        <f>IFERROR(__xludf.DUMMYFUNCTION("""COMPUTED_VALUE"""),"Kraken Lair - Eyepatch 4★ #DDE")</f>
        <v>Kraken Lair - Eyepatch 4★ #DDE</v>
      </c>
      <c r="P246" s="296">
        <f>IFERROR(__xludf.DUMMYFUNCTION("""COMPUTED_VALUE"""),5.0)</f>
        <v>5</v>
      </c>
      <c r="Q246" s="355"/>
    </row>
    <row r="247" ht="12.75" customHeight="1">
      <c r="G247" s="354" t="s">
        <v>958</v>
      </c>
      <c r="H247" s="296">
        <v>5.0</v>
      </c>
      <c r="I247" s="353">
        <v>2.442360296991012E-4</v>
      </c>
      <c r="K247" s="296"/>
      <c r="L247" s="354"/>
      <c r="M247" s="355"/>
      <c r="O247" s="367" t="str">
        <f>IFERROR(__xludf.DUMMYFUNCTION("""COMPUTED_VALUE"""),"Kraken Lair - Eyepatch 4★ #893")</f>
        <v>Kraken Lair - Eyepatch 4★ #893</v>
      </c>
      <c r="P247" s="296">
        <f>IFERROR(__xludf.DUMMYFUNCTION("""COMPUTED_VALUE"""),5.0)</f>
        <v>5</v>
      </c>
      <c r="Q247" s="355"/>
    </row>
    <row r="248" ht="12.75" customHeight="1">
      <c r="G248" s="354" t="s">
        <v>959</v>
      </c>
      <c r="H248" s="296">
        <v>5.0</v>
      </c>
      <c r="I248" s="353">
        <v>2.442360296991012E-4</v>
      </c>
      <c r="K248" s="296"/>
      <c r="L248" s="354"/>
      <c r="M248" s="355"/>
      <c r="O248" s="367" t="str">
        <f>IFERROR(__xludf.DUMMYFUNCTION("""COMPUTED_VALUE"""),"Kraken Lair - Eyepatch 4★ #348")</f>
        <v>Kraken Lair - Eyepatch 4★ #348</v>
      </c>
      <c r="P248" s="296">
        <f>IFERROR(__xludf.DUMMYFUNCTION("""COMPUTED_VALUE"""),5.0)</f>
        <v>5</v>
      </c>
      <c r="Q248" s="355"/>
    </row>
    <row r="249" ht="12.75" customHeight="1">
      <c r="G249" s="354" t="s">
        <v>960</v>
      </c>
      <c r="H249" s="296">
        <v>5.0</v>
      </c>
      <c r="I249" s="353">
        <v>2.442360296991012E-4</v>
      </c>
      <c r="K249" s="296"/>
      <c r="L249" s="354"/>
      <c r="M249" s="355"/>
      <c r="O249" s="367" t="str">
        <f>IFERROR(__xludf.DUMMYFUNCTION("""COMPUTED_VALUE"""),"Kraken Lair - Eyepatch 4★ #DFD")</f>
        <v>Kraken Lair - Eyepatch 4★ #DFD</v>
      </c>
      <c r="P249" s="296">
        <f>IFERROR(__xludf.DUMMYFUNCTION("""COMPUTED_VALUE"""),5.0)</f>
        <v>5</v>
      </c>
      <c r="Q249" s="355"/>
    </row>
    <row r="250" ht="12.75" customHeight="1">
      <c r="G250" s="354" t="s">
        <v>961</v>
      </c>
      <c r="H250" s="296">
        <v>5.0</v>
      </c>
      <c r="I250" s="353">
        <v>2.442360296991012E-4</v>
      </c>
      <c r="K250" s="296"/>
      <c r="L250" s="354"/>
      <c r="M250" s="355"/>
      <c r="O250" s="367" t="str">
        <f>IFERROR(__xludf.DUMMYFUNCTION("""COMPUTED_VALUE"""),"Kraken Lair - Eyepatch 4★ #8B2")</f>
        <v>Kraken Lair - Eyepatch 4★ #8B2</v>
      </c>
      <c r="P250" s="296">
        <f>IFERROR(__xludf.DUMMYFUNCTION("""COMPUTED_VALUE"""),5.0)</f>
        <v>5</v>
      </c>
      <c r="Q250" s="355"/>
    </row>
    <row r="251" ht="12.75" customHeight="1">
      <c r="G251" s="354" t="s">
        <v>962</v>
      </c>
      <c r="H251" s="296">
        <v>5.0</v>
      </c>
      <c r="I251" s="353">
        <v>2.442360296991012E-4</v>
      </c>
      <c r="K251" s="296"/>
      <c r="L251" s="354"/>
      <c r="M251" s="355"/>
      <c r="O251" s="367" t="str">
        <f>IFERROR(__xludf.DUMMYFUNCTION("""COMPUTED_VALUE"""),"Kraken Lair - Eyepatch 4★ #367")</f>
        <v>Kraken Lair - Eyepatch 4★ #367</v>
      </c>
      <c r="P251" s="296">
        <f>IFERROR(__xludf.DUMMYFUNCTION("""COMPUTED_VALUE"""),5.0)</f>
        <v>5</v>
      </c>
      <c r="Q251" s="355"/>
    </row>
    <row r="252" ht="12.75" customHeight="1">
      <c r="G252" s="354" t="s">
        <v>963</v>
      </c>
      <c r="H252" s="296">
        <v>5.0</v>
      </c>
      <c r="I252" s="353">
        <v>2.442360296991012E-4</v>
      </c>
      <c r="K252" s="296"/>
      <c r="L252" s="354"/>
      <c r="M252" s="355"/>
      <c r="O252" s="367" t="str">
        <f>IFERROR(__xludf.DUMMYFUNCTION("""COMPUTED_VALUE"""),"Kraken Lair - Eyepatch 4★ #E1C")</f>
        <v>Kraken Lair - Eyepatch 4★ #E1C</v>
      </c>
      <c r="P252" s="296">
        <f>IFERROR(__xludf.DUMMYFUNCTION("""COMPUTED_VALUE"""),5.0)</f>
        <v>5</v>
      </c>
      <c r="Q252" s="355"/>
    </row>
    <row r="253" ht="12.75" customHeight="1">
      <c r="G253" s="354" t="s">
        <v>964</v>
      </c>
      <c r="H253" s="296">
        <v>5.0</v>
      </c>
      <c r="I253" s="353">
        <v>2.442360296991012E-4</v>
      </c>
      <c r="K253" s="296"/>
      <c r="L253" s="354"/>
      <c r="M253" s="355"/>
      <c r="O253" s="367" t="str">
        <f>IFERROR(__xludf.DUMMYFUNCTION("""COMPUTED_VALUE"""),"Kraken Lair - Eyepatch 4★ #8D1")</f>
        <v>Kraken Lair - Eyepatch 4★ #8D1</v>
      </c>
      <c r="P253" s="296">
        <f>IFERROR(__xludf.DUMMYFUNCTION("""COMPUTED_VALUE"""),5.0)</f>
        <v>5</v>
      </c>
      <c r="Q253" s="355"/>
    </row>
    <row r="254" ht="12.75" customHeight="1">
      <c r="G254" s="354" t="s">
        <v>965</v>
      </c>
      <c r="H254" s="296">
        <v>5.0</v>
      </c>
      <c r="I254" s="353">
        <v>2.442360296991012E-4</v>
      </c>
      <c r="K254" s="296"/>
      <c r="L254" s="354"/>
      <c r="M254" s="355"/>
      <c r="O254" s="367" t="str">
        <f>IFERROR(__xludf.DUMMYFUNCTION("""COMPUTED_VALUE"""),"Kraken Lair - Eyepatch 4★ #386")</f>
        <v>Kraken Lair - Eyepatch 4★ #386</v>
      </c>
      <c r="P254" s="296">
        <f>IFERROR(__xludf.DUMMYFUNCTION("""COMPUTED_VALUE"""),5.0)</f>
        <v>5</v>
      </c>
      <c r="Q254" s="355"/>
    </row>
    <row r="255" ht="12.75" customHeight="1">
      <c r="G255" s="354" t="s">
        <v>966</v>
      </c>
      <c r="H255" s="296">
        <v>5.0</v>
      </c>
      <c r="I255" s="353">
        <v>2.442360296991012E-4</v>
      </c>
      <c r="K255" s="296"/>
      <c r="L255" s="354"/>
      <c r="M255" s="355"/>
      <c r="O255" s="367" t="str">
        <f>IFERROR(__xludf.DUMMYFUNCTION("""COMPUTED_VALUE"""),"Kraken Lair - Eyepatch 4★ #E3B")</f>
        <v>Kraken Lair - Eyepatch 4★ #E3B</v>
      </c>
      <c r="P255" s="296">
        <f>IFERROR(__xludf.DUMMYFUNCTION("""COMPUTED_VALUE"""),5.0)</f>
        <v>5</v>
      </c>
      <c r="Q255" s="355"/>
    </row>
    <row r="256" ht="12.75" customHeight="1">
      <c r="G256" s="354" t="s">
        <v>967</v>
      </c>
      <c r="H256" s="296">
        <v>5.0</v>
      </c>
      <c r="I256" s="353">
        <v>2.442360296991012E-4</v>
      </c>
      <c r="K256" s="296"/>
      <c r="L256" s="354"/>
      <c r="M256" s="355"/>
      <c r="O256" s="367" t="str">
        <f>IFERROR(__xludf.DUMMYFUNCTION("""COMPUTED_VALUE"""),"Kraken Lair - Eyepatch 4★ #8F0")</f>
        <v>Kraken Lair - Eyepatch 4★ #8F0</v>
      </c>
      <c r="P256" s="296">
        <f>IFERROR(__xludf.DUMMYFUNCTION("""COMPUTED_VALUE"""),5.0)</f>
        <v>5</v>
      </c>
      <c r="Q256" s="355"/>
    </row>
    <row r="257" ht="12.75" customHeight="1">
      <c r="G257" s="354" t="s">
        <v>968</v>
      </c>
      <c r="H257" s="296">
        <v>50.0</v>
      </c>
      <c r="I257" s="353">
        <v>0.0024423602969910123</v>
      </c>
      <c r="K257" s="296"/>
      <c r="L257" s="354"/>
      <c r="M257" s="355"/>
      <c r="O257" s="367" t="str">
        <f>IFERROR(__xludf.DUMMYFUNCTION("""COMPUTED_VALUE"""),"Gold Cove - Doubloon 1★ #3A5")</f>
        <v>Gold Cove - Doubloon 1★ #3A5</v>
      </c>
      <c r="P257" s="296">
        <f>IFERROR(__xludf.DUMMYFUNCTION("""COMPUTED_VALUE"""),50.0)</f>
        <v>50</v>
      </c>
      <c r="Q257" s="355"/>
    </row>
    <row r="258" ht="12.75" customHeight="1">
      <c r="G258" s="354" t="s">
        <v>969</v>
      </c>
      <c r="H258" s="296">
        <v>50.0</v>
      </c>
      <c r="I258" s="353">
        <v>0.0024423602969910123</v>
      </c>
      <c r="K258" s="296"/>
      <c r="L258" s="354"/>
      <c r="M258" s="355"/>
      <c r="O258" s="367" t="str">
        <f>IFERROR(__xludf.DUMMYFUNCTION("""COMPUTED_VALUE"""),"Gold Cove - Doubloon 1★ #E5A")</f>
        <v>Gold Cove - Doubloon 1★ #E5A</v>
      </c>
      <c r="P258" s="296">
        <f>IFERROR(__xludf.DUMMYFUNCTION("""COMPUTED_VALUE"""),50.0)</f>
        <v>50</v>
      </c>
      <c r="Q258" s="355"/>
    </row>
    <row r="259" ht="12.75" customHeight="1">
      <c r="G259" s="354" t="s">
        <v>970</v>
      </c>
      <c r="H259" s="296">
        <v>50.0</v>
      </c>
      <c r="I259" s="353">
        <v>0.0024423602969910123</v>
      </c>
      <c r="K259" s="296"/>
      <c r="L259" s="354"/>
      <c r="M259" s="355"/>
      <c r="O259" s="367" t="str">
        <f>IFERROR(__xludf.DUMMYFUNCTION("""COMPUTED_VALUE"""),"Gold Cove - Doubloon 1★ #90F")</f>
        <v>Gold Cove - Doubloon 1★ #90F</v>
      </c>
      <c r="P259" s="296">
        <f>IFERROR(__xludf.DUMMYFUNCTION("""COMPUTED_VALUE"""),50.0)</f>
        <v>50</v>
      </c>
      <c r="Q259" s="355"/>
    </row>
    <row r="260" ht="12.75" customHeight="1">
      <c r="G260" s="354" t="s">
        <v>971</v>
      </c>
      <c r="H260" s="296">
        <v>50.0</v>
      </c>
      <c r="I260" s="353">
        <v>0.0024423602969910123</v>
      </c>
      <c r="K260" s="296"/>
      <c r="L260" s="354"/>
      <c r="M260" s="355"/>
      <c r="O260" s="367" t="str">
        <f>IFERROR(__xludf.DUMMYFUNCTION("""COMPUTED_VALUE"""),"Gold Cove - Doubloon 1★ #3C4")</f>
        <v>Gold Cove - Doubloon 1★ #3C4</v>
      </c>
      <c r="P260" s="296">
        <f>IFERROR(__xludf.DUMMYFUNCTION("""COMPUTED_VALUE"""),50.0)</f>
        <v>50</v>
      </c>
      <c r="Q260" s="355"/>
    </row>
    <row r="261" ht="12.75" customHeight="1">
      <c r="G261" s="354" t="s">
        <v>972</v>
      </c>
      <c r="H261" s="296">
        <v>50.0</v>
      </c>
      <c r="I261" s="353">
        <v>0.0024423602969910123</v>
      </c>
      <c r="K261" s="296"/>
      <c r="L261" s="354"/>
      <c r="M261" s="355"/>
      <c r="O261" s="367" t="str">
        <f>IFERROR(__xludf.DUMMYFUNCTION("""COMPUTED_VALUE"""),"Gold Cove - Doubloon 1★ #E79")</f>
        <v>Gold Cove - Doubloon 1★ #E79</v>
      </c>
      <c r="P261" s="296">
        <f>IFERROR(__xludf.DUMMYFUNCTION("""COMPUTED_VALUE"""),50.0)</f>
        <v>50</v>
      </c>
      <c r="Q261" s="355"/>
    </row>
    <row r="262" ht="12.75" customHeight="1">
      <c r="G262" s="354" t="s">
        <v>973</v>
      </c>
      <c r="H262" s="296">
        <v>50.0</v>
      </c>
      <c r="I262" s="353">
        <v>0.0024423602969910123</v>
      </c>
      <c r="K262" s="296"/>
      <c r="L262" s="354"/>
      <c r="M262" s="355"/>
      <c r="O262" s="367" t="str">
        <f>IFERROR(__xludf.DUMMYFUNCTION("""COMPUTED_VALUE"""),"Gold Cove - Doubloon 1★ #92E")</f>
        <v>Gold Cove - Doubloon 1★ #92E</v>
      </c>
      <c r="P262" s="296">
        <f>IFERROR(__xludf.DUMMYFUNCTION("""COMPUTED_VALUE"""),50.0)</f>
        <v>50</v>
      </c>
      <c r="Q262" s="355"/>
    </row>
    <row r="263" ht="12.75" customHeight="1">
      <c r="G263" s="354" t="s">
        <v>974</v>
      </c>
      <c r="H263" s="296">
        <v>50.0</v>
      </c>
      <c r="I263" s="353">
        <v>0.0024423602969910123</v>
      </c>
      <c r="K263" s="296"/>
      <c r="L263" s="354"/>
      <c r="M263" s="355"/>
      <c r="O263" s="367" t="str">
        <f>IFERROR(__xludf.DUMMYFUNCTION("""COMPUTED_VALUE"""),"Gold Cove - Doubloon 1★ #3E3")</f>
        <v>Gold Cove - Doubloon 1★ #3E3</v>
      </c>
      <c r="P263" s="296">
        <f>IFERROR(__xludf.DUMMYFUNCTION("""COMPUTED_VALUE"""),50.0)</f>
        <v>50</v>
      </c>
      <c r="Q263" s="355"/>
    </row>
    <row r="264" ht="12.75" customHeight="1">
      <c r="G264" s="354" t="s">
        <v>975</v>
      </c>
      <c r="H264" s="296">
        <v>50.0</v>
      </c>
      <c r="I264" s="353">
        <v>0.0024423602969910123</v>
      </c>
      <c r="K264" s="296"/>
      <c r="L264" s="354"/>
      <c r="M264" s="355"/>
      <c r="O264" s="367" t="str">
        <f>IFERROR(__xludf.DUMMYFUNCTION("""COMPUTED_VALUE"""),"Gold Cove - Doubloon 1★ #E98")</f>
        <v>Gold Cove - Doubloon 1★ #E98</v>
      </c>
      <c r="P264" s="296">
        <f>IFERROR(__xludf.DUMMYFUNCTION("""COMPUTED_VALUE"""),50.0)</f>
        <v>50</v>
      </c>
      <c r="Q264" s="355"/>
    </row>
    <row r="265" ht="12.75" customHeight="1">
      <c r="G265" s="354" t="s">
        <v>976</v>
      </c>
      <c r="H265" s="296">
        <v>50.0</v>
      </c>
      <c r="I265" s="353">
        <v>0.0024423602969910123</v>
      </c>
      <c r="K265" s="296"/>
      <c r="L265" s="354"/>
      <c r="M265" s="355"/>
      <c r="O265" s="367" t="str">
        <f>IFERROR(__xludf.DUMMYFUNCTION("""COMPUTED_VALUE"""),"Gold Cove - Doubloon 1★ #94D")</f>
        <v>Gold Cove - Doubloon 1★ #94D</v>
      </c>
      <c r="P265" s="296">
        <f>IFERROR(__xludf.DUMMYFUNCTION("""COMPUTED_VALUE"""),50.0)</f>
        <v>50</v>
      </c>
      <c r="Q265" s="355"/>
    </row>
    <row r="266" ht="12.75" customHeight="1">
      <c r="G266" s="354" t="s">
        <v>977</v>
      </c>
      <c r="H266" s="296">
        <v>50.0</v>
      </c>
      <c r="I266" s="353">
        <v>0.0024423602969910123</v>
      </c>
      <c r="K266" s="296"/>
      <c r="L266" s="354"/>
      <c r="M266" s="355"/>
      <c r="O266" s="367" t="str">
        <f>IFERROR(__xludf.DUMMYFUNCTION("""COMPUTED_VALUE"""),"Gold Cove - Doubloon 1★ #402")</f>
        <v>Gold Cove - Doubloon 1★ #402</v>
      </c>
      <c r="P266" s="296">
        <f>IFERROR(__xludf.DUMMYFUNCTION("""COMPUTED_VALUE"""),50.0)</f>
        <v>50</v>
      </c>
      <c r="Q266" s="355"/>
    </row>
    <row r="267" ht="12.75" customHeight="1">
      <c r="G267" s="354" t="s">
        <v>978</v>
      </c>
      <c r="H267" s="296">
        <v>50.0</v>
      </c>
      <c r="I267" s="353">
        <v>0.0024423602969910123</v>
      </c>
      <c r="K267" s="296"/>
      <c r="L267" s="354"/>
      <c r="M267" s="355"/>
      <c r="O267" s="367" t="str">
        <f>IFERROR(__xludf.DUMMYFUNCTION("""COMPUTED_VALUE"""),"Gold Cove - Doubloon 1★ #EB7")</f>
        <v>Gold Cove - Doubloon 1★ #EB7</v>
      </c>
      <c r="P267" s="296">
        <f>IFERROR(__xludf.DUMMYFUNCTION("""COMPUTED_VALUE"""),50.0)</f>
        <v>50</v>
      </c>
      <c r="Q267" s="355"/>
    </row>
    <row r="268" ht="12.75" customHeight="1">
      <c r="G268" s="354" t="s">
        <v>979</v>
      </c>
      <c r="H268" s="296">
        <v>50.0</v>
      </c>
      <c r="I268" s="353">
        <v>0.0024423602969910123</v>
      </c>
      <c r="K268" s="296"/>
      <c r="L268" s="354"/>
      <c r="M268" s="355"/>
      <c r="O268" s="367" t="str">
        <f>IFERROR(__xludf.DUMMYFUNCTION("""COMPUTED_VALUE"""),"Gold Cove - Doubloon 1★ #96C")</f>
        <v>Gold Cove - Doubloon 1★ #96C</v>
      </c>
      <c r="P268" s="296">
        <f>IFERROR(__xludf.DUMMYFUNCTION("""COMPUTED_VALUE"""),50.0)</f>
        <v>50</v>
      </c>
      <c r="Q268" s="355"/>
    </row>
    <row r="269" ht="12.75" customHeight="1">
      <c r="G269" s="354" t="s">
        <v>980</v>
      </c>
      <c r="H269" s="296">
        <v>50.0</v>
      </c>
      <c r="I269" s="353">
        <v>0.0024423602969910123</v>
      </c>
      <c r="K269" s="296"/>
      <c r="L269" s="354"/>
      <c r="M269" s="355"/>
      <c r="O269" s="367" t="str">
        <f>IFERROR(__xludf.DUMMYFUNCTION("""COMPUTED_VALUE"""),"Gold Cove - Doubloon 1★ #421")</f>
        <v>Gold Cove - Doubloon 1★ #421</v>
      </c>
      <c r="P269" s="296">
        <f>IFERROR(__xludf.DUMMYFUNCTION("""COMPUTED_VALUE"""),50.0)</f>
        <v>50</v>
      </c>
      <c r="Q269" s="355"/>
    </row>
    <row r="270" ht="12.75" customHeight="1">
      <c r="G270" s="354" t="s">
        <v>981</v>
      </c>
      <c r="H270" s="296">
        <v>50.0</v>
      </c>
      <c r="I270" s="353">
        <v>0.0024423602969910123</v>
      </c>
      <c r="K270" s="296"/>
      <c r="L270" s="354"/>
      <c r="M270" s="355"/>
      <c r="O270" s="367" t="str">
        <f>IFERROR(__xludf.DUMMYFUNCTION("""COMPUTED_VALUE"""),"Gold Cove - Ruby 1★ #ED6")</f>
        <v>Gold Cove - Ruby 1★ #ED6</v>
      </c>
      <c r="P270" s="296">
        <f>IFERROR(__xludf.DUMMYFUNCTION("""COMPUTED_VALUE"""),50.0)</f>
        <v>50</v>
      </c>
      <c r="Q270" s="355"/>
    </row>
    <row r="271" ht="12.75" customHeight="1">
      <c r="G271" s="354" t="s">
        <v>982</v>
      </c>
      <c r="H271" s="296">
        <v>50.0</v>
      </c>
      <c r="I271" s="353">
        <v>0.0024423602969910123</v>
      </c>
      <c r="K271" s="296"/>
      <c r="L271" s="354"/>
      <c r="M271" s="355"/>
      <c r="O271" s="367" t="str">
        <f>IFERROR(__xludf.DUMMYFUNCTION("""COMPUTED_VALUE"""),"Gold Cove - Ruby 1★ #98B")</f>
        <v>Gold Cove - Ruby 1★ #98B</v>
      </c>
      <c r="P271" s="296">
        <f>IFERROR(__xludf.DUMMYFUNCTION("""COMPUTED_VALUE"""),50.0)</f>
        <v>50</v>
      </c>
      <c r="Q271" s="355"/>
    </row>
    <row r="272" ht="12.75" customHeight="1">
      <c r="G272" s="354" t="s">
        <v>983</v>
      </c>
      <c r="H272" s="296">
        <v>50.0</v>
      </c>
      <c r="I272" s="353">
        <v>0.0024423602969910123</v>
      </c>
      <c r="K272" s="296"/>
      <c r="L272" s="354"/>
      <c r="M272" s="355"/>
      <c r="O272" s="367" t="str">
        <f>IFERROR(__xludf.DUMMYFUNCTION("""COMPUTED_VALUE"""),"Gold Cove - Ruby 1★ #440")</f>
        <v>Gold Cove - Ruby 1★ #440</v>
      </c>
      <c r="P272" s="296">
        <f>IFERROR(__xludf.DUMMYFUNCTION("""COMPUTED_VALUE"""),50.0)</f>
        <v>50</v>
      </c>
      <c r="Q272" s="355"/>
    </row>
    <row r="273" ht="12.75" customHeight="1">
      <c r="G273" s="354" t="s">
        <v>984</v>
      </c>
      <c r="H273" s="296">
        <v>50.0</v>
      </c>
      <c r="I273" s="353">
        <v>0.0024423602969910123</v>
      </c>
      <c r="K273" s="296"/>
      <c r="L273" s="354"/>
      <c r="M273" s="355"/>
      <c r="O273" s="367" t="str">
        <f>IFERROR(__xludf.DUMMYFUNCTION("""COMPUTED_VALUE"""),"Gold Cove - Ruby 1★ #EF5")</f>
        <v>Gold Cove - Ruby 1★ #EF5</v>
      </c>
      <c r="P273" s="296">
        <f>IFERROR(__xludf.DUMMYFUNCTION("""COMPUTED_VALUE"""),50.0)</f>
        <v>50</v>
      </c>
      <c r="Q273" s="355"/>
    </row>
    <row r="274" ht="12.75" customHeight="1">
      <c r="G274" s="354" t="s">
        <v>985</v>
      </c>
      <c r="H274" s="296">
        <v>50.0</v>
      </c>
      <c r="I274" s="353">
        <v>0.0024423602969910123</v>
      </c>
      <c r="K274" s="296"/>
      <c r="L274" s="354"/>
      <c r="M274" s="355"/>
      <c r="O274" s="367" t="str">
        <f>IFERROR(__xludf.DUMMYFUNCTION("""COMPUTED_VALUE"""),"Gold Cove - Ruby 1★ #9AA")</f>
        <v>Gold Cove - Ruby 1★ #9AA</v>
      </c>
      <c r="P274" s="296">
        <f>IFERROR(__xludf.DUMMYFUNCTION("""COMPUTED_VALUE"""),50.0)</f>
        <v>50</v>
      </c>
      <c r="Q274" s="355"/>
    </row>
    <row r="275" ht="12.75" customHeight="1">
      <c r="G275" s="354" t="s">
        <v>986</v>
      </c>
      <c r="H275" s="296">
        <v>50.0</v>
      </c>
      <c r="I275" s="353">
        <v>0.0024423602969910123</v>
      </c>
      <c r="K275" s="296"/>
      <c r="L275" s="354"/>
      <c r="M275" s="355"/>
      <c r="O275" s="367" t="str">
        <f>IFERROR(__xludf.DUMMYFUNCTION("""COMPUTED_VALUE"""),"Gold Cove - Ruby 1★ #45F")</f>
        <v>Gold Cove - Ruby 1★ #45F</v>
      </c>
      <c r="P275" s="296">
        <f>IFERROR(__xludf.DUMMYFUNCTION("""COMPUTED_VALUE"""),50.0)</f>
        <v>50</v>
      </c>
      <c r="Q275" s="355"/>
    </row>
    <row r="276" ht="12.75" customHeight="1">
      <c r="G276" s="354" t="s">
        <v>987</v>
      </c>
      <c r="H276" s="296">
        <v>50.0</v>
      </c>
      <c r="I276" s="353">
        <v>0.0024423602969910123</v>
      </c>
      <c r="K276" s="296"/>
      <c r="L276" s="354"/>
      <c r="M276" s="355"/>
      <c r="O276" s="367" t="str">
        <f>IFERROR(__xludf.DUMMYFUNCTION("""COMPUTED_VALUE"""),"Gold Cove - Ruby 1★ #F14")</f>
        <v>Gold Cove - Ruby 1★ #F14</v>
      </c>
      <c r="P276" s="296">
        <f>IFERROR(__xludf.DUMMYFUNCTION("""COMPUTED_VALUE"""),50.0)</f>
        <v>50</v>
      </c>
      <c r="Q276" s="355"/>
    </row>
    <row r="277" ht="12.75" customHeight="1">
      <c r="G277" s="354" t="s">
        <v>988</v>
      </c>
      <c r="H277" s="296">
        <v>50.0</v>
      </c>
      <c r="I277" s="353">
        <v>0.0024423602969910123</v>
      </c>
      <c r="K277" s="296"/>
      <c r="L277" s="354"/>
      <c r="M277" s="355"/>
      <c r="O277" s="367" t="str">
        <f>IFERROR(__xludf.DUMMYFUNCTION("""COMPUTED_VALUE"""),"Gold Cove - Ruby 1★ #9C9")</f>
        <v>Gold Cove - Ruby 1★ #9C9</v>
      </c>
      <c r="P277" s="296">
        <f>IFERROR(__xludf.DUMMYFUNCTION("""COMPUTED_VALUE"""),50.0)</f>
        <v>50</v>
      </c>
      <c r="Q277" s="355"/>
    </row>
    <row r="278" ht="12.75" customHeight="1">
      <c r="G278" s="354" t="s">
        <v>989</v>
      </c>
      <c r="H278" s="296">
        <v>50.0</v>
      </c>
      <c r="I278" s="353">
        <v>0.0024423602969910123</v>
      </c>
      <c r="K278" s="296"/>
      <c r="L278" s="354"/>
      <c r="M278" s="355"/>
      <c r="O278" s="367" t="str">
        <f>IFERROR(__xludf.DUMMYFUNCTION("""COMPUTED_VALUE"""),"Gold Cove - Ruby 1★ #47E")</f>
        <v>Gold Cove - Ruby 1★ #47E</v>
      </c>
      <c r="P278" s="296">
        <f>IFERROR(__xludf.DUMMYFUNCTION("""COMPUTED_VALUE"""),50.0)</f>
        <v>50</v>
      </c>
      <c r="Q278" s="355"/>
    </row>
    <row r="279" ht="12.75" customHeight="1">
      <c r="G279" s="354" t="s">
        <v>990</v>
      </c>
      <c r="H279" s="296">
        <v>50.0</v>
      </c>
      <c r="I279" s="353">
        <v>0.0024423602969910123</v>
      </c>
      <c r="K279" s="296"/>
      <c r="L279" s="354"/>
      <c r="M279" s="355"/>
      <c r="O279" s="367" t="str">
        <f>IFERROR(__xludf.DUMMYFUNCTION("""COMPUTED_VALUE"""),"Gold Cove - Ruby 1★ #F33")</f>
        <v>Gold Cove - Ruby 1★ #F33</v>
      </c>
      <c r="P279" s="296">
        <f>IFERROR(__xludf.DUMMYFUNCTION("""COMPUTED_VALUE"""),50.0)</f>
        <v>50</v>
      </c>
      <c r="Q279" s="355"/>
    </row>
    <row r="280" ht="12.75" customHeight="1">
      <c r="G280" s="354" t="s">
        <v>991</v>
      </c>
      <c r="H280" s="296">
        <v>50.0</v>
      </c>
      <c r="I280" s="353">
        <v>0.0024423602969910123</v>
      </c>
      <c r="K280" s="296"/>
      <c r="L280" s="354"/>
      <c r="M280" s="355"/>
      <c r="O280" s="367" t="str">
        <f>IFERROR(__xludf.DUMMYFUNCTION("""COMPUTED_VALUE"""),"Gold Cove - Ruby 1★ #9E8")</f>
        <v>Gold Cove - Ruby 1★ #9E8</v>
      </c>
      <c r="P280" s="296">
        <f>IFERROR(__xludf.DUMMYFUNCTION("""COMPUTED_VALUE"""),50.0)</f>
        <v>50</v>
      </c>
      <c r="Q280" s="355"/>
    </row>
    <row r="281" ht="12.75" customHeight="1">
      <c r="G281" s="354" t="s">
        <v>992</v>
      </c>
      <c r="H281" s="296">
        <v>50.0</v>
      </c>
      <c r="I281" s="353">
        <v>0.0024423602969910123</v>
      </c>
      <c r="K281" s="296"/>
      <c r="L281" s="354"/>
      <c r="M281" s="355"/>
      <c r="O281" s="367" t="str">
        <f>IFERROR(__xludf.DUMMYFUNCTION("""COMPUTED_VALUE"""),"Gold Cove - Ruby 1★ #49D")</f>
        <v>Gold Cove - Ruby 1★ #49D</v>
      </c>
      <c r="P281" s="296">
        <f>IFERROR(__xludf.DUMMYFUNCTION("""COMPUTED_VALUE"""),50.0)</f>
        <v>50</v>
      </c>
      <c r="Q281" s="355"/>
    </row>
    <row r="282" ht="12.75" customHeight="1">
      <c r="G282" s="354" t="s">
        <v>993</v>
      </c>
      <c r="H282" s="296">
        <v>50.0</v>
      </c>
      <c r="I282" s="353">
        <v>0.0024423602969910123</v>
      </c>
      <c r="K282" s="296"/>
      <c r="L282" s="354"/>
      <c r="M282" s="355"/>
      <c r="O282" s="367" t="str">
        <f>IFERROR(__xludf.DUMMYFUNCTION("""COMPUTED_VALUE"""),"Gold Cove - Ruby 1★ #F52")</f>
        <v>Gold Cove - Ruby 1★ #F52</v>
      </c>
      <c r="P282" s="296">
        <f>IFERROR(__xludf.DUMMYFUNCTION("""COMPUTED_VALUE"""),50.0)</f>
        <v>50</v>
      </c>
      <c r="Q282" s="355"/>
    </row>
    <row r="283" ht="12.75" customHeight="1">
      <c r="G283" s="354" t="s">
        <v>994</v>
      </c>
      <c r="H283" s="296">
        <v>50.0</v>
      </c>
      <c r="I283" s="353">
        <v>0.0024423602969910123</v>
      </c>
      <c r="K283" s="296"/>
      <c r="L283" s="354"/>
      <c r="M283" s="355"/>
      <c r="O283" s="367" t="str">
        <f>IFERROR(__xludf.DUMMYFUNCTION("""COMPUTED_VALUE"""),"Gold Cove - Emerald 1★ #A07")</f>
        <v>Gold Cove - Emerald 1★ #A07</v>
      </c>
      <c r="P283" s="296">
        <f>IFERROR(__xludf.DUMMYFUNCTION("""COMPUTED_VALUE"""),50.0)</f>
        <v>50</v>
      </c>
      <c r="Q283" s="355"/>
    </row>
    <row r="284" ht="12.75" customHeight="1">
      <c r="G284" s="354" t="s">
        <v>995</v>
      </c>
      <c r="H284" s="296">
        <v>50.0</v>
      </c>
      <c r="I284" s="353">
        <v>0.0024423602969910123</v>
      </c>
      <c r="K284" s="296"/>
      <c r="L284" s="354"/>
      <c r="M284" s="355"/>
      <c r="O284" s="367" t="str">
        <f>IFERROR(__xludf.DUMMYFUNCTION("""COMPUTED_VALUE"""),"Gold Cove - Emerald 1★ #4BC")</f>
        <v>Gold Cove - Emerald 1★ #4BC</v>
      </c>
      <c r="P284" s="296">
        <f>IFERROR(__xludf.DUMMYFUNCTION("""COMPUTED_VALUE"""),50.0)</f>
        <v>50</v>
      </c>
      <c r="Q284" s="355"/>
    </row>
    <row r="285" ht="12.75" customHeight="1">
      <c r="G285" s="354" t="s">
        <v>996</v>
      </c>
      <c r="H285" s="296">
        <v>50.0</v>
      </c>
      <c r="I285" s="353">
        <v>0.0024423602969910123</v>
      </c>
      <c r="K285" s="296"/>
      <c r="L285" s="354"/>
      <c r="M285" s="355"/>
      <c r="O285" s="367" t="str">
        <f>IFERROR(__xludf.DUMMYFUNCTION("""COMPUTED_VALUE"""),"Gold Cove - Emerald 1★ #F71")</f>
        <v>Gold Cove - Emerald 1★ #F71</v>
      </c>
      <c r="P285" s="296">
        <f>IFERROR(__xludf.DUMMYFUNCTION("""COMPUTED_VALUE"""),50.0)</f>
        <v>50</v>
      </c>
      <c r="Q285" s="355"/>
    </row>
    <row r="286" ht="12.75" customHeight="1">
      <c r="G286" s="354" t="s">
        <v>997</v>
      </c>
      <c r="H286" s="296">
        <v>50.0</v>
      </c>
      <c r="I286" s="353">
        <v>0.0024423602969910123</v>
      </c>
      <c r="K286" s="296"/>
      <c r="L286" s="354"/>
      <c r="M286" s="355"/>
      <c r="O286" s="367" t="str">
        <f>IFERROR(__xludf.DUMMYFUNCTION("""COMPUTED_VALUE"""),"Gold Cove - Emerald 1★ #A26")</f>
        <v>Gold Cove - Emerald 1★ #A26</v>
      </c>
      <c r="P286" s="296">
        <f>IFERROR(__xludf.DUMMYFUNCTION("""COMPUTED_VALUE"""),50.0)</f>
        <v>50</v>
      </c>
      <c r="Q286" s="355"/>
    </row>
    <row r="287" ht="12.75" customHeight="1">
      <c r="G287" s="354" t="s">
        <v>998</v>
      </c>
      <c r="H287" s="296">
        <v>50.0</v>
      </c>
      <c r="I287" s="353">
        <v>0.0024423602969910123</v>
      </c>
      <c r="K287" s="296"/>
      <c r="L287" s="354"/>
      <c r="M287" s="355"/>
      <c r="O287" s="367" t="str">
        <f>IFERROR(__xludf.DUMMYFUNCTION("""COMPUTED_VALUE"""),"Gold Cove - Emerald 1★ #4DB")</f>
        <v>Gold Cove - Emerald 1★ #4DB</v>
      </c>
      <c r="P287" s="296">
        <f>IFERROR(__xludf.DUMMYFUNCTION("""COMPUTED_VALUE"""),50.0)</f>
        <v>50</v>
      </c>
      <c r="Q287" s="355"/>
    </row>
    <row r="288" ht="12.75" customHeight="1">
      <c r="G288" s="354" t="s">
        <v>999</v>
      </c>
      <c r="H288" s="296">
        <v>50.0</v>
      </c>
      <c r="I288" s="353">
        <v>0.0024423602969910123</v>
      </c>
      <c r="K288" s="296"/>
      <c r="L288" s="354"/>
      <c r="M288" s="355"/>
      <c r="O288" s="367" t="str">
        <f>IFERROR(__xludf.DUMMYFUNCTION("""COMPUTED_VALUE"""),"Gold Cove - Emerald 1★ #F90")</f>
        <v>Gold Cove - Emerald 1★ #F90</v>
      </c>
      <c r="P288" s="296">
        <f>IFERROR(__xludf.DUMMYFUNCTION("""COMPUTED_VALUE"""),50.0)</f>
        <v>50</v>
      </c>
      <c r="Q288" s="355"/>
    </row>
    <row r="289" ht="12.75" customHeight="1">
      <c r="G289" s="354" t="s">
        <v>1000</v>
      </c>
      <c r="H289" s="296">
        <v>50.0</v>
      </c>
      <c r="I289" s="353">
        <v>0.0024423602969910123</v>
      </c>
      <c r="K289" s="296"/>
      <c r="L289" s="354"/>
      <c r="M289" s="355"/>
      <c r="O289" s="367" t="str">
        <f>IFERROR(__xludf.DUMMYFUNCTION("""COMPUTED_VALUE"""),"Gold Cove - Emerald 1★ #A45")</f>
        <v>Gold Cove - Emerald 1★ #A45</v>
      </c>
      <c r="P289" s="296">
        <f>IFERROR(__xludf.DUMMYFUNCTION("""COMPUTED_VALUE"""),50.0)</f>
        <v>50</v>
      </c>
      <c r="Q289" s="355"/>
    </row>
    <row r="290" ht="12.75" customHeight="1">
      <c r="G290" s="354" t="s">
        <v>1001</v>
      </c>
      <c r="H290" s="296">
        <v>50.0</v>
      </c>
      <c r="I290" s="353">
        <v>0.0024423602969910123</v>
      </c>
      <c r="K290" s="296"/>
      <c r="L290" s="354"/>
      <c r="M290" s="355"/>
      <c r="O290" s="367" t="str">
        <f>IFERROR(__xludf.DUMMYFUNCTION("""COMPUTED_VALUE"""),"Gold Cove - Emerald 1★ #4FA")</f>
        <v>Gold Cove - Emerald 1★ #4FA</v>
      </c>
      <c r="P290" s="296">
        <f>IFERROR(__xludf.DUMMYFUNCTION("""COMPUTED_VALUE"""),50.0)</f>
        <v>50</v>
      </c>
      <c r="Q290" s="355"/>
    </row>
    <row r="291" ht="12.75" customHeight="1">
      <c r="G291" s="354" t="s">
        <v>1002</v>
      </c>
      <c r="H291" s="296">
        <v>50.0</v>
      </c>
      <c r="I291" s="353">
        <v>0.0024423602969910123</v>
      </c>
      <c r="K291" s="296"/>
      <c r="L291" s="354"/>
      <c r="M291" s="355"/>
      <c r="O291" s="367" t="str">
        <f>IFERROR(__xludf.DUMMYFUNCTION("""COMPUTED_VALUE"""),"Gold Cove - Emerald 1★ #FAF")</f>
        <v>Gold Cove - Emerald 1★ #FAF</v>
      </c>
      <c r="P291" s="296">
        <f>IFERROR(__xludf.DUMMYFUNCTION("""COMPUTED_VALUE"""),50.0)</f>
        <v>50</v>
      </c>
      <c r="Q291" s="355"/>
    </row>
    <row r="292" ht="12.75" customHeight="1">
      <c r="G292" s="354" t="s">
        <v>1003</v>
      </c>
      <c r="H292" s="296">
        <v>50.0</v>
      </c>
      <c r="I292" s="353">
        <v>0.0024423602969910123</v>
      </c>
      <c r="K292" s="296"/>
      <c r="L292" s="354"/>
      <c r="M292" s="355"/>
      <c r="O292" s="367" t="str">
        <f>IFERROR(__xludf.DUMMYFUNCTION("""COMPUTED_VALUE"""),"Gold Cove - Emerald 1★ #A64")</f>
        <v>Gold Cove - Emerald 1★ #A64</v>
      </c>
      <c r="P292" s="296">
        <f>IFERROR(__xludf.DUMMYFUNCTION("""COMPUTED_VALUE"""),50.0)</f>
        <v>50</v>
      </c>
      <c r="Q292" s="355"/>
    </row>
    <row r="293" ht="12.75" customHeight="1">
      <c r="G293" s="354" t="s">
        <v>1004</v>
      </c>
      <c r="H293" s="296">
        <v>50.0</v>
      </c>
      <c r="I293" s="353">
        <v>0.0024423602969910123</v>
      </c>
      <c r="K293" s="296"/>
      <c r="L293" s="354"/>
      <c r="M293" s="355"/>
      <c r="O293" s="367" t="str">
        <f>IFERROR(__xludf.DUMMYFUNCTION("""COMPUTED_VALUE"""),"Gold Cove - Emerald 1★ #519")</f>
        <v>Gold Cove - Emerald 1★ #519</v>
      </c>
      <c r="P293" s="296">
        <f>IFERROR(__xludf.DUMMYFUNCTION("""COMPUTED_VALUE"""),50.0)</f>
        <v>50</v>
      </c>
      <c r="Q293" s="355"/>
    </row>
    <row r="294" ht="12.75" customHeight="1">
      <c r="G294" s="354" t="s">
        <v>1005</v>
      </c>
      <c r="H294" s="296">
        <v>50.0</v>
      </c>
      <c r="I294" s="353">
        <v>0.0024423602969910123</v>
      </c>
      <c r="K294" s="296"/>
      <c r="L294" s="354"/>
      <c r="M294" s="355"/>
      <c r="O294" s="367" t="str">
        <f>IFERROR(__xludf.DUMMYFUNCTION("""COMPUTED_VALUE"""),"Gold Cove - Emerald 1★ #FCE")</f>
        <v>Gold Cove - Emerald 1★ #FCE</v>
      </c>
      <c r="P294" s="296">
        <f>IFERROR(__xludf.DUMMYFUNCTION("""COMPUTED_VALUE"""),50.0)</f>
        <v>50</v>
      </c>
      <c r="Q294" s="355"/>
    </row>
    <row r="295" ht="12.75" customHeight="1">
      <c r="G295" s="354" t="s">
        <v>1006</v>
      </c>
      <c r="H295" s="296">
        <v>50.0</v>
      </c>
      <c r="I295" s="353">
        <v>0.0024423602969910123</v>
      </c>
      <c r="K295" s="296"/>
      <c r="L295" s="354"/>
      <c r="M295" s="355"/>
      <c r="O295" s="367" t="str">
        <f>IFERROR(__xludf.DUMMYFUNCTION("""COMPUTED_VALUE"""),"Gold Cove - Emerald 1★ #A83")</f>
        <v>Gold Cove - Emerald 1★ #A83</v>
      </c>
      <c r="P295" s="296">
        <f>IFERROR(__xludf.DUMMYFUNCTION("""COMPUTED_VALUE"""),50.0)</f>
        <v>50</v>
      </c>
      <c r="Q295" s="355"/>
    </row>
    <row r="296" ht="12.75" customHeight="1">
      <c r="G296" s="354" t="s">
        <v>1007</v>
      </c>
      <c r="H296" s="296">
        <v>20.0</v>
      </c>
      <c r="I296" s="353">
        <v>9.769441187964048E-4</v>
      </c>
      <c r="K296" s="296"/>
      <c r="L296" s="354"/>
      <c r="M296" s="355"/>
      <c r="O296" s="367" t="str">
        <f>IFERROR(__xludf.DUMMYFUNCTION("""COMPUTED_VALUE"""),"Gold Cove - Diamond 2★ #538")</f>
        <v>Gold Cove - Diamond 2★ #538</v>
      </c>
      <c r="P296" s="296">
        <f>IFERROR(__xludf.DUMMYFUNCTION("""COMPUTED_VALUE"""),20.0)</f>
        <v>20</v>
      </c>
      <c r="Q296" s="355"/>
    </row>
    <row r="297" ht="12.75" customHeight="1">
      <c r="G297" s="354" t="s">
        <v>1008</v>
      </c>
      <c r="H297" s="296">
        <v>20.0</v>
      </c>
      <c r="I297" s="353">
        <v>9.769441187964048E-4</v>
      </c>
      <c r="K297" s="296"/>
      <c r="L297" s="354"/>
      <c r="M297" s="355"/>
      <c r="O297" s="367" t="str">
        <f>IFERROR(__xludf.DUMMYFUNCTION("""COMPUTED_VALUE"""),"Gold Cove - Diamond 2★ #FED")</f>
        <v>Gold Cove - Diamond 2★ #FED</v>
      </c>
      <c r="P297" s="296">
        <f>IFERROR(__xludf.DUMMYFUNCTION("""COMPUTED_VALUE"""),20.0)</f>
        <v>20</v>
      </c>
      <c r="Q297" s="355"/>
    </row>
    <row r="298" ht="12.75" customHeight="1">
      <c r="G298" s="354" t="s">
        <v>1009</v>
      </c>
      <c r="H298" s="296">
        <v>20.0</v>
      </c>
      <c r="I298" s="353">
        <v>9.769441187964048E-4</v>
      </c>
      <c r="K298" s="296"/>
      <c r="L298" s="354"/>
      <c r="M298" s="355"/>
      <c r="O298" s="367" t="str">
        <f>IFERROR(__xludf.DUMMYFUNCTION("""COMPUTED_VALUE"""),"Gold Cove - Diamond 2★ #AA2")</f>
        <v>Gold Cove - Diamond 2★ #AA2</v>
      </c>
      <c r="P298" s="296">
        <f>IFERROR(__xludf.DUMMYFUNCTION("""COMPUTED_VALUE"""),20.0)</f>
        <v>20</v>
      </c>
      <c r="Q298" s="355"/>
    </row>
    <row r="299" ht="12.75" customHeight="1">
      <c r="G299" s="354" t="s">
        <v>1010</v>
      </c>
      <c r="H299" s="296">
        <v>20.0</v>
      </c>
      <c r="I299" s="353">
        <v>9.769441187964048E-4</v>
      </c>
      <c r="K299" s="296"/>
      <c r="L299" s="354"/>
      <c r="M299" s="355"/>
      <c r="O299" s="367" t="str">
        <f>IFERROR(__xludf.DUMMYFUNCTION("""COMPUTED_VALUE"""),"Gold Cove - Diamond 2★ #557")</f>
        <v>Gold Cove - Diamond 2★ #557</v>
      </c>
      <c r="P299" s="296">
        <f>IFERROR(__xludf.DUMMYFUNCTION("""COMPUTED_VALUE"""),20.0)</f>
        <v>20</v>
      </c>
      <c r="Q299" s="355"/>
    </row>
    <row r="300" ht="12.75" customHeight="1">
      <c r="G300" s="354" t="s">
        <v>1011</v>
      </c>
      <c r="H300" s="296">
        <v>20.0</v>
      </c>
      <c r="I300" s="353">
        <v>9.769441187964048E-4</v>
      </c>
      <c r="K300" s="296"/>
      <c r="L300" s="354"/>
      <c r="M300" s="355"/>
      <c r="O300" s="367" t="str">
        <f>IFERROR(__xludf.DUMMYFUNCTION("""COMPUTED_VALUE"""),"Gold Cove - Diamond 2★ #00C")</f>
        <v>Gold Cove - Diamond 2★ #00C</v>
      </c>
      <c r="P300" s="296">
        <f>IFERROR(__xludf.DUMMYFUNCTION("""COMPUTED_VALUE"""),20.0)</f>
        <v>20</v>
      </c>
      <c r="Q300" s="355"/>
    </row>
    <row r="301" ht="12.75" customHeight="1">
      <c r="G301" s="354" t="s">
        <v>1012</v>
      </c>
      <c r="H301" s="296">
        <v>20.0</v>
      </c>
      <c r="I301" s="353">
        <v>9.769441187964048E-4</v>
      </c>
      <c r="K301" s="296"/>
      <c r="L301" s="354"/>
      <c r="M301" s="355"/>
      <c r="O301" s="367" t="str">
        <f>IFERROR(__xludf.DUMMYFUNCTION("""COMPUTED_VALUE"""),"Gold Cove - Diamond 2★ #AC1")</f>
        <v>Gold Cove - Diamond 2★ #AC1</v>
      </c>
      <c r="P301" s="296">
        <f>IFERROR(__xludf.DUMMYFUNCTION("""COMPUTED_VALUE"""),20.0)</f>
        <v>20</v>
      </c>
      <c r="Q301" s="355"/>
    </row>
    <row r="302" ht="12.75" customHeight="1">
      <c r="G302" s="354" t="s">
        <v>1013</v>
      </c>
      <c r="H302" s="296">
        <v>20.0</v>
      </c>
      <c r="I302" s="353">
        <v>9.769441187964048E-4</v>
      </c>
      <c r="K302" s="296"/>
      <c r="L302" s="354"/>
      <c r="M302" s="355"/>
      <c r="O302" s="367" t="str">
        <f>IFERROR(__xludf.DUMMYFUNCTION("""COMPUTED_VALUE"""),"Gold Cove - Diamond 2★ #576")</f>
        <v>Gold Cove - Diamond 2★ #576</v>
      </c>
      <c r="P302" s="296">
        <f>IFERROR(__xludf.DUMMYFUNCTION("""COMPUTED_VALUE"""),20.0)</f>
        <v>20</v>
      </c>
      <c r="Q302" s="355"/>
    </row>
    <row r="303" ht="12.75" customHeight="1">
      <c r="G303" s="354" t="s">
        <v>1014</v>
      </c>
      <c r="H303" s="296">
        <v>20.0</v>
      </c>
      <c r="I303" s="353">
        <v>9.769441187964048E-4</v>
      </c>
      <c r="K303" s="296"/>
      <c r="L303" s="354"/>
      <c r="M303" s="355"/>
      <c r="O303" s="367" t="str">
        <f>IFERROR(__xludf.DUMMYFUNCTION("""COMPUTED_VALUE"""),"Gold Cove - Diamond 2★ #02B")</f>
        <v>Gold Cove - Diamond 2★ #02B</v>
      </c>
      <c r="P303" s="296">
        <f>IFERROR(__xludf.DUMMYFUNCTION("""COMPUTED_VALUE"""),20.0)</f>
        <v>20</v>
      </c>
      <c r="Q303" s="355"/>
    </row>
    <row r="304" ht="12.75" customHeight="1">
      <c r="G304" s="354" t="s">
        <v>1015</v>
      </c>
      <c r="H304" s="296">
        <v>20.0</v>
      </c>
      <c r="I304" s="353">
        <v>9.769441187964048E-4</v>
      </c>
      <c r="K304" s="296"/>
      <c r="L304" s="354"/>
      <c r="M304" s="355"/>
      <c r="O304" s="367" t="str">
        <f>IFERROR(__xludf.DUMMYFUNCTION("""COMPUTED_VALUE"""),"Gold Cove - Diamond 2★ #AE0")</f>
        <v>Gold Cove - Diamond 2★ #AE0</v>
      </c>
      <c r="P304" s="296">
        <f>IFERROR(__xludf.DUMMYFUNCTION("""COMPUTED_VALUE"""),20.0)</f>
        <v>20</v>
      </c>
      <c r="Q304" s="355"/>
    </row>
    <row r="305" ht="12.75" customHeight="1">
      <c r="G305" s="354" t="s">
        <v>1016</v>
      </c>
      <c r="H305" s="296">
        <v>20.0</v>
      </c>
      <c r="I305" s="353">
        <v>9.769441187964048E-4</v>
      </c>
      <c r="K305" s="296"/>
      <c r="L305" s="354"/>
      <c r="M305" s="355"/>
      <c r="O305" s="367" t="str">
        <f>IFERROR(__xludf.DUMMYFUNCTION("""COMPUTED_VALUE"""),"Gold Cove - Diamond 2★ #595")</f>
        <v>Gold Cove - Diamond 2★ #595</v>
      </c>
      <c r="P305" s="296">
        <f>IFERROR(__xludf.DUMMYFUNCTION("""COMPUTED_VALUE"""),20.0)</f>
        <v>20</v>
      </c>
      <c r="Q305" s="355"/>
    </row>
    <row r="306" ht="12.75" customHeight="1">
      <c r="G306" s="354" t="s">
        <v>1017</v>
      </c>
      <c r="H306" s="296">
        <v>20.0</v>
      </c>
      <c r="I306" s="353">
        <v>9.769441187964048E-4</v>
      </c>
      <c r="K306" s="296"/>
      <c r="L306" s="354"/>
      <c r="M306" s="355"/>
      <c r="O306" s="367" t="str">
        <f>IFERROR(__xludf.DUMMYFUNCTION("""COMPUTED_VALUE"""),"Gold Cove - Diamond 2★ #04A")</f>
        <v>Gold Cove - Diamond 2★ #04A</v>
      </c>
      <c r="P306" s="296">
        <f>IFERROR(__xludf.DUMMYFUNCTION("""COMPUTED_VALUE"""),20.0)</f>
        <v>20</v>
      </c>
      <c r="Q306" s="355"/>
    </row>
    <row r="307" ht="12.75" customHeight="1">
      <c r="G307" s="354" t="s">
        <v>1018</v>
      </c>
      <c r="H307" s="296">
        <v>20.0</v>
      </c>
      <c r="I307" s="353">
        <v>9.769441187964048E-4</v>
      </c>
      <c r="K307" s="296"/>
      <c r="L307" s="354"/>
      <c r="M307" s="355"/>
      <c r="O307" s="367" t="str">
        <f>IFERROR(__xludf.DUMMYFUNCTION("""COMPUTED_VALUE"""),"Gold Cove - Diamond 2★ #AFF")</f>
        <v>Gold Cove - Diamond 2★ #AFF</v>
      </c>
      <c r="P307" s="296">
        <f>IFERROR(__xludf.DUMMYFUNCTION("""COMPUTED_VALUE"""),20.0)</f>
        <v>20</v>
      </c>
      <c r="Q307" s="355"/>
    </row>
    <row r="308" ht="12.75" customHeight="1">
      <c r="G308" s="354" t="s">
        <v>1019</v>
      </c>
      <c r="H308" s="296">
        <v>20.0</v>
      </c>
      <c r="I308" s="353">
        <v>9.769441187964048E-4</v>
      </c>
      <c r="K308" s="296"/>
      <c r="L308" s="354"/>
      <c r="M308" s="355"/>
      <c r="O308" s="367" t="str">
        <f>IFERROR(__xludf.DUMMYFUNCTION("""COMPUTED_VALUE"""),"Gold Cove - Diamond 2★ #5B4")</f>
        <v>Gold Cove - Diamond 2★ #5B4</v>
      </c>
      <c r="P308" s="296">
        <f>IFERROR(__xludf.DUMMYFUNCTION("""COMPUTED_VALUE"""),20.0)</f>
        <v>20</v>
      </c>
      <c r="Q308" s="355"/>
    </row>
    <row r="309" ht="12.75" customHeight="1">
      <c r="G309" s="354" t="s">
        <v>1020</v>
      </c>
      <c r="H309" s="296">
        <v>20.0</v>
      </c>
      <c r="I309" s="353">
        <v>9.769441187964048E-4</v>
      </c>
      <c r="K309" s="296"/>
      <c r="L309" s="354"/>
      <c r="M309" s="355"/>
      <c r="O309" s="367" t="str">
        <f>IFERROR(__xludf.DUMMYFUNCTION("""COMPUTED_VALUE"""),"Gold Cove - Crown 2★ #069")</f>
        <v>Gold Cove - Crown 2★ #069</v>
      </c>
      <c r="P309" s="296">
        <f>IFERROR(__xludf.DUMMYFUNCTION("""COMPUTED_VALUE"""),20.0)</f>
        <v>20</v>
      </c>
      <c r="Q309" s="355"/>
    </row>
    <row r="310" ht="12.75" customHeight="1">
      <c r="G310" s="354" t="s">
        <v>1021</v>
      </c>
      <c r="H310" s="296">
        <v>20.0</v>
      </c>
      <c r="I310" s="353">
        <v>9.769441187964048E-4</v>
      </c>
      <c r="K310" s="296"/>
      <c r="L310" s="354"/>
      <c r="M310" s="355"/>
      <c r="O310" s="367" t="str">
        <f>IFERROR(__xludf.DUMMYFUNCTION("""COMPUTED_VALUE"""),"Gold Cove - Crown 2★ #B1E")</f>
        <v>Gold Cove - Crown 2★ #B1E</v>
      </c>
      <c r="P310" s="296">
        <f>IFERROR(__xludf.DUMMYFUNCTION("""COMPUTED_VALUE"""),20.0)</f>
        <v>20</v>
      </c>
      <c r="Q310" s="355"/>
    </row>
    <row r="311" ht="12.75" customHeight="1">
      <c r="G311" s="354" t="s">
        <v>1022</v>
      </c>
      <c r="H311" s="296">
        <v>20.0</v>
      </c>
      <c r="I311" s="353">
        <v>9.769441187964048E-4</v>
      </c>
      <c r="K311" s="296"/>
      <c r="L311" s="354"/>
      <c r="M311" s="355"/>
      <c r="O311" s="367" t="str">
        <f>IFERROR(__xludf.DUMMYFUNCTION("""COMPUTED_VALUE"""),"Gold Cove - Crown 2★ #5D3")</f>
        <v>Gold Cove - Crown 2★ #5D3</v>
      </c>
      <c r="P311" s="296">
        <f>IFERROR(__xludf.DUMMYFUNCTION("""COMPUTED_VALUE"""),20.0)</f>
        <v>20</v>
      </c>
      <c r="Q311" s="355"/>
    </row>
    <row r="312" ht="12.75" customHeight="1">
      <c r="G312" s="354" t="s">
        <v>1023</v>
      </c>
      <c r="H312" s="296">
        <v>20.0</v>
      </c>
      <c r="I312" s="353">
        <v>9.769441187964048E-4</v>
      </c>
      <c r="K312" s="296"/>
      <c r="L312" s="354"/>
      <c r="M312" s="355"/>
      <c r="O312" s="367" t="str">
        <f>IFERROR(__xludf.DUMMYFUNCTION("""COMPUTED_VALUE"""),"Gold Cove - Crown 2★ #088")</f>
        <v>Gold Cove - Crown 2★ #088</v>
      </c>
      <c r="P312" s="296">
        <f>IFERROR(__xludf.DUMMYFUNCTION("""COMPUTED_VALUE"""),20.0)</f>
        <v>20</v>
      </c>
      <c r="Q312" s="355"/>
    </row>
    <row r="313" ht="12.75" customHeight="1">
      <c r="G313" s="354" t="s">
        <v>1024</v>
      </c>
      <c r="H313" s="296">
        <v>20.0</v>
      </c>
      <c r="I313" s="353">
        <v>9.769441187964048E-4</v>
      </c>
      <c r="K313" s="296"/>
      <c r="L313" s="354"/>
      <c r="M313" s="355"/>
      <c r="O313" s="367" t="str">
        <f>IFERROR(__xludf.DUMMYFUNCTION("""COMPUTED_VALUE"""),"Gold Cove - Crown 2★ #B3D")</f>
        <v>Gold Cove - Crown 2★ #B3D</v>
      </c>
      <c r="P313" s="296">
        <f>IFERROR(__xludf.DUMMYFUNCTION("""COMPUTED_VALUE"""),20.0)</f>
        <v>20</v>
      </c>
      <c r="Q313" s="355"/>
    </row>
    <row r="314" ht="12.75" customHeight="1">
      <c r="G314" s="354" t="s">
        <v>1025</v>
      </c>
      <c r="H314" s="296">
        <v>20.0</v>
      </c>
      <c r="I314" s="353">
        <v>9.769441187964048E-4</v>
      </c>
      <c r="K314" s="296"/>
      <c r="L314" s="354"/>
      <c r="M314" s="355"/>
      <c r="O314" s="367" t="str">
        <f>IFERROR(__xludf.DUMMYFUNCTION("""COMPUTED_VALUE"""),"Gold Cove - Crown 2★ #5F2")</f>
        <v>Gold Cove - Crown 2★ #5F2</v>
      </c>
      <c r="P314" s="296">
        <f>IFERROR(__xludf.DUMMYFUNCTION("""COMPUTED_VALUE"""),20.0)</f>
        <v>20</v>
      </c>
      <c r="Q314" s="355"/>
    </row>
    <row r="315" ht="12.75" customHeight="1">
      <c r="G315" s="354" t="s">
        <v>1026</v>
      </c>
      <c r="H315" s="296">
        <v>20.0</v>
      </c>
      <c r="I315" s="353">
        <v>9.769441187964048E-4</v>
      </c>
      <c r="K315" s="296"/>
      <c r="L315" s="354"/>
      <c r="M315" s="355"/>
      <c r="O315" s="367" t="str">
        <f>IFERROR(__xludf.DUMMYFUNCTION("""COMPUTED_VALUE"""),"Gold Cove - Crown 2★ #0A7")</f>
        <v>Gold Cove - Crown 2★ #0A7</v>
      </c>
      <c r="P315" s="296">
        <f>IFERROR(__xludf.DUMMYFUNCTION("""COMPUTED_VALUE"""),20.0)</f>
        <v>20</v>
      </c>
      <c r="Q315" s="355"/>
    </row>
    <row r="316" ht="12.75" customHeight="1">
      <c r="G316" s="354" t="s">
        <v>1027</v>
      </c>
      <c r="H316" s="296">
        <v>20.0</v>
      </c>
      <c r="I316" s="353">
        <v>9.769441187964048E-4</v>
      </c>
      <c r="K316" s="296"/>
      <c r="L316" s="354"/>
      <c r="M316" s="355"/>
      <c r="O316" s="367" t="str">
        <f>IFERROR(__xludf.DUMMYFUNCTION("""COMPUTED_VALUE"""),"Gold Cove - Crown 2★ #B5C")</f>
        <v>Gold Cove - Crown 2★ #B5C</v>
      </c>
      <c r="P316" s="296">
        <f>IFERROR(__xludf.DUMMYFUNCTION("""COMPUTED_VALUE"""),20.0)</f>
        <v>20</v>
      </c>
      <c r="Q316" s="355"/>
    </row>
    <row r="317" ht="12.75" customHeight="1">
      <c r="G317" s="354" t="s">
        <v>1028</v>
      </c>
      <c r="H317" s="296">
        <v>20.0</v>
      </c>
      <c r="I317" s="353">
        <v>9.769441187964048E-4</v>
      </c>
      <c r="K317" s="296"/>
      <c r="L317" s="354"/>
      <c r="M317" s="355"/>
      <c r="O317" s="367" t="str">
        <f>IFERROR(__xludf.DUMMYFUNCTION("""COMPUTED_VALUE"""),"Gold Cove - Crown 2★ #611")</f>
        <v>Gold Cove - Crown 2★ #611</v>
      </c>
      <c r="P317" s="296">
        <f>IFERROR(__xludf.DUMMYFUNCTION("""COMPUTED_VALUE"""),20.0)</f>
        <v>20</v>
      </c>
      <c r="Q317" s="355"/>
    </row>
    <row r="318" ht="12.75" customHeight="1">
      <c r="G318" s="354" t="s">
        <v>1029</v>
      </c>
      <c r="H318" s="296">
        <v>20.0</v>
      </c>
      <c r="I318" s="353">
        <v>9.769441187964048E-4</v>
      </c>
      <c r="K318" s="296"/>
      <c r="L318" s="354"/>
      <c r="M318" s="355"/>
      <c r="O318" s="367" t="str">
        <f>IFERROR(__xludf.DUMMYFUNCTION("""COMPUTED_VALUE"""),"Gold Cove - Crown 2★ #0C6")</f>
        <v>Gold Cove - Crown 2★ #0C6</v>
      </c>
      <c r="P318" s="296">
        <f>IFERROR(__xludf.DUMMYFUNCTION("""COMPUTED_VALUE"""),20.0)</f>
        <v>20</v>
      </c>
      <c r="Q318" s="355"/>
    </row>
    <row r="319" ht="12.75" customHeight="1">
      <c r="G319" s="354" t="s">
        <v>1030</v>
      </c>
      <c r="H319" s="296">
        <v>20.0</v>
      </c>
      <c r="I319" s="353">
        <v>9.769441187964048E-4</v>
      </c>
      <c r="K319" s="296"/>
      <c r="L319" s="354"/>
      <c r="M319" s="355"/>
      <c r="O319" s="367" t="str">
        <f>IFERROR(__xludf.DUMMYFUNCTION("""COMPUTED_VALUE"""),"Gold Cove - Crown 2★ #B7B")</f>
        <v>Gold Cove - Crown 2★ #B7B</v>
      </c>
      <c r="P319" s="296">
        <f>IFERROR(__xludf.DUMMYFUNCTION("""COMPUTED_VALUE"""),20.0)</f>
        <v>20</v>
      </c>
      <c r="Q319" s="355"/>
    </row>
    <row r="320" ht="12.75" customHeight="1">
      <c r="G320" s="354" t="s">
        <v>1031</v>
      </c>
      <c r="H320" s="296">
        <v>20.0</v>
      </c>
      <c r="I320" s="353">
        <v>9.769441187964048E-4</v>
      </c>
      <c r="K320" s="296"/>
      <c r="L320" s="354"/>
      <c r="M320" s="355"/>
      <c r="O320" s="367" t="str">
        <f>IFERROR(__xludf.DUMMYFUNCTION("""COMPUTED_VALUE"""),"Gold Cove - Crown 2★ #630")</f>
        <v>Gold Cove - Crown 2★ #630</v>
      </c>
      <c r="P320" s="296">
        <f>IFERROR(__xludf.DUMMYFUNCTION("""COMPUTED_VALUE"""),20.0)</f>
        <v>20</v>
      </c>
      <c r="Q320" s="355"/>
    </row>
    <row r="321" ht="12.75" customHeight="1">
      <c r="G321" s="354" t="s">
        <v>1032</v>
      </c>
      <c r="H321" s="296">
        <v>20.0</v>
      </c>
      <c r="I321" s="353">
        <v>9.769441187964048E-4</v>
      </c>
      <c r="K321" s="296"/>
      <c r="L321" s="354"/>
      <c r="M321" s="355"/>
      <c r="O321" s="367" t="str">
        <f>IFERROR(__xludf.DUMMYFUNCTION("""COMPUTED_VALUE"""),"Gold Cove - Crown 2★ #0E5")</f>
        <v>Gold Cove - Crown 2★ #0E5</v>
      </c>
      <c r="P321" s="296">
        <f>IFERROR(__xludf.DUMMYFUNCTION("""COMPUTED_VALUE"""),20.0)</f>
        <v>20</v>
      </c>
      <c r="Q321" s="355"/>
    </row>
    <row r="322" ht="12.75" customHeight="1">
      <c r="G322" s="354" t="s">
        <v>1033</v>
      </c>
      <c r="H322" s="296">
        <v>10.0</v>
      </c>
      <c r="I322" s="353">
        <v>4.884720593982024E-4</v>
      </c>
      <c r="K322" s="296"/>
      <c r="L322" s="354"/>
      <c r="M322" s="355"/>
      <c r="O322" s="367" t="str">
        <f>IFERROR(__xludf.DUMMYFUNCTION("""COMPUTED_VALUE"""),"Gold Cove - Goblet 3★ #B9A")</f>
        <v>Gold Cove - Goblet 3★ #B9A</v>
      </c>
      <c r="P322" s="296">
        <f>IFERROR(__xludf.DUMMYFUNCTION("""COMPUTED_VALUE"""),10.0)</f>
        <v>10</v>
      </c>
      <c r="Q322" s="355"/>
    </row>
    <row r="323" ht="12.75" customHeight="1">
      <c r="G323" s="354" t="s">
        <v>1034</v>
      </c>
      <c r="H323" s="296">
        <v>10.0</v>
      </c>
      <c r="I323" s="353">
        <v>4.884720593982024E-4</v>
      </c>
      <c r="K323" s="296"/>
      <c r="L323" s="354"/>
      <c r="M323" s="355"/>
      <c r="O323" s="367" t="str">
        <f>IFERROR(__xludf.DUMMYFUNCTION("""COMPUTED_VALUE"""),"Gold Cove - Goblet 3★ #64F")</f>
        <v>Gold Cove - Goblet 3★ #64F</v>
      </c>
      <c r="P323" s="296">
        <f>IFERROR(__xludf.DUMMYFUNCTION("""COMPUTED_VALUE"""),10.0)</f>
        <v>10</v>
      </c>
      <c r="Q323" s="355"/>
    </row>
    <row r="324" ht="12.75" customHeight="1">
      <c r="G324" s="354" t="s">
        <v>1035</v>
      </c>
      <c r="H324" s="296">
        <v>10.0</v>
      </c>
      <c r="I324" s="353">
        <v>4.884720593982024E-4</v>
      </c>
      <c r="K324" s="296"/>
      <c r="L324" s="354"/>
      <c r="M324" s="355"/>
      <c r="O324" s="367" t="str">
        <f>IFERROR(__xludf.DUMMYFUNCTION("""COMPUTED_VALUE"""),"Gold Cove - Goblet 3★ #104")</f>
        <v>Gold Cove - Goblet 3★ #104</v>
      </c>
      <c r="P324" s="296">
        <f>IFERROR(__xludf.DUMMYFUNCTION("""COMPUTED_VALUE"""),10.0)</f>
        <v>10</v>
      </c>
      <c r="Q324" s="355"/>
    </row>
    <row r="325" ht="12.75" customHeight="1">
      <c r="G325" s="354" t="s">
        <v>1036</v>
      </c>
      <c r="H325" s="296">
        <v>10.0</v>
      </c>
      <c r="I325" s="353">
        <v>4.884720593982024E-4</v>
      </c>
      <c r="K325" s="296"/>
      <c r="L325" s="354"/>
      <c r="M325" s="355"/>
      <c r="O325" s="367" t="str">
        <f>IFERROR(__xludf.DUMMYFUNCTION("""COMPUTED_VALUE"""),"Gold Cove - Goblet 3★ #BB9")</f>
        <v>Gold Cove - Goblet 3★ #BB9</v>
      </c>
      <c r="P325" s="296">
        <f>IFERROR(__xludf.DUMMYFUNCTION("""COMPUTED_VALUE"""),10.0)</f>
        <v>10</v>
      </c>
      <c r="Q325" s="355"/>
    </row>
    <row r="326" ht="12.75" customHeight="1">
      <c r="G326" s="354" t="s">
        <v>1037</v>
      </c>
      <c r="H326" s="296">
        <v>10.0</v>
      </c>
      <c r="I326" s="353">
        <v>4.884720593982024E-4</v>
      </c>
      <c r="K326" s="296"/>
      <c r="L326" s="354"/>
      <c r="M326" s="355"/>
      <c r="O326" s="367" t="str">
        <f>IFERROR(__xludf.DUMMYFUNCTION("""COMPUTED_VALUE"""),"Gold Cove - Goblet 3★ #66E")</f>
        <v>Gold Cove - Goblet 3★ #66E</v>
      </c>
      <c r="P326" s="296">
        <f>IFERROR(__xludf.DUMMYFUNCTION("""COMPUTED_VALUE"""),10.0)</f>
        <v>10</v>
      </c>
      <c r="Q326" s="355"/>
    </row>
    <row r="327" ht="12.75" customHeight="1">
      <c r="G327" s="354" t="s">
        <v>1038</v>
      </c>
      <c r="H327" s="296">
        <v>10.0</v>
      </c>
      <c r="I327" s="353">
        <v>4.884720593982024E-4</v>
      </c>
      <c r="K327" s="296"/>
      <c r="L327" s="354"/>
      <c r="M327" s="355"/>
      <c r="O327" s="367" t="str">
        <f>IFERROR(__xludf.DUMMYFUNCTION("""COMPUTED_VALUE"""),"Gold Cove - Goblet 3★ #123")</f>
        <v>Gold Cove - Goblet 3★ #123</v>
      </c>
      <c r="P327" s="296">
        <f>IFERROR(__xludf.DUMMYFUNCTION("""COMPUTED_VALUE"""),10.0)</f>
        <v>10</v>
      </c>
      <c r="Q327" s="355"/>
    </row>
    <row r="328" ht="12.75" customHeight="1">
      <c r="G328" s="354" t="s">
        <v>1039</v>
      </c>
      <c r="H328" s="296">
        <v>10.0</v>
      </c>
      <c r="I328" s="353">
        <v>4.884720593982024E-4</v>
      </c>
      <c r="K328" s="296"/>
      <c r="L328" s="354"/>
      <c r="M328" s="355"/>
      <c r="O328" s="367" t="str">
        <f>IFERROR(__xludf.DUMMYFUNCTION("""COMPUTED_VALUE"""),"Gold Cove - Goblet 3★ #BD8")</f>
        <v>Gold Cove - Goblet 3★ #BD8</v>
      </c>
      <c r="P328" s="296">
        <f>IFERROR(__xludf.DUMMYFUNCTION("""COMPUTED_VALUE"""),10.0)</f>
        <v>10</v>
      </c>
      <c r="Q328" s="355"/>
    </row>
    <row r="329" ht="12.75" customHeight="1">
      <c r="G329" s="354" t="s">
        <v>1040</v>
      </c>
      <c r="H329" s="296">
        <v>10.0</v>
      </c>
      <c r="I329" s="353">
        <v>4.884720593982024E-4</v>
      </c>
      <c r="K329" s="296"/>
      <c r="L329" s="354"/>
      <c r="M329" s="355"/>
      <c r="O329" s="367" t="str">
        <f>IFERROR(__xludf.DUMMYFUNCTION("""COMPUTED_VALUE"""),"Gold Cove - Goblet 3★ #68D")</f>
        <v>Gold Cove - Goblet 3★ #68D</v>
      </c>
      <c r="P329" s="296">
        <f>IFERROR(__xludf.DUMMYFUNCTION("""COMPUTED_VALUE"""),10.0)</f>
        <v>10</v>
      </c>
      <c r="Q329" s="355"/>
    </row>
    <row r="330" ht="12.75" customHeight="1">
      <c r="G330" s="354" t="s">
        <v>1041</v>
      </c>
      <c r="H330" s="296">
        <v>10.0</v>
      </c>
      <c r="I330" s="353">
        <v>4.884720593982024E-4</v>
      </c>
      <c r="K330" s="296"/>
      <c r="L330" s="354"/>
      <c r="M330" s="355"/>
      <c r="O330" s="367" t="str">
        <f>IFERROR(__xludf.DUMMYFUNCTION("""COMPUTED_VALUE"""),"Gold Cove - Goblet 3★ #142")</f>
        <v>Gold Cove - Goblet 3★ #142</v>
      </c>
      <c r="P330" s="296">
        <f>IFERROR(__xludf.DUMMYFUNCTION("""COMPUTED_VALUE"""),10.0)</f>
        <v>10</v>
      </c>
      <c r="Q330" s="355"/>
    </row>
    <row r="331" ht="12.75" customHeight="1">
      <c r="G331" s="354" t="s">
        <v>1042</v>
      </c>
      <c r="H331" s="296">
        <v>10.0</v>
      </c>
      <c r="I331" s="353">
        <v>4.884720593982024E-4</v>
      </c>
      <c r="K331" s="296"/>
      <c r="L331" s="354"/>
      <c r="M331" s="355"/>
      <c r="O331" s="367" t="str">
        <f>IFERROR(__xludf.DUMMYFUNCTION("""COMPUTED_VALUE"""),"Gold Cove - Goblet 3★ #BF7")</f>
        <v>Gold Cove - Goblet 3★ #BF7</v>
      </c>
      <c r="P331" s="296">
        <f>IFERROR(__xludf.DUMMYFUNCTION("""COMPUTED_VALUE"""),10.0)</f>
        <v>10</v>
      </c>
      <c r="Q331" s="355"/>
    </row>
    <row r="332" ht="12.75" customHeight="1">
      <c r="G332" s="354" t="s">
        <v>1043</v>
      </c>
      <c r="H332" s="296">
        <v>10.0</v>
      </c>
      <c r="I332" s="353">
        <v>4.884720593982024E-4</v>
      </c>
      <c r="K332" s="296"/>
      <c r="L332" s="354"/>
      <c r="M332" s="355"/>
      <c r="O332" s="367" t="str">
        <f>IFERROR(__xludf.DUMMYFUNCTION("""COMPUTED_VALUE"""),"Gold Cove - Goblet 3★ #6AC")</f>
        <v>Gold Cove - Goblet 3★ #6AC</v>
      </c>
      <c r="P332" s="296">
        <f>IFERROR(__xludf.DUMMYFUNCTION("""COMPUTED_VALUE"""),10.0)</f>
        <v>10</v>
      </c>
      <c r="Q332" s="355"/>
    </row>
    <row r="333" ht="12.75" customHeight="1">
      <c r="G333" s="354" t="s">
        <v>1044</v>
      </c>
      <c r="H333" s="296">
        <v>10.0</v>
      </c>
      <c r="I333" s="353">
        <v>4.884720593982024E-4</v>
      </c>
      <c r="K333" s="296"/>
      <c r="L333" s="354"/>
      <c r="M333" s="355"/>
      <c r="O333" s="367" t="str">
        <f>IFERROR(__xludf.DUMMYFUNCTION("""COMPUTED_VALUE"""),"Gold Cove - Goblet 3★ #161")</f>
        <v>Gold Cove - Goblet 3★ #161</v>
      </c>
      <c r="P333" s="296">
        <f>IFERROR(__xludf.DUMMYFUNCTION("""COMPUTED_VALUE"""),10.0)</f>
        <v>10</v>
      </c>
      <c r="Q333" s="355"/>
    </row>
    <row r="334" ht="12.75" customHeight="1">
      <c r="G334" s="354" t="s">
        <v>1045</v>
      </c>
      <c r="H334" s="296">
        <v>10.0</v>
      </c>
      <c r="I334" s="353">
        <v>4.884720593982024E-4</v>
      </c>
      <c r="K334" s="296"/>
      <c r="L334" s="354"/>
      <c r="M334" s="355"/>
      <c r="O334" s="367" t="str">
        <f>IFERROR(__xludf.DUMMYFUNCTION("""COMPUTED_VALUE"""),"Gold Cove - Goblet 3★ #C16")</f>
        <v>Gold Cove - Goblet 3★ #C16</v>
      </c>
      <c r="P334" s="296">
        <f>IFERROR(__xludf.DUMMYFUNCTION("""COMPUTED_VALUE"""),10.0)</f>
        <v>10</v>
      </c>
      <c r="Q334" s="355"/>
    </row>
    <row r="335" ht="12.75" customHeight="1">
      <c r="G335" s="354" t="s">
        <v>1046</v>
      </c>
      <c r="H335" s="296">
        <v>5.0</v>
      </c>
      <c r="I335" s="353">
        <v>2.442360296991012E-4</v>
      </c>
      <c r="K335" s="296"/>
      <c r="L335" s="354"/>
      <c r="M335" s="355"/>
      <c r="O335" s="367" t="str">
        <f>IFERROR(__xludf.DUMMYFUNCTION("""COMPUTED_VALUE"""),"Gold Cove - Necklace 4★ #6CB")</f>
        <v>Gold Cove - Necklace 4★ #6CB</v>
      </c>
      <c r="P335" s="296">
        <f>IFERROR(__xludf.DUMMYFUNCTION("""COMPUTED_VALUE"""),5.0)</f>
        <v>5</v>
      </c>
      <c r="Q335" s="355"/>
    </row>
    <row r="336" ht="12.75" customHeight="1">
      <c r="G336" s="354" t="s">
        <v>1047</v>
      </c>
      <c r="H336" s="296">
        <v>5.0</v>
      </c>
      <c r="I336" s="353">
        <v>2.442360296991012E-4</v>
      </c>
      <c r="K336" s="296"/>
      <c r="L336" s="354"/>
      <c r="M336" s="355"/>
      <c r="O336" s="367" t="str">
        <f>IFERROR(__xludf.DUMMYFUNCTION("""COMPUTED_VALUE"""),"Gold Cove - Necklace 4★ #180")</f>
        <v>Gold Cove - Necklace 4★ #180</v>
      </c>
      <c r="P336" s="296">
        <f>IFERROR(__xludf.DUMMYFUNCTION("""COMPUTED_VALUE"""),5.0)</f>
        <v>5</v>
      </c>
      <c r="Q336" s="355"/>
    </row>
    <row r="337" ht="12.75" customHeight="1">
      <c r="G337" s="354" t="s">
        <v>1048</v>
      </c>
      <c r="H337" s="296">
        <v>5.0</v>
      </c>
      <c r="I337" s="353">
        <v>2.442360296991012E-4</v>
      </c>
      <c r="K337" s="296"/>
      <c r="L337" s="354"/>
      <c r="M337" s="355"/>
      <c r="O337" s="367" t="str">
        <f>IFERROR(__xludf.DUMMYFUNCTION("""COMPUTED_VALUE"""),"Gold Cove - Necklace 4★ #C35")</f>
        <v>Gold Cove - Necklace 4★ #C35</v>
      </c>
      <c r="P337" s="296">
        <f>IFERROR(__xludf.DUMMYFUNCTION("""COMPUTED_VALUE"""),5.0)</f>
        <v>5</v>
      </c>
      <c r="Q337" s="355"/>
    </row>
    <row r="338" ht="12.75" customHeight="1">
      <c r="G338" s="354" t="s">
        <v>1049</v>
      </c>
      <c r="H338" s="296">
        <v>5.0</v>
      </c>
      <c r="I338" s="353">
        <v>2.442360296991012E-4</v>
      </c>
      <c r="K338" s="296"/>
      <c r="L338" s="354"/>
      <c r="M338" s="355"/>
      <c r="O338" s="367" t="str">
        <f>IFERROR(__xludf.DUMMYFUNCTION("""COMPUTED_VALUE"""),"Gold Cove - Necklace 4★ #6EA")</f>
        <v>Gold Cove - Necklace 4★ #6EA</v>
      </c>
      <c r="P338" s="296">
        <f>IFERROR(__xludf.DUMMYFUNCTION("""COMPUTED_VALUE"""),5.0)</f>
        <v>5</v>
      </c>
      <c r="Q338" s="355"/>
    </row>
    <row r="339" ht="12.75" customHeight="1">
      <c r="G339" s="354" t="s">
        <v>1050</v>
      </c>
      <c r="H339" s="296">
        <v>5.0</v>
      </c>
      <c r="I339" s="353">
        <v>2.442360296991012E-4</v>
      </c>
      <c r="K339" s="296"/>
      <c r="L339" s="354"/>
      <c r="M339" s="355"/>
      <c r="O339" s="367" t="str">
        <f>IFERROR(__xludf.DUMMYFUNCTION("""COMPUTED_VALUE"""),"Gold Cove - Necklace 4★ #19F")</f>
        <v>Gold Cove - Necklace 4★ #19F</v>
      </c>
      <c r="P339" s="296">
        <f>IFERROR(__xludf.DUMMYFUNCTION("""COMPUTED_VALUE"""),5.0)</f>
        <v>5</v>
      </c>
      <c r="Q339" s="355"/>
    </row>
    <row r="340" ht="12.75" customHeight="1">
      <c r="G340" s="354" t="s">
        <v>1051</v>
      </c>
      <c r="H340" s="296">
        <v>5.0</v>
      </c>
      <c r="I340" s="353">
        <v>2.442360296991012E-4</v>
      </c>
      <c r="K340" s="296"/>
      <c r="L340" s="354"/>
      <c r="M340" s="355"/>
      <c r="O340" s="367" t="str">
        <f>IFERROR(__xludf.DUMMYFUNCTION("""COMPUTED_VALUE"""),"Gold Cove - Necklace 4★ #C54")</f>
        <v>Gold Cove - Necklace 4★ #C54</v>
      </c>
      <c r="P340" s="296">
        <f>IFERROR(__xludf.DUMMYFUNCTION("""COMPUTED_VALUE"""),5.0)</f>
        <v>5</v>
      </c>
      <c r="Q340" s="355"/>
    </row>
    <row r="341" ht="12.75" customHeight="1">
      <c r="G341" s="354" t="s">
        <v>1052</v>
      </c>
      <c r="H341" s="296">
        <v>5.0</v>
      </c>
      <c r="I341" s="353">
        <v>2.442360296991012E-4</v>
      </c>
      <c r="K341" s="296"/>
      <c r="L341" s="354"/>
      <c r="M341" s="355"/>
      <c r="O341" s="367" t="str">
        <f>IFERROR(__xludf.DUMMYFUNCTION("""COMPUTED_VALUE"""),"Gold Cove - Necklace 4★ #709")</f>
        <v>Gold Cove - Necklace 4★ #709</v>
      </c>
      <c r="P341" s="296">
        <f>IFERROR(__xludf.DUMMYFUNCTION("""COMPUTED_VALUE"""),5.0)</f>
        <v>5</v>
      </c>
      <c r="Q341" s="355"/>
    </row>
    <row r="342" ht="12.75" customHeight="1">
      <c r="G342" s="354" t="s">
        <v>1053</v>
      </c>
      <c r="H342" s="296">
        <v>5.0</v>
      </c>
      <c r="I342" s="353">
        <v>2.442360296991012E-4</v>
      </c>
      <c r="K342" s="296"/>
      <c r="L342" s="354"/>
      <c r="M342" s="355"/>
      <c r="O342" s="367" t="str">
        <f>IFERROR(__xludf.DUMMYFUNCTION("""COMPUTED_VALUE"""),"Gold Cove - Necklace 4★ #1BE")</f>
        <v>Gold Cove - Necklace 4★ #1BE</v>
      </c>
      <c r="P342" s="296">
        <f>IFERROR(__xludf.DUMMYFUNCTION("""COMPUTED_VALUE"""),5.0)</f>
        <v>5</v>
      </c>
      <c r="Q342" s="355"/>
    </row>
    <row r="343" ht="12.75" customHeight="1">
      <c r="G343" s="354" t="s">
        <v>1054</v>
      </c>
      <c r="H343" s="296">
        <v>5.0</v>
      </c>
      <c r="I343" s="353">
        <v>2.442360296991012E-4</v>
      </c>
      <c r="K343" s="296"/>
      <c r="L343" s="354"/>
      <c r="M343" s="355"/>
      <c r="O343" s="367" t="str">
        <f>IFERROR(__xludf.DUMMYFUNCTION("""COMPUTED_VALUE"""),"Gold Cove - Necklace 4★ #C73")</f>
        <v>Gold Cove - Necklace 4★ #C73</v>
      </c>
      <c r="P343" s="296">
        <f>IFERROR(__xludf.DUMMYFUNCTION("""COMPUTED_VALUE"""),5.0)</f>
        <v>5</v>
      </c>
      <c r="Q343" s="355"/>
    </row>
    <row r="344" ht="12.75" customHeight="1">
      <c r="G344" s="354" t="s">
        <v>1055</v>
      </c>
      <c r="H344" s="296">
        <v>5.0</v>
      </c>
      <c r="I344" s="353">
        <v>2.442360296991012E-4</v>
      </c>
      <c r="K344" s="296"/>
      <c r="L344" s="354"/>
      <c r="M344" s="355"/>
      <c r="O344" s="367" t="str">
        <f>IFERROR(__xludf.DUMMYFUNCTION("""COMPUTED_VALUE"""),"Gold Cove - Necklace 4★ #728")</f>
        <v>Gold Cove - Necklace 4★ #728</v>
      </c>
      <c r="P344" s="296">
        <f>IFERROR(__xludf.DUMMYFUNCTION("""COMPUTED_VALUE"""),5.0)</f>
        <v>5</v>
      </c>
      <c r="Q344" s="355"/>
    </row>
    <row r="345" ht="12.75" customHeight="1">
      <c r="G345" s="354" t="s">
        <v>1056</v>
      </c>
      <c r="H345" s="296">
        <v>5.0</v>
      </c>
      <c r="I345" s="353">
        <v>2.442360296991012E-4</v>
      </c>
      <c r="K345" s="296"/>
      <c r="L345" s="354"/>
      <c r="M345" s="355"/>
      <c r="O345" s="367" t="str">
        <f>IFERROR(__xludf.DUMMYFUNCTION("""COMPUTED_VALUE"""),"Gold Cove - Necklace 4★ #1DD")</f>
        <v>Gold Cove - Necklace 4★ #1DD</v>
      </c>
      <c r="P345" s="296">
        <f>IFERROR(__xludf.DUMMYFUNCTION("""COMPUTED_VALUE"""),5.0)</f>
        <v>5</v>
      </c>
      <c r="Q345" s="355"/>
    </row>
    <row r="346" ht="12.75" customHeight="1">
      <c r="G346" s="354" t="s">
        <v>1057</v>
      </c>
      <c r="H346" s="296">
        <v>5.0</v>
      </c>
      <c r="I346" s="353">
        <v>2.442360296991012E-4</v>
      </c>
      <c r="K346" s="296"/>
      <c r="L346" s="354"/>
      <c r="M346" s="355"/>
      <c r="O346" s="367" t="str">
        <f>IFERROR(__xludf.DUMMYFUNCTION("""COMPUTED_VALUE"""),"Gold Cove - Necklace 4★ #C92")</f>
        <v>Gold Cove - Necklace 4★ #C92</v>
      </c>
      <c r="P346" s="296">
        <f>IFERROR(__xludf.DUMMYFUNCTION("""COMPUTED_VALUE"""),5.0)</f>
        <v>5</v>
      </c>
      <c r="Q346" s="355"/>
    </row>
    <row r="347" ht="12.75" customHeight="1">
      <c r="G347" s="354" t="s">
        <v>1058</v>
      </c>
      <c r="H347" s="296">
        <v>5.0</v>
      </c>
      <c r="I347" s="353">
        <v>2.442360296991012E-4</v>
      </c>
      <c r="K347" s="296"/>
      <c r="L347" s="354"/>
      <c r="M347" s="355"/>
      <c r="O347" s="367" t="str">
        <f>IFERROR(__xludf.DUMMYFUNCTION("""COMPUTED_VALUE"""),"Gold Cove - Ring 4★ #747")</f>
        <v>Gold Cove - Ring 4★ #747</v>
      </c>
      <c r="P347" s="296">
        <f>IFERROR(__xludf.DUMMYFUNCTION("""COMPUTED_VALUE"""),5.0)</f>
        <v>5</v>
      </c>
      <c r="Q347" s="355"/>
    </row>
    <row r="348" ht="12.75" customHeight="1">
      <c r="G348" s="354" t="s">
        <v>1059</v>
      </c>
      <c r="H348" s="296">
        <v>5.0</v>
      </c>
      <c r="I348" s="353">
        <v>2.442360296991012E-4</v>
      </c>
      <c r="K348" s="296"/>
      <c r="L348" s="354"/>
      <c r="M348" s="355"/>
      <c r="O348" s="367" t="str">
        <f>IFERROR(__xludf.DUMMYFUNCTION("""COMPUTED_VALUE"""),"Gold Cove - Ring 4★ #1FC")</f>
        <v>Gold Cove - Ring 4★ #1FC</v>
      </c>
      <c r="P348" s="296">
        <f>IFERROR(__xludf.DUMMYFUNCTION("""COMPUTED_VALUE"""),5.0)</f>
        <v>5</v>
      </c>
      <c r="Q348" s="355"/>
    </row>
    <row r="349" ht="12.75" customHeight="1">
      <c r="G349" s="354" t="s">
        <v>1060</v>
      </c>
      <c r="H349" s="296">
        <v>5.0</v>
      </c>
      <c r="I349" s="353">
        <v>2.442360296991012E-4</v>
      </c>
      <c r="K349" s="296"/>
      <c r="L349" s="354"/>
      <c r="M349" s="355"/>
      <c r="O349" s="367" t="str">
        <f>IFERROR(__xludf.DUMMYFUNCTION("""COMPUTED_VALUE"""),"Gold Cove - Ring 4★ #CB1")</f>
        <v>Gold Cove - Ring 4★ #CB1</v>
      </c>
      <c r="P349" s="296">
        <f>IFERROR(__xludf.DUMMYFUNCTION("""COMPUTED_VALUE"""),5.0)</f>
        <v>5</v>
      </c>
      <c r="Q349" s="355"/>
    </row>
    <row r="350" ht="12.75" customHeight="1">
      <c r="G350" s="354" t="s">
        <v>1061</v>
      </c>
      <c r="H350" s="296">
        <v>5.0</v>
      </c>
      <c r="I350" s="353">
        <v>2.442360296991012E-4</v>
      </c>
      <c r="K350" s="296"/>
      <c r="L350" s="354"/>
      <c r="M350" s="355"/>
      <c r="O350" s="367" t="str">
        <f>IFERROR(__xludf.DUMMYFUNCTION("""COMPUTED_VALUE"""),"Gold Cove - Ring 4★ #766")</f>
        <v>Gold Cove - Ring 4★ #766</v>
      </c>
      <c r="P350" s="296">
        <f>IFERROR(__xludf.DUMMYFUNCTION("""COMPUTED_VALUE"""),5.0)</f>
        <v>5</v>
      </c>
      <c r="Q350" s="355"/>
    </row>
    <row r="351" ht="12.75" customHeight="1">
      <c r="G351" s="354" t="s">
        <v>1062</v>
      </c>
      <c r="H351" s="296">
        <v>5.0</v>
      </c>
      <c r="I351" s="353">
        <v>2.442360296991012E-4</v>
      </c>
      <c r="K351" s="296"/>
      <c r="L351" s="354"/>
      <c r="M351" s="355"/>
      <c r="O351" s="367" t="str">
        <f>IFERROR(__xludf.DUMMYFUNCTION("""COMPUTED_VALUE"""),"Gold Cove - Ring 4★ #21B")</f>
        <v>Gold Cove - Ring 4★ #21B</v>
      </c>
      <c r="P351" s="296">
        <f>IFERROR(__xludf.DUMMYFUNCTION("""COMPUTED_VALUE"""),5.0)</f>
        <v>5</v>
      </c>
      <c r="Q351" s="355"/>
    </row>
    <row r="352" ht="12.75" customHeight="1">
      <c r="G352" s="354" t="s">
        <v>1063</v>
      </c>
      <c r="H352" s="296">
        <v>5.0</v>
      </c>
      <c r="I352" s="353">
        <v>2.442360296991012E-4</v>
      </c>
      <c r="K352" s="296"/>
      <c r="L352" s="354"/>
      <c r="M352" s="355"/>
      <c r="O352" s="367" t="str">
        <f>IFERROR(__xludf.DUMMYFUNCTION("""COMPUTED_VALUE"""),"Gold Cove - Ring 4★ #CD0")</f>
        <v>Gold Cove - Ring 4★ #CD0</v>
      </c>
      <c r="P352" s="296">
        <f>IFERROR(__xludf.DUMMYFUNCTION("""COMPUTED_VALUE"""),5.0)</f>
        <v>5</v>
      </c>
      <c r="Q352" s="355"/>
    </row>
    <row r="353" ht="12.75" customHeight="1">
      <c r="G353" s="354" t="s">
        <v>1064</v>
      </c>
      <c r="H353" s="296">
        <v>5.0</v>
      </c>
      <c r="I353" s="353">
        <v>2.442360296991012E-4</v>
      </c>
      <c r="K353" s="296"/>
      <c r="L353" s="354"/>
      <c r="M353" s="355"/>
      <c r="O353" s="367" t="str">
        <f>IFERROR(__xludf.DUMMYFUNCTION("""COMPUTED_VALUE"""),"Gold Cove - Ring 4★ #785")</f>
        <v>Gold Cove - Ring 4★ #785</v>
      </c>
      <c r="P353" s="296">
        <f>IFERROR(__xludf.DUMMYFUNCTION("""COMPUTED_VALUE"""),5.0)</f>
        <v>5</v>
      </c>
      <c r="Q353" s="355"/>
    </row>
    <row r="354" ht="12.75" customHeight="1">
      <c r="G354" s="354" t="s">
        <v>1065</v>
      </c>
      <c r="H354" s="296">
        <v>5.0</v>
      </c>
      <c r="I354" s="353">
        <v>2.442360296991012E-4</v>
      </c>
      <c r="K354" s="296"/>
      <c r="L354" s="354"/>
      <c r="M354" s="355"/>
      <c r="O354" s="367" t="str">
        <f>IFERROR(__xludf.DUMMYFUNCTION("""COMPUTED_VALUE"""),"Gold Cove - Ring 4★ #23A")</f>
        <v>Gold Cove - Ring 4★ #23A</v>
      </c>
      <c r="P354" s="296">
        <f>IFERROR(__xludf.DUMMYFUNCTION("""COMPUTED_VALUE"""),5.0)</f>
        <v>5</v>
      </c>
      <c r="Q354" s="355"/>
    </row>
    <row r="355" ht="12.75" customHeight="1">
      <c r="G355" s="354" t="s">
        <v>1066</v>
      </c>
      <c r="H355" s="296">
        <v>5.0</v>
      </c>
      <c r="I355" s="353">
        <v>2.442360296991012E-4</v>
      </c>
      <c r="K355" s="296"/>
      <c r="L355" s="354"/>
      <c r="M355" s="355"/>
      <c r="O355" s="367" t="str">
        <f>IFERROR(__xludf.DUMMYFUNCTION("""COMPUTED_VALUE"""),"Gold Cove - Ring 4★ #CEF")</f>
        <v>Gold Cove - Ring 4★ #CEF</v>
      </c>
      <c r="P355" s="296">
        <f>IFERROR(__xludf.DUMMYFUNCTION("""COMPUTED_VALUE"""),5.0)</f>
        <v>5</v>
      </c>
      <c r="Q355" s="355"/>
    </row>
    <row r="356" ht="12.75" customHeight="1">
      <c r="G356" s="354" t="s">
        <v>1067</v>
      </c>
      <c r="H356" s="296">
        <v>5.0</v>
      </c>
      <c r="I356" s="353">
        <v>2.442360296991012E-4</v>
      </c>
      <c r="K356" s="296"/>
      <c r="L356" s="354"/>
      <c r="M356" s="355"/>
      <c r="O356" s="367" t="str">
        <f>IFERROR(__xludf.DUMMYFUNCTION("""COMPUTED_VALUE"""),"Gold Cove - Ring 4★ #7A4")</f>
        <v>Gold Cove - Ring 4★ #7A4</v>
      </c>
      <c r="P356" s="296">
        <f>IFERROR(__xludf.DUMMYFUNCTION("""COMPUTED_VALUE"""),5.0)</f>
        <v>5</v>
      </c>
      <c r="Q356" s="355"/>
    </row>
    <row r="357" ht="12.75" customHeight="1">
      <c r="G357" s="354" t="s">
        <v>1068</v>
      </c>
      <c r="H357" s="296">
        <v>5.0</v>
      </c>
      <c r="I357" s="353">
        <v>2.442360296991012E-4</v>
      </c>
      <c r="K357" s="296"/>
      <c r="L357" s="354"/>
      <c r="M357" s="355"/>
      <c r="O357" s="367" t="str">
        <f>IFERROR(__xludf.DUMMYFUNCTION("""COMPUTED_VALUE"""),"Gold Cove - Ring 4★ #259")</f>
        <v>Gold Cove - Ring 4★ #259</v>
      </c>
      <c r="P357" s="296">
        <f>IFERROR(__xludf.DUMMYFUNCTION("""COMPUTED_VALUE"""),5.0)</f>
        <v>5</v>
      </c>
      <c r="Q357" s="355"/>
    </row>
    <row r="358" ht="12.75" customHeight="1">
      <c r="G358" s="354" t="s">
        <v>1069</v>
      </c>
      <c r="H358" s="296">
        <v>2.0</v>
      </c>
      <c r="I358" s="353">
        <v>9.769441187964049E-5</v>
      </c>
      <c r="K358" s="296"/>
      <c r="L358" s="354"/>
      <c r="M358" s="355"/>
      <c r="O358" s="367" t="str">
        <f>IFERROR(__xludf.DUMMYFUNCTION("""COMPUTED_VALUE"""),"Gold Cove - Scepter 5★ #D0E")</f>
        <v>Gold Cove - Scepter 5★ #D0E</v>
      </c>
      <c r="P358" s="296">
        <f>IFERROR(__xludf.DUMMYFUNCTION("""COMPUTED_VALUE"""),2.0)</f>
        <v>2</v>
      </c>
      <c r="Q358" s="355"/>
    </row>
    <row r="359" ht="12.75" customHeight="1">
      <c r="G359" s="354" t="s">
        <v>1070</v>
      </c>
      <c r="H359" s="296">
        <v>2.0</v>
      </c>
      <c r="I359" s="353">
        <v>9.769441187964049E-5</v>
      </c>
      <c r="K359" s="296"/>
      <c r="L359" s="354"/>
      <c r="M359" s="355"/>
      <c r="O359" s="367" t="str">
        <f>IFERROR(__xludf.DUMMYFUNCTION("""COMPUTED_VALUE"""),"Gold Cove - Scepter 5★ #7C3")</f>
        <v>Gold Cove - Scepter 5★ #7C3</v>
      </c>
      <c r="P359" s="296">
        <f>IFERROR(__xludf.DUMMYFUNCTION("""COMPUTED_VALUE"""),2.0)</f>
        <v>2</v>
      </c>
      <c r="Q359" s="355"/>
    </row>
    <row r="360" ht="12.75" customHeight="1">
      <c r="G360" s="354" t="s">
        <v>1071</v>
      </c>
      <c r="H360" s="296">
        <v>2.0</v>
      </c>
      <c r="I360" s="353">
        <v>9.769441187964049E-5</v>
      </c>
      <c r="K360" s="296"/>
      <c r="L360" s="354"/>
      <c r="M360" s="355"/>
      <c r="O360" s="367" t="str">
        <f>IFERROR(__xludf.DUMMYFUNCTION("""COMPUTED_VALUE"""),"Gold Cove - Scepter 5★ #278")</f>
        <v>Gold Cove - Scepter 5★ #278</v>
      </c>
      <c r="P360" s="296">
        <f>IFERROR(__xludf.DUMMYFUNCTION("""COMPUTED_VALUE"""),2.0)</f>
        <v>2</v>
      </c>
      <c r="Q360" s="355"/>
    </row>
    <row r="361" ht="12.75" customHeight="1">
      <c r="G361" s="354" t="s">
        <v>1072</v>
      </c>
      <c r="H361" s="296">
        <v>2.0</v>
      </c>
      <c r="I361" s="353">
        <v>9.769441187964049E-5</v>
      </c>
      <c r="K361" s="296"/>
      <c r="L361" s="354"/>
      <c r="M361" s="355"/>
      <c r="O361" s="367" t="str">
        <f>IFERROR(__xludf.DUMMYFUNCTION("""COMPUTED_VALUE"""),"Gold Cove - Scepter 5★ #D2D")</f>
        <v>Gold Cove - Scepter 5★ #D2D</v>
      </c>
      <c r="P361" s="296">
        <f>IFERROR(__xludf.DUMMYFUNCTION("""COMPUTED_VALUE"""),2.0)</f>
        <v>2</v>
      </c>
      <c r="Q361" s="355"/>
    </row>
    <row r="362" ht="12.75" customHeight="1">
      <c r="G362" s="354" t="s">
        <v>1073</v>
      </c>
      <c r="H362" s="296">
        <v>2.0</v>
      </c>
      <c r="I362" s="353">
        <v>9.769441187964049E-5</v>
      </c>
      <c r="K362" s="296"/>
      <c r="L362" s="354"/>
      <c r="M362" s="355"/>
      <c r="O362" s="367" t="str">
        <f>IFERROR(__xludf.DUMMYFUNCTION("""COMPUTED_VALUE"""),"Gold Cove - Scepter 5★ #7E2")</f>
        <v>Gold Cove - Scepter 5★ #7E2</v>
      </c>
      <c r="P362" s="296">
        <f>IFERROR(__xludf.DUMMYFUNCTION("""COMPUTED_VALUE"""),2.0)</f>
        <v>2</v>
      </c>
      <c r="Q362" s="355"/>
    </row>
    <row r="363" ht="12.75" customHeight="1">
      <c r="G363" s="354" t="s">
        <v>1074</v>
      </c>
      <c r="H363" s="296">
        <v>2.0</v>
      </c>
      <c r="I363" s="353">
        <v>9.769441187964049E-5</v>
      </c>
      <c r="K363" s="296"/>
      <c r="L363" s="354"/>
      <c r="M363" s="355"/>
      <c r="O363" s="367" t="str">
        <f>IFERROR(__xludf.DUMMYFUNCTION("""COMPUTED_VALUE"""),"Gold Cove - Scepter 5★ #297")</f>
        <v>Gold Cove - Scepter 5★ #297</v>
      </c>
      <c r="P363" s="296">
        <f>IFERROR(__xludf.DUMMYFUNCTION("""COMPUTED_VALUE"""),2.0)</f>
        <v>2</v>
      </c>
      <c r="Q363" s="355"/>
    </row>
    <row r="364" ht="12.75" customHeight="1">
      <c r="G364" s="354" t="s">
        <v>1075</v>
      </c>
      <c r="H364" s="296">
        <v>50.0</v>
      </c>
      <c r="I364" s="353">
        <v>0.0024423602969910123</v>
      </c>
      <c r="K364" s="296"/>
      <c r="L364" s="354"/>
      <c r="M364" s="355"/>
      <c r="O364" s="367" t="str">
        <f>IFERROR(__xludf.DUMMYFUNCTION("""COMPUTED_VALUE"""),"Ghost Ship - Fog Horn 1★ #D4C")</f>
        <v>Ghost Ship - Fog Horn 1★ #D4C</v>
      </c>
      <c r="P364" s="296">
        <f>IFERROR(__xludf.DUMMYFUNCTION("""COMPUTED_VALUE"""),50.0)</f>
        <v>50</v>
      </c>
      <c r="Q364" s="355"/>
    </row>
    <row r="365" ht="12.75" customHeight="1">
      <c r="G365" s="354" t="s">
        <v>1076</v>
      </c>
      <c r="H365" s="296">
        <v>50.0</v>
      </c>
      <c r="I365" s="353">
        <v>0.0024423602969910123</v>
      </c>
      <c r="K365" s="296"/>
      <c r="L365" s="354"/>
      <c r="M365" s="355"/>
      <c r="O365" s="367" t="str">
        <f>IFERROR(__xludf.DUMMYFUNCTION("""COMPUTED_VALUE"""),"Ghost Ship - Fog Horn 1★ #801")</f>
        <v>Ghost Ship - Fog Horn 1★ #801</v>
      </c>
      <c r="P365" s="296">
        <f>IFERROR(__xludf.DUMMYFUNCTION("""COMPUTED_VALUE"""),50.0)</f>
        <v>50</v>
      </c>
      <c r="Q365" s="355"/>
    </row>
    <row r="366" ht="12.75" customHeight="1">
      <c r="G366" s="354" t="s">
        <v>1077</v>
      </c>
      <c r="H366" s="296">
        <v>50.0</v>
      </c>
      <c r="I366" s="353">
        <v>0.0024423602969910123</v>
      </c>
      <c r="K366" s="296"/>
      <c r="L366" s="354"/>
      <c r="M366" s="355"/>
      <c r="O366" s="367" t="str">
        <f>IFERROR(__xludf.DUMMYFUNCTION("""COMPUTED_VALUE"""),"Ghost Ship - Fog Horn 1★ #2B6")</f>
        <v>Ghost Ship - Fog Horn 1★ #2B6</v>
      </c>
      <c r="P366" s="296">
        <f>IFERROR(__xludf.DUMMYFUNCTION("""COMPUTED_VALUE"""),50.0)</f>
        <v>50</v>
      </c>
      <c r="Q366" s="355"/>
    </row>
    <row r="367" ht="12.75" customHeight="1">
      <c r="G367" s="354" t="s">
        <v>1078</v>
      </c>
      <c r="H367" s="296">
        <v>50.0</v>
      </c>
      <c r="I367" s="353">
        <v>0.0024423602969910123</v>
      </c>
      <c r="K367" s="296"/>
      <c r="L367" s="354"/>
      <c r="M367" s="355"/>
      <c r="O367" s="367" t="str">
        <f>IFERROR(__xludf.DUMMYFUNCTION("""COMPUTED_VALUE"""),"Ghost Ship - Fog Horn 1★ #D6B")</f>
        <v>Ghost Ship - Fog Horn 1★ #D6B</v>
      </c>
      <c r="P367" s="296">
        <f>IFERROR(__xludf.DUMMYFUNCTION("""COMPUTED_VALUE"""),50.0)</f>
        <v>50</v>
      </c>
      <c r="Q367" s="355"/>
    </row>
    <row r="368" ht="12.75" customHeight="1">
      <c r="G368" s="354" t="s">
        <v>1079</v>
      </c>
      <c r="H368" s="296">
        <v>50.0</v>
      </c>
      <c r="I368" s="353">
        <v>0.0024423602969910123</v>
      </c>
      <c r="K368" s="296"/>
      <c r="L368" s="354"/>
      <c r="M368" s="355"/>
      <c r="O368" s="367" t="str">
        <f>IFERROR(__xludf.DUMMYFUNCTION("""COMPUTED_VALUE"""),"Ghost Ship - Fog Horn 1★ #820")</f>
        <v>Ghost Ship - Fog Horn 1★ #820</v>
      </c>
      <c r="P368" s="296">
        <f>IFERROR(__xludf.DUMMYFUNCTION("""COMPUTED_VALUE"""),50.0)</f>
        <v>50</v>
      </c>
      <c r="Q368" s="355"/>
    </row>
    <row r="369" ht="12.75" customHeight="1">
      <c r="G369" s="354" t="s">
        <v>1080</v>
      </c>
      <c r="H369" s="296">
        <v>50.0</v>
      </c>
      <c r="I369" s="353">
        <v>0.0024423602969910123</v>
      </c>
      <c r="K369" s="296"/>
      <c r="L369" s="354"/>
      <c r="M369" s="355"/>
      <c r="O369" s="367" t="str">
        <f>IFERROR(__xludf.DUMMYFUNCTION("""COMPUTED_VALUE"""),"Ghost Ship - Fog Horn 1★ #2D5")</f>
        <v>Ghost Ship - Fog Horn 1★ #2D5</v>
      </c>
      <c r="P369" s="296">
        <f>IFERROR(__xludf.DUMMYFUNCTION("""COMPUTED_VALUE"""),50.0)</f>
        <v>50</v>
      </c>
      <c r="Q369" s="355"/>
    </row>
    <row r="370" ht="12.75" customHeight="1">
      <c r="G370" s="354" t="s">
        <v>1081</v>
      </c>
      <c r="H370" s="296">
        <v>50.0</v>
      </c>
      <c r="I370" s="353">
        <v>0.0024423602969910123</v>
      </c>
      <c r="K370" s="296"/>
      <c r="L370" s="354"/>
      <c r="M370" s="355"/>
      <c r="O370" s="367" t="str">
        <f>IFERROR(__xludf.DUMMYFUNCTION("""COMPUTED_VALUE"""),"Ghost Ship - Fog Horn 1★ #D8A")</f>
        <v>Ghost Ship - Fog Horn 1★ #D8A</v>
      </c>
      <c r="P370" s="296">
        <f>IFERROR(__xludf.DUMMYFUNCTION("""COMPUTED_VALUE"""),50.0)</f>
        <v>50</v>
      </c>
      <c r="Q370" s="355"/>
    </row>
    <row r="371" ht="12.75" customHeight="1">
      <c r="G371" s="354" t="s">
        <v>1082</v>
      </c>
      <c r="H371" s="296">
        <v>50.0</v>
      </c>
      <c r="I371" s="353">
        <v>0.0024423602969910123</v>
      </c>
      <c r="K371" s="296"/>
      <c r="L371" s="354"/>
      <c r="M371" s="355"/>
      <c r="O371" s="367" t="str">
        <f>IFERROR(__xludf.DUMMYFUNCTION("""COMPUTED_VALUE"""),"Ghost Ship - Fog Horn 1★ #83F")</f>
        <v>Ghost Ship - Fog Horn 1★ #83F</v>
      </c>
      <c r="P371" s="296">
        <f>IFERROR(__xludf.DUMMYFUNCTION("""COMPUTED_VALUE"""),50.0)</f>
        <v>50</v>
      </c>
      <c r="Q371" s="355"/>
    </row>
    <row r="372" ht="12.75" customHeight="1">
      <c r="G372" s="354" t="s">
        <v>1083</v>
      </c>
      <c r="H372" s="296">
        <v>50.0</v>
      </c>
      <c r="I372" s="353">
        <v>0.0024423602969910123</v>
      </c>
      <c r="K372" s="296"/>
      <c r="L372" s="354"/>
      <c r="M372" s="355"/>
      <c r="O372" s="367" t="str">
        <f>IFERROR(__xludf.DUMMYFUNCTION("""COMPUTED_VALUE"""),"Ghost Ship - Fog Horn 1★ #2F4")</f>
        <v>Ghost Ship - Fog Horn 1★ #2F4</v>
      </c>
      <c r="P372" s="296">
        <f>IFERROR(__xludf.DUMMYFUNCTION("""COMPUTED_VALUE"""),50.0)</f>
        <v>50</v>
      </c>
      <c r="Q372" s="355"/>
    </row>
    <row r="373" ht="12.75" customHeight="1">
      <c r="G373" s="354" t="s">
        <v>1084</v>
      </c>
      <c r="H373" s="296">
        <v>50.0</v>
      </c>
      <c r="I373" s="353">
        <v>0.0024423602969910123</v>
      </c>
      <c r="K373" s="296"/>
      <c r="L373" s="354"/>
      <c r="M373" s="355"/>
      <c r="O373" s="367" t="str">
        <f>IFERROR(__xludf.DUMMYFUNCTION("""COMPUTED_VALUE"""),"Ghost Ship - Fog Horn 1★ #DA9")</f>
        <v>Ghost Ship - Fog Horn 1★ #DA9</v>
      </c>
      <c r="P373" s="296">
        <f>IFERROR(__xludf.DUMMYFUNCTION("""COMPUTED_VALUE"""),50.0)</f>
        <v>50</v>
      </c>
      <c r="Q373" s="355"/>
    </row>
    <row r="374" ht="12.75" customHeight="1">
      <c r="G374" s="354" t="s">
        <v>1085</v>
      </c>
      <c r="H374" s="296">
        <v>50.0</v>
      </c>
      <c r="I374" s="353">
        <v>0.0024423602969910123</v>
      </c>
      <c r="K374" s="296"/>
      <c r="L374" s="354"/>
      <c r="M374" s="355"/>
      <c r="O374" s="367" t="str">
        <f>IFERROR(__xludf.DUMMYFUNCTION("""COMPUTED_VALUE"""),"Ghost Ship - Fog Horn 1★ #85E")</f>
        <v>Ghost Ship - Fog Horn 1★ #85E</v>
      </c>
      <c r="P374" s="296">
        <f>IFERROR(__xludf.DUMMYFUNCTION("""COMPUTED_VALUE"""),50.0)</f>
        <v>50</v>
      </c>
      <c r="Q374" s="355"/>
    </row>
    <row r="375" ht="12.75" customHeight="1">
      <c r="G375" s="354" t="s">
        <v>1086</v>
      </c>
      <c r="H375" s="296">
        <v>50.0</v>
      </c>
      <c r="I375" s="353">
        <v>0.0024423602969910123</v>
      </c>
      <c r="K375" s="296"/>
      <c r="L375" s="354"/>
      <c r="M375" s="355"/>
      <c r="O375" s="367" t="str">
        <f>IFERROR(__xludf.DUMMYFUNCTION("""COMPUTED_VALUE"""),"Ghost Ship - Fog Horn 1★ #313")</f>
        <v>Ghost Ship - Fog Horn 1★ #313</v>
      </c>
      <c r="P375" s="296">
        <f>IFERROR(__xludf.DUMMYFUNCTION("""COMPUTED_VALUE"""),50.0)</f>
        <v>50</v>
      </c>
      <c r="Q375" s="355"/>
    </row>
    <row r="376" ht="12.75" customHeight="1">
      <c r="G376" s="354" t="s">
        <v>1087</v>
      </c>
      <c r="H376" s="296">
        <v>50.0</v>
      </c>
      <c r="I376" s="353">
        <v>0.0024423602969910123</v>
      </c>
      <c r="K376" s="296"/>
      <c r="L376" s="354"/>
      <c r="M376" s="355"/>
      <c r="O376" s="367" t="str">
        <f>IFERROR(__xludf.DUMMYFUNCTION("""COMPUTED_VALUE"""),"Ghost Ship - Fog Horn 1★ #DC8")</f>
        <v>Ghost Ship - Fog Horn 1★ #DC8</v>
      </c>
      <c r="P376" s="296">
        <f>IFERROR(__xludf.DUMMYFUNCTION("""COMPUTED_VALUE"""),50.0)</f>
        <v>50</v>
      </c>
      <c r="Q376" s="355"/>
    </row>
    <row r="377" ht="12.75" customHeight="1">
      <c r="G377" s="354" t="s">
        <v>1088</v>
      </c>
      <c r="H377" s="296">
        <v>50.0</v>
      </c>
      <c r="I377" s="353">
        <v>0.0024423602969910123</v>
      </c>
      <c r="K377" s="296"/>
      <c r="L377" s="354"/>
      <c r="M377" s="355"/>
      <c r="O377" s="367" t="str">
        <f>IFERROR(__xludf.DUMMYFUNCTION("""COMPUTED_VALUE"""),"Ghost Ship - Sail 1★ #87D")</f>
        <v>Ghost Ship - Sail 1★ #87D</v>
      </c>
      <c r="P377" s="296">
        <f>IFERROR(__xludf.DUMMYFUNCTION("""COMPUTED_VALUE"""),50.0)</f>
        <v>50</v>
      </c>
      <c r="Q377" s="355"/>
    </row>
    <row r="378" ht="12.75" customHeight="1">
      <c r="G378" s="354" t="s">
        <v>1089</v>
      </c>
      <c r="H378" s="296">
        <v>50.0</v>
      </c>
      <c r="I378" s="353">
        <v>0.0024423602969910123</v>
      </c>
      <c r="K378" s="296"/>
      <c r="L378" s="354"/>
      <c r="M378" s="355"/>
      <c r="O378" s="367" t="str">
        <f>IFERROR(__xludf.DUMMYFUNCTION("""COMPUTED_VALUE"""),"Ghost Ship - Sail 1★ #332")</f>
        <v>Ghost Ship - Sail 1★ #332</v>
      </c>
      <c r="P378" s="296">
        <f>IFERROR(__xludf.DUMMYFUNCTION("""COMPUTED_VALUE"""),50.0)</f>
        <v>50</v>
      </c>
      <c r="Q378" s="355"/>
    </row>
    <row r="379" ht="12.75" customHeight="1">
      <c r="G379" s="354" t="s">
        <v>1090</v>
      </c>
      <c r="H379" s="296">
        <v>50.0</v>
      </c>
      <c r="I379" s="353">
        <v>0.0024423602969910123</v>
      </c>
      <c r="K379" s="296"/>
      <c r="L379" s="354"/>
      <c r="M379" s="355"/>
      <c r="O379" s="367" t="str">
        <f>IFERROR(__xludf.DUMMYFUNCTION("""COMPUTED_VALUE"""),"Ghost Ship - Sail 1★ #DE7")</f>
        <v>Ghost Ship - Sail 1★ #DE7</v>
      </c>
      <c r="P379" s="296">
        <f>IFERROR(__xludf.DUMMYFUNCTION("""COMPUTED_VALUE"""),50.0)</f>
        <v>50</v>
      </c>
      <c r="Q379" s="355"/>
    </row>
    <row r="380" ht="12.75" customHeight="1">
      <c r="G380" s="354" t="s">
        <v>1091</v>
      </c>
      <c r="H380" s="296">
        <v>50.0</v>
      </c>
      <c r="I380" s="353">
        <v>0.0024423602969910123</v>
      </c>
      <c r="K380" s="296"/>
      <c r="L380" s="354"/>
      <c r="M380" s="355"/>
      <c r="O380" s="367" t="str">
        <f>IFERROR(__xludf.DUMMYFUNCTION("""COMPUTED_VALUE"""),"Ghost Ship - Sail 1★ #89C")</f>
        <v>Ghost Ship - Sail 1★ #89C</v>
      </c>
      <c r="P380" s="296">
        <f>IFERROR(__xludf.DUMMYFUNCTION("""COMPUTED_VALUE"""),50.0)</f>
        <v>50</v>
      </c>
      <c r="Q380" s="355"/>
    </row>
    <row r="381" ht="12.75" customHeight="1">
      <c r="G381" s="354" t="s">
        <v>1092</v>
      </c>
      <c r="H381" s="296">
        <v>50.0</v>
      </c>
      <c r="I381" s="353">
        <v>0.0024423602969910123</v>
      </c>
      <c r="K381" s="296"/>
      <c r="L381" s="354"/>
      <c r="M381" s="355"/>
      <c r="O381" s="367" t="str">
        <f>IFERROR(__xludf.DUMMYFUNCTION("""COMPUTED_VALUE"""),"Ghost Ship - Sail 1★ #351")</f>
        <v>Ghost Ship - Sail 1★ #351</v>
      </c>
      <c r="P381" s="296">
        <f>IFERROR(__xludf.DUMMYFUNCTION("""COMPUTED_VALUE"""),50.0)</f>
        <v>50</v>
      </c>
      <c r="Q381" s="355"/>
    </row>
    <row r="382" ht="12.75" customHeight="1">
      <c r="G382" s="354" t="s">
        <v>1093</v>
      </c>
      <c r="H382" s="296">
        <v>50.0</v>
      </c>
      <c r="I382" s="353">
        <v>0.0024423602969910123</v>
      </c>
      <c r="K382" s="296"/>
      <c r="L382" s="354"/>
      <c r="M382" s="355"/>
      <c r="O382" s="367" t="str">
        <f>IFERROR(__xludf.DUMMYFUNCTION("""COMPUTED_VALUE"""),"Ghost Ship - Sail 1★ #E06")</f>
        <v>Ghost Ship - Sail 1★ #E06</v>
      </c>
      <c r="P382" s="296">
        <f>IFERROR(__xludf.DUMMYFUNCTION("""COMPUTED_VALUE"""),50.0)</f>
        <v>50</v>
      </c>
      <c r="Q382" s="355"/>
    </row>
    <row r="383" ht="12.75" customHeight="1">
      <c r="G383" s="354" t="s">
        <v>1094</v>
      </c>
      <c r="H383" s="296">
        <v>50.0</v>
      </c>
      <c r="I383" s="353">
        <v>0.0024423602969910123</v>
      </c>
      <c r="K383" s="296"/>
      <c r="L383" s="354"/>
      <c r="M383" s="355"/>
      <c r="O383" s="367" t="str">
        <f>IFERROR(__xludf.DUMMYFUNCTION("""COMPUTED_VALUE"""),"Ghost Ship - Sail 1★ #8BB")</f>
        <v>Ghost Ship - Sail 1★ #8BB</v>
      </c>
      <c r="P383" s="296">
        <f>IFERROR(__xludf.DUMMYFUNCTION("""COMPUTED_VALUE"""),50.0)</f>
        <v>50</v>
      </c>
      <c r="Q383" s="355"/>
    </row>
    <row r="384" ht="12.75" customHeight="1">
      <c r="G384" s="354" t="s">
        <v>1095</v>
      </c>
      <c r="H384" s="296">
        <v>50.0</v>
      </c>
      <c r="I384" s="353">
        <v>0.0024423602969910123</v>
      </c>
      <c r="K384" s="296"/>
      <c r="L384" s="354"/>
      <c r="M384" s="355"/>
      <c r="O384" s="367" t="str">
        <f>IFERROR(__xludf.DUMMYFUNCTION("""COMPUTED_VALUE"""),"Ghost Ship - Sail 1★ #370")</f>
        <v>Ghost Ship - Sail 1★ #370</v>
      </c>
      <c r="P384" s="296">
        <f>IFERROR(__xludf.DUMMYFUNCTION("""COMPUTED_VALUE"""),50.0)</f>
        <v>50</v>
      </c>
      <c r="Q384" s="355"/>
    </row>
    <row r="385" ht="12.75" customHeight="1">
      <c r="G385" s="354" t="s">
        <v>1096</v>
      </c>
      <c r="H385" s="296">
        <v>50.0</v>
      </c>
      <c r="I385" s="353">
        <v>0.0024423602969910123</v>
      </c>
      <c r="K385" s="296"/>
      <c r="L385" s="354"/>
      <c r="M385" s="355"/>
      <c r="O385" s="367" t="str">
        <f>IFERROR(__xludf.DUMMYFUNCTION("""COMPUTED_VALUE"""),"Ghost Ship - Sail 1★ #E25")</f>
        <v>Ghost Ship - Sail 1★ #E25</v>
      </c>
      <c r="P385" s="296">
        <f>IFERROR(__xludf.DUMMYFUNCTION("""COMPUTED_VALUE"""),50.0)</f>
        <v>50</v>
      </c>
      <c r="Q385" s="355"/>
    </row>
    <row r="386" ht="12.75" customHeight="1">
      <c r="G386" s="354" t="s">
        <v>1097</v>
      </c>
      <c r="H386" s="296">
        <v>50.0</v>
      </c>
      <c r="I386" s="353">
        <v>0.0024423602969910123</v>
      </c>
      <c r="K386" s="296"/>
      <c r="L386" s="354"/>
      <c r="M386" s="355"/>
      <c r="O386" s="367" t="str">
        <f>IFERROR(__xludf.DUMMYFUNCTION("""COMPUTED_VALUE"""),"Ghost Ship - Sail 1★ #8DA")</f>
        <v>Ghost Ship - Sail 1★ #8DA</v>
      </c>
      <c r="P386" s="296">
        <f>IFERROR(__xludf.DUMMYFUNCTION("""COMPUTED_VALUE"""),50.0)</f>
        <v>50</v>
      </c>
      <c r="Q386" s="355"/>
    </row>
    <row r="387" ht="12.75" customHeight="1">
      <c r="G387" s="354" t="s">
        <v>1098</v>
      </c>
      <c r="H387" s="296">
        <v>50.0</v>
      </c>
      <c r="I387" s="353">
        <v>0.0024423602969910123</v>
      </c>
      <c r="K387" s="296"/>
      <c r="L387" s="354"/>
      <c r="M387" s="355"/>
      <c r="O387" s="367" t="str">
        <f>IFERROR(__xludf.DUMMYFUNCTION("""COMPUTED_VALUE"""),"Ghost Ship - Sail 1★ #38F")</f>
        <v>Ghost Ship - Sail 1★ #38F</v>
      </c>
      <c r="P387" s="296">
        <f>IFERROR(__xludf.DUMMYFUNCTION("""COMPUTED_VALUE"""),50.0)</f>
        <v>50</v>
      </c>
      <c r="Q387" s="355"/>
    </row>
    <row r="388" ht="12.75" customHeight="1">
      <c r="G388" s="354" t="s">
        <v>1099</v>
      </c>
      <c r="H388" s="296">
        <v>50.0</v>
      </c>
      <c r="I388" s="353">
        <v>0.0024423602969910123</v>
      </c>
      <c r="K388" s="296"/>
      <c r="L388" s="354"/>
      <c r="M388" s="355"/>
      <c r="O388" s="367" t="str">
        <f>IFERROR(__xludf.DUMMYFUNCTION("""COMPUTED_VALUE"""),"Ghost Ship - Sail 1★ #E44")</f>
        <v>Ghost Ship - Sail 1★ #E44</v>
      </c>
      <c r="P388" s="296">
        <f>IFERROR(__xludf.DUMMYFUNCTION("""COMPUTED_VALUE"""),50.0)</f>
        <v>50</v>
      </c>
      <c r="Q388" s="355"/>
    </row>
    <row r="389" ht="12.75" customHeight="1">
      <c r="G389" s="354" t="s">
        <v>1100</v>
      </c>
      <c r="H389" s="296">
        <v>50.0</v>
      </c>
      <c r="I389" s="353">
        <v>0.0024423602969910123</v>
      </c>
      <c r="K389" s="296"/>
      <c r="L389" s="354"/>
      <c r="M389" s="355"/>
      <c r="O389" s="367" t="str">
        <f>IFERROR(__xludf.DUMMYFUNCTION("""COMPUTED_VALUE"""),"Ghost Ship - Sail 1★ #8F9")</f>
        <v>Ghost Ship - Sail 1★ #8F9</v>
      </c>
      <c r="P389" s="296">
        <f>IFERROR(__xludf.DUMMYFUNCTION("""COMPUTED_VALUE"""),50.0)</f>
        <v>50</v>
      </c>
      <c r="Q389" s="355"/>
    </row>
    <row r="390" ht="12.75" customHeight="1">
      <c r="G390" s="354" t="s">
        <v>1101</v>
      </c>
      <c r="H390" s="296">
        <v>20.0</v>
      </c>
      <c r="I390" s="353">
        <v>9.769441187964048E-4</v>
      </c>
      <c r="K390" s="296"/>
      <c r="L390" s="354"/>
      <c r="M390" s="355"/>
      <c r="O390" s="367" t="str">
        <f>IFERROR(__xludf.DUMMYFUNCTION("""COMPUTED_VALUE"""),"Ghost Ship - Ghost Lamp 2★ #3AE")</f>
        <v>Ghost Ship - Ghost Lamp 2★ #3AE</v>
      </c>
      <c r="P390" s="296">
        <f>IFERROR(__xludf.DUMMYFUNCTION("""COMPUTED_VALUE"""),20.0)</f>
        <v>20</v>
      </c>
      <c r="Q390" s="355"/>
    </row>
    <row r="391" ht="12.75" customHeight="1">
      <c r="G391" s="354" t="s">
        <v>1102</v>
      </c>
      <c r="H391" s="296">
        <v>20.0</v>
      </c>
      <c r="I391" s="353">
        <v>9.769441187964048E-4</v>
      </c>
      <c r="K391" s="296"/>
      <c r="L391" s="354"/>
      <c r="M391" s="355"/>
      <c r="O391" s="367" t="str">
        <f>IFERROR(__xludf.DUMMYFUNCTION("""COMPUTED_VALUE"""),"Ghost Ship - Ghost Lamp 2★ #E63")</f>
        <v>Ghost Ship - Ghost Lamp 2★ #E63</v>
      </c>
      <c r="P391" s="296">
        <f>IFERROR(__xludf.DUMMYFUNCTION("""COMPUTED_VALUE"""),20.0)</f>
        <v>20</v>
      </c>
      <c r="Q391" s="355"/>
    </row>
    <row r="392" ht="12.75" customHeight="1">
      <c r="G392" s="354" t="s">
        <v>1103</v>
      </c>
      <c r="H392" s="296">
        <v>20.0</v>
      </c>
      <c r="I392" s="353">
        <v>9.769441187964048E-4</v>
      </c>
      <c r="K392" s="296"/>
      <c r="L392" s="354"/>
      <c r="M392" s="355"/>
      <c r="O392" s="367" t="str">
        <f>IFERROR(__xludf.DUMMYFUNCTION("""COMPUTED_VALUE"""),"Ghost Ship - Ghost Lamp 2★ #918")</f>
        <v>Ghost Ship - Ghost Lamp 2★ #918</v>
      </c>
      <c r="P392" s="296">
        <f>IFERROR(__xludf.DUMMYFUNCTION("""COMPUTED_VALUE"""),20.0)</f>
        <v>20</v>
      </c>
      <c r="Q392" s="355"/>
    </row>
    <row r="393" ht="12.75" customHeight="1">
      <c r="G393" s="354" t="s">
        <v>1104</v>
      </c>
      <c r="H393" s="296">
        <v>20.0</v>
      </c>
      <c r="I393" s="353">
        <v>9.769441187964048E-4</v>
      </c>
      <c r="K393" s="296"/>
      <c r="L393" s="354"/>
      <c r="M393" s="355"/>
      <c r="O393" s="367" t="str">
        <f>IFERROR(__xludf.DUMMYFUNCTION("""COMPUTED_VALUE"""),"Ghost Ship - Ghost Lamp 2★ #3CD")</f>
        <v>Ghost Ship - Ghost Lamp 2★ #3CD</v>
      </c>
      <c r="P393" s="296">
        <f>IFERROR(__xludf.DUMMYFUNCTION("""COMPUTED_VALUE"""),20.0)</f>
        <v>20</v>
      </c>
      <c r="Q393" s="355"/>
    </row>
    <row r="394" ht="12.75" customHeight="1">
      <c r="G394" s="354" t="s">
        <v>1105</v>
      </c>
      <c r="H394" s="296">
        <v>20.0</v>
      </c>
      <c r="I394" s="353">
        <v>9.769441187964048E-4</v>
      </c>
      <c r="K394" s="296"/>
      <c r="L394" s="354"/>
      <c r="M394" s="355"/>
      <c r="O394" s="367" t="str">
        <f>IFERROR(__xludf.DUMMYFUNCTION("""COMPUTED_VALUE"""),"Ghost Ship - Ghost Lamp 2★ #E82")</f>
        <v>Ghost Ship - Ghost Lamp 2★ #E82</v>
      </c>
      <c r="P394" s="296">
        <f>IFERROR(__xludf.DUMMYFUNCTION("""COMPUTED_VALUE"""),20.0)</f>
        <v>20</v>
      </c>
      <c r="Q394" s="355"/>
    </row>
    <row r="395" ht="12.75" customHeight="1">
      <c r="G395" s="354" t="s">
        <v>1106</v>
      </c>
      <c r="H395" s="296">
        <v>20.0</v>
      </c>
      <c r="I395" s="353">
        <v>9.769441187964048E-4</v>
      </c>
      <c r="K395" s="296"/>
      <c r="L395" s="354"/>
      <c r="M395" s="355"/>
      <c r="O395" s="367" t="str">
        <f>IFERROR(__xludf.DUMMYFUNCTION("""COMPUTED_VALUE"""),"Ghost Ship - Ghost Lamp 2★ #937")</f>
        <v>Ghost Ship - Ghost Lamp 2★ #937</v>
      </c>
      <c r="P395" s="296">
        <f>IFERROR(__xludf.DUMMYFUNCTION("""COMPUTED_VALUE"""),20.0)</f>
        <v>20</v>
      </c>
      <c r="Q395" s="355"/>
    </row>
    <row r="396" ht="12.75" customHeight="1">
      <c r="G396" s="354" t="s">
        <v>1107</v>
      </c>
      <c r="H396" s="296">
        <v>20.0</v>
      </c>
      <c r="I396" s="353">
        <v>9.769441187964048E-4</v>
      </c>
      <c r="K396" s="296"/>
      <c r="L396" s="354"/>
      <c r="M396" s="355"/>
      <c r="O396" s="367" t="str">
        <f>IFERROR(__xludf.DUMMYFUNCTION("""COMPUTED_VALUE"""),"Ghost Ship - Ghost Lamp 2★ #3EC")</f>
        <v>Ghost Ship - Ghost Lamp 2★ #3EC</v>
      </c>
      <c r="P396" s="296">
        <f>IFERROR(__xludf.DUMMYFUNCTION("""COMPUTED_VALUE"""),20.0)</f>
        <v>20</v>
      </c>
      <c r="Q396" s="355"/>
    </row>
    <row r="397" ht="12.75" customHeight="1">
      <c r="G397" s="354" t="s">
        <v>1108</v>
      </c>
      <c r="H397" s="296">
        <v>20.0</v>
      </c>
      <c r="I397" s="353">
        <v>9.769441187964048E-4</v>
      </c>
      <c r="K397" s="296"/>
      <c r="L397" s="354"/>
      <c r="M397" s="355"/>
      <c r="O397" s="367" t="str">
        <f>IFERROR(__xludf.DUMMYFUNCTION("""COMPUTED_VALUE"""),"Ghost Ship - Ghost Lamp 2★ #EA1")</f>
        <v>Ghost Ship - Ghost Lamp 2★ #EA1</v>
      </c>
      <c r="P397" s="296">
        <f>IFERROR(__xludf.DUMMYFUNCTION("""COMPUTED_VALUE"""),20.0)</f>
        <v>20</v>
      </c>
      <c r="Q397" s="355"/>
    </row>
    <row r="398" ht="12.75" customHeight="1">
      <c r="G398" s="354" t="s">
        <v>1109</v>
      </c>
      <c r="H398" s="296">
        <v>20.0</v>
      </c>
      <c r="I398" s="353">
        <v>9.769441187964048E-4</v>
      </c>
      <c r="K398" s="296"/>
      <c r="L398" s="354"/>
      <c r="M398" s="355"/>
      <c r="O398" s="367" t="str">
        <f>IFERROR(__xludf.DUMMYFUNCTION("""COMPUTED_VALUE"""),"Ghost Ship - Ghost Lamp 2★ #956")</f>
        <v>Ghost Ship - Ghost Lamp 2★ #956</v>
      </c>
      <c r="P398" s="296">
        <f>IFERROR(__xludf.DUMMYFUNCTION("""COMPUTED_VALUE"""),20.0)</f>
        <v>20</v>
      </c>
      <c r="Q398" s="355"/>
    </row>
    <row r="399" ht="12.75" customHeight="1">
      <c r="G399" s="354" t="s">
        <v>1110</v>
      </c>
      <c r="H399" s="296">
        <v>20.0</v>
      </c>
      <c r="I399" s="353">
        <v>9.769441187964048E-4</v>
      </c>
      <c r="K399" s="296"/>
      <c r="L399" s="354"/>
      <c r="M399" s="355"/>
      <c r="O399" s="367" t="str">
        <f>IFERROR(__xludf.DUMMYFUNCTION("""COMPUTED_VALUE"""),"Ghost Ship - Ghost Lamp 2★ #40B")</f>
        <v>Ghost Ship - Ghost Lamp 2★ #40B</v>
      </c>
      <c r="P399" s="296">
        <f>IFERROR(__xludf.DUMMYFUNCTION("""COMPUTED_VALUE"""),20.0)</f>
        <v>20</v>
      </c>
      <c r="Q399" s="355"/>
    </row>
    <row r="400" ht="12.75" customHeight="1">
      <c r="G400" s="354" t="s">
        <v>1111</v>
      </c>
      <c r="H400" s="296">
        <v>20.0</v>
      </c>
      <c r="I400" s="353">
        <v>9.769441187964048E-4</v>
      </c>
      <c r="K400" s="296"/>
      <c r="L400" s="354"/>
      <c r="M400" s="355"/>
      <c r="O400" s="367" t="str">
        <f>IFERROR(__xludf.DUMMYFUNCTION("""COMPUTED_VALUE"""),"Ghost Ship - Ghost Lamp 2★ #EC0")</f>
        <v>Ghost Ship - Ghost Lamp 2★ #EC0</v>
      </c>
      <c r="P400" s="296">
        <f>IFERROR(__xludf.DUMMYFUNCTION("""COMPUTED_VALUE"""),20.0)</f>
        <v>20</v>
      </c>
      <c r="Q400" s="355"/>
    </row>
    <row r="401" ht="12.75" customHeight="1">
      <c r="G401" s="354" t="s">
        <v>1112</v>
      </c>
      <c r="H401" s="296">
        <v>20.0</v>
      </c>
      <c r="I401" s="353">
        <v>9.769441187964048E-4</v>
      </c>
      <c r="K401" s="296"/>
      <c r="L401" s="354"/>
      <c r="M401" s="355"/>
      <c r="O401" s="367" t="str">
        <f>IFERROR(__xludf.DUMMYFUNCTION("""COMPUTED_VALUE"""),"Ghost Ship - Ghost Lamp 2★ #975")</f>
        <v>Ghost Ship - Ghost Lamp 2★ #975</v>
      </c>
      <c r="P401" s="296">
        <f>IFERROR(__xludf.DUMMYFUNCTION("""COMPUTED_VALUE"""),20.0)</f>
        <v>20</v>
      </c>
      <c r="Q401" s="355"/>
    </row>
    <row r="402" ht="12.75" customHeight="1">
      <c r="G402" s="354" t="s">
        <v>1113</v>
      </c>
      <c r="H402" s="296">
        <v>20.0</v>
      </c>
      <c r="I402" s="353">
        <v>9.769441187964048E-4</v>
      </c>
      <c r="K402" s="296"/>
      <c r="L402" s="354"/>
      <c r="M402" s="355"/>
      <c r="O402" s="367" t="str">
        <f>IFERROR(__xludf.DUMMYFUNCTION("""COMPUTED_VALUE"""),"Ghost Ship - Ghost Lamp 2★ #42A")</f>
        <v>Ghost Ship - Ghost Lamp 2★ #42A</v>
      </c>
      <c r="P402" s="296">
        <f>IFERROR(__xludf.DUMMYFUNCTION("""COMPUTED_VALUE"""),20.0)</f>
        <v>20</v>
      </c>
      <c r="Q402" s="355"/>
    </row>
    <row r="403" ht="12.75" customHeight="1">
      <c r="G403" s="354" t="s">
        <v>1114</v>
      </c>
      <c r="H403" s="296">
        <v>20.0</v>
      </c>
      <c r="I403" s="353">
        <v>9.769441187964048E-4</v>
      </c>
      <c r="K403" s="296"/>
      <c r="L403" s="354"/>
      <c r="M403" s="355"/>
      <c r="O403" s="367" t="str">
        <f>IFERROR(__xludf.DUMMYFUNCTION("""COMPUTED_VALUE"""),"Ghost Ship - Key 2★ #EDF")</f>
        <v>Ghost Ship - Key 2★ #EDF</v>
      </c>
      <c r="P403" s="296">
        <f>IFERROR(__xludf.DUMMYFUNCTION("""COMPUTED_VALUE"""),20.0)</f>
        <v>20</v>
      </c>
      <c r="Q403" s="355"/>
    </row>
    <row r="404" ht="12.75" customHeight="1">
      <c r="G404" s="354" t="s">
        <v>1115</v>
      </c>
      <c r="H404" s="296">
        <v>20.0</v>
      </c>
      <c r="I404" s="353">
        <v>9.769441187964048E-4</v>
      </c>
      <c r="K404" s="296"/>
      <c r="L404" s="354"/>
      <c r="M404" s="355"/>
      <c r="O404" s="367" t="str">
        <f>IFERROR(__xludf.DUMMYFUNCTION("""COMPUTED_VALUE"""),"Ghost Ship - Key 2★ #994")</f>
        <v>Ghost Ship - Key 2★ #994</v>
      </c>
      <c r="P404" s="296">
        <f>IFERROR(__xludf.DUMMYFUNCTION("""COMPUTED_VALUE"""),20.0)</f>
        <v>20</v>
      </c>
      <c r="Q404" s="355"/>
    </row>
    <row r="405" ht="12.75" customHeight="1">
      <c r="G405" s="354" t="s">
        <v>1116</v>
      </c>
      <c r="H405" s="296">
        <v>20.0</v>
      </c>
      <c r="I405" s="353">
        <v>9.769441187964048E-4</v>
      </c>
      <c r="K405" s="296"/>
      <c r="L405" s="354"/>
      <c r="M405" s="355"/>
      <c r="O405" s="367" t="str">
        <f>IFERROR(__xludf.DUMMYFUNCTION("""COMPUTED_VALUE"""),"Ghost Ship - Key 2★ #449")</f>
        <v>Ghost Ship - Key 2★ #449</v>
      </c>
      <c r="P405" s="296">
        <f>IFERROR(__xludf.DUMMYFUNCTION("""COMPUTED_VALUE"""),20.0)</f>
        <v>20</v>
      </c>
      <c r="Q405" s="355"/>
    </row>
    <row r="406" ht="12.75" customHeight="1">
      <c r="G406" s="354" t="s">
        <v>1117</v>
      </c>
      <c r="H406" s="296">
        <v>20.0</v>
      </c>
      <c r="I406" s="353">
        <v>9.769441187964048E-4</v>
      </c>
      <c r="K406" s="296"/>
      <c r="L406" s="354"/>
      <c r="M406" s="355"/>
      <c r="O406" s="367" t="str">
        <f>IFERROR(__xludf.DUMMYFUNCTION("""COMPUTED_VALUE"""),"Ghost Ship - Key 2★ #EFE")</f>
        <v>Ghost Ship - Key 2★ #EFE</v>
      </c>
      <c r="P406" s="296">
        <f>IFERROR(__xludf.DUMMYFUNCTION("""COMPUTED_VALUE"""),20.0)</f>
        <v>20</v>
      </c>
      <c r="Q406" s="355"/>
    </row>
    <row r="407" ht="12.75" customHeight="1">
      <c r="G407" s="354" t="s">
        <v>1118</v>
      </c>
      <c r="H407" s="296">
        <v>20.0</v>
      </c>
      <c r="I407" s="353">
        <v>9.769441187964048E-4</v>
      </c>
      <c r="K407" s="296"/>
      <c r="L407" s="354"/>
      <c r="M407" s="355"/>
      <c r="O407" s="367" t="str">
        <f>IFERROR(__xludf.DUMMYFUNCTION("""COMPUTED_VALUE"""),"Ghost Ship - Key 2★ #9B3")</f>
        <v>Ghost Ship - Key 2★ #9B3</v>
      </c>
      <c r="P407" s="296">
        <f>IFERROR(__xludf.DUMMYFUNCTION("""COMPUTED_VALUE"""),20.0)</f>
        <v>20</v>
      </c>
      <c r="Q407" s="355"/>
    </row>
    <row r="408" ht="12.75" customHeight="1">
      <c r="G408" s="354" t="s">
        <v>1119</v>
      </c>
      <c r="H408" s="296">
        <v>20.0</v>
      </c>
      <c r="I408" s="353">
        <v>9.769441187964048E-4</v>
      </c>
      <c r="K408" s="296"/>
      <c r="L408" s="354"/>
      <c r="M408" s="355"/>
      <c r="O408" s="367" t="str">
        <f>IFERROR(__xludf.DUMMYFUNCTION("""COMPUTED_VALUE"""),"Ghost Ship - Key 2★ #468")</f>
        <v>Ghost Ship - Key 2★ #468</v>
      </c>
      <c r="P408" s="296">
        <f>IFERROR(__xludf.DUMMYFUNCTION("""COMPUTED_VALUE"""),20.0)</f>
        <v>20</v>
      </c>
      <c r="Q408" s="355"/>
    </row>
    <row r="409" ht="12.75" customHeight="1">
      <c r="G409" s="354" t="s">
        <v>1120</v>
      </c>
      <c r="H409" s="296">
        <v>20.0</v>
      </c>
      <c r="I409" s="353">
        <v>9.769441187964048E-4</v>
      </c>
      <c r="K409" s="296"/>
      <c r="L409" s="354"/>
      <c r="M409" s="355"/>
      <c r="O409" s="367" t="str">
        <f>IFERROR(__xludf.DUMMYFUNCTION("""COMPUTED_VALUE"""),"Ghost Ship - Key 2★ #F1D")</f>
        <v>Ghost Ship - Key 2★ #F1D</v>
      </c>
      <c r="P409" s="296">
        <f>IFERROR(__xludf.DUMMYFUNCTION("""COMPUTED_VALUE"""),20.0)</f>
        <v>20</v>
      </c>
      <c r="Q409" s="355"/>
    </row>
    <row r="410" ht="12.75" customHeight="1">
      <c r="G410" s="354" t="s">
        <v>1121</v>
      </c>
      <c r="H410" s="296">
        <v>20.0</v>
      </c>
      <c r="I410" s="353">
        <v>9.769441187964048E-4</v>
      </c>
      <c r="K410" s="296"/>
      <c r="L410" s="354"/>
      <c r="M410" s="355"/>
      <c r="O410" s="367" t="str">
        <f>IFERROR(__xludf.DUMMYFUNCTION("""COMPUTED_VALUE"""),"Ghost Ship - Key 2★ #9D2")</f>
        <v>Ghost Ship - Key 2★ #9D2</v>
      </c>
      <c r="P410" s="296">
        <f>IFERROR(__xludf.DUMMYFUNCTION("""COMPUTED_VALUE"""),20.0)</f>
        <v>20</v>
      </c>
      <c r="Q410" s="355"/>
    </row>
    <row r="411" ht="12.75" customHeight="1">
      <c r="G411" s="354" t="s">
        <v>1122</v>
      </c>
      <c r="H411" s="296">
        <v>20.0</v>
      </c>
      <c r="I411" s="353">
        <v>9.769441187964048E-4</v>
      </c>
      <c r="K411" s="296"/>
      <c r="L411" s="354"/>
      <c r="M411" s="355"/>
      <c r="O411" s="367" t="str">
        <f>IFERROR(__xludf.DUMMYFUNCTION("""COMPUTED_VALUE"""),"Ghost Ship - Key 2★ #487")</f>
        <v>Ghost Ship - Key 2★ #487</v>
      </c>
      <c r="P411" s="296">
        <f>IFERROR(__xludf.DUMMYFUNCTION("""COMPUTED_VALUE"""),20.0)</f>
        <v>20</v>
      </c>
      <c r="Q411" s="355"/>
    </row>
    <row r="412" ht="12.75" customHeight="1">
      <c r="G412" s="354" t="s">
        <v>1123</v>
      </c>
      <c r="H412" s="296">
        <v>20.0</v>
      </c>
      <c r="I412" s="353">
        <v>9.769441187964048E-4</v>
      </c>
      <c r="K412" s="296"/>
      <c r="L412" s="354"/>
      <c r="M412" s="355"/>
      <c r="O412" s="367" t="str">
        <f>IFERROR(__xludf.DUMMYFUNCTION("""COMPUTED_VALUE"""),"Ghost Ship - Key 2★ #F3C")</f>
        <v>Ghost Ship - Key 2★ #F3C</v>
      </c>
      <c r="P412" s="296">
        <f>IFERROR(__xludf.DUMMYFUNCTION("""COMPUTED_VALUE"""),20.0)</f>
        <v>20</v>
      </c>
      <c r="Q412" s="355"/>
    </row>
    <row r="413" ht="12.75" customHeight="1">
      <c r="G413" s="354" t="s">
        <v>1124</v>
      </c>
      <c r="H413" s="296">
        <v>20.0</v>
      </c>
      <c r="I413" s="353">
        <v>9.769441187964048E-4</v>
      </c>
      <c r="K413" s="296"/>
      <c r="L413" s="354"/>
      <c r="M413" s="355"/>
      <c r="O413" s="367" t="str">
        <f>IFERROR(__xludf.DUMMYFUNCTION("""COMPUTED_VALUE"""),"Ghost Ship - Key 2★ #9F1")</f>
        <v>Ghost Ship - Key 2★ #9F1</v>
      </c>
      <c r="P413" s="296">
        <f>IFERROR(__xludf.DUMMYFUNCTION("""COMPUTED_VALUE"""),20.0)</f>
        <v>20</v>
      </c>
      <c r="Q413" s="355"/>
    </row>
    <row r="414" ht="12.75" customHeight="1">
      <c r="G414" s="354" t="s">
        <v>1125</v>
      </c>
      <c r="H414" s="296">
        <v>20.0</v>
      </c>
      <c r="I414" s="353">
        <v>9.769441187964048E-4</v>
      </c>
      <c r="K414" s="296"/>
      <c r="L414" s="354"/>
      <c r="M414" s="355"/>
      <c r="O414" s="367" t="str">
        <f>IFERROR(__xludf.DUMMYFUNCTION("""COMPUTED_VALUE"""),"Ghost Ship - Key 2★ #4A6")</f>
        <v>Ghost Ship - Key 2★ #4A6</v>
      </c>
      <c r="P414" s="296">
        <f>IFERROR(__xludf.DUMMYFUNCTION("""COMPUTED_VALUE"""),20.0)</f>
        <v>20</v>
      </c>
      <c r="Q414" s="355"/>
    </row>
    <row r="415" ht="12.75" customHeight="1">
      <c r="G415" s="354" t="s">
        <v>1126</v>
      </c>
      <c r="H415" s="296">
        <v>20.0</v>
      </c>
      <c r="I415" s="353">
        <v>9.769441187964048E-4</v>
      </c>
      <c r="K415" s="296"/>
      <c r="L415" s="354"/>
      <c r="M415" s="355"/>
      <c r="O415" s="367" t="str">
        <f>IFERROR(__xludf.DUMMYFUNCTION("""COMPUTED_VALUE"""),"Ghost Ship - Key 2★ #F5B")</f>
        <v>Ghost Ship - Key 2★ #F5B</v>
      </c>
      <c r="P415" s="296">
        <f>IFERROR(__xludf.DUMMYFUNCTION("""COMPUTED_VALUE"""),20.0)</f>
        <v>20</v>
      </c>
      <c r="Q415" s="355"/>
    </row>
    <row r="416" ht="12.75" customHeight="1">
      <c r="G416" s="354" t="s">
        <v>1127</v>
      </c>
      <c r="H416" s="296">
        <v>10.0</v>
      </c>
      <c r="I416" s="353">
        <v>4.884720593982024E-4</v>
      </c>
      <c r="K416" s="296"/>
      <c r="L416" s="354"/>
      <c r="M416" s="355"/>
      <c r="O416" s="367" t="str">
        <f>IFERROR(__xludf.DUMMYFUNCTION("""COMPUTED_VALUE"""),"Ghost Ship - Plank 3★ #A10")</f>
        <v>Ghost Ship - Plank 3★ #A10</v>
      </c>
      <c r="P416" s="296">
        <f>IFERROR(__xludf.DUMMYFUNCTION("""COMPUTED_VALUE"""),10.0)</f>
        <v>10</v>
      </c>
      <c r="Q416" s="355"/>
    </row>
    <row r="417" ht="12.75" customHeight="1">
      <c r="G417" s="354" t="s">
        <v>1128</v>
      </c>
      <c r="H417" s="296">
        <v>10.0</v>
      </c>
      <c r="I417" s="353">
        <v>4.884720593982024E-4</v>
      </c>
      <c r="K417" s="296"/>
      <c r="L417" s="354"/>
      <c r="M417" s="355"/>
      <c r="O417" s="367" t="str">
        <f>IFERROR(__xludf.DUMMYFUNCTION("""COMPUTED_VALUE"""),"Ghost Ship - Plank 3★ #4C5")</f>
        <v>Ghost Ship - Plank 3★ #4C5</v>
      </c>
      <c r="P417" s="296">
        <f>IFERROR(__xludf.DUMMYFUNCTION("""COMPUTED_VALUE"""),10.0)</f>
        <v>10</v>
      </c>
      <c r="Q417" s="355"/>
    </row>
    <row r="418" ht="12.75" customHeight="1">
      <c r="G418" s="354" t="s">
        <v>1129</v>
      </c>
      <c r="H418" s="296">
        <v>10.0</v>
      </c>
      <c r="I418" s="353">
        <v>4.884720593982024E-4</v>
      </c>
      <c r="K418" s="296"/>
      <c r="L418" s="354"/>
      <c r="M418" s="355"/>
      <c r="O418" s="367" t="str">
        <f>IFERROR(__xludf.DUMMYFUNCTION("""COMPUTED_VALUE"""),"Ghost Ship - Plank 3★ #F7A")</f>
        <v>Ghost Ship - Plank 3★ #F7A</v>
      </c>
      <c r="P418" s="296">
        <f>IFERROR(__xludf.DUMMYFUNCTION("""COMPUTED_VALUE"""),10.0)</f>
        <v>10</v>
      </c>
      <c r="Q418" s="355"/>
    </row>
    <row r="419" ht="12.75" customHeight="1">
      <c r="G419" s="354" t="s">
        <v>1130</v>
      </c>
      <c r="H419" s="296">
        <v>10.0</v>
      </c>
      <c r="I419" s="353">
        <v>4.884720593982024E-4</v>
      </c>
      <c r="K419" s="296"/>
      <c r="L419" s="354"/>
      <c r="M419" s="355"/>
      <c r="O419" s="367" t="str">
        <f>IFERROR(__xludf.DUMMYFUNCTION("""COMPUTED_VALUE"""),"Ghost Ship - Plank 3★ #A2F")</f>
        <v>Ghost Ship - Plank 3★ #A2F</v>
      </c>
      <c r="P419" s="296">
        <f>IFERROR(__xludf.DUMMYFUNCTION("""COMPUTED_VALUE"""),10.0)</f>
        <v>10</v>
      </c>
      <c r="Q419" s="355"/>
    </row>
    <row r="420" ht="12.75" customHeight="1">
      <c r="G420" s="354" t="s">
        <v>1131</v>
      </c>
      <c r="H420" s="296">
        <v>10.0</v>
      </c>
      <c r="I420" s="353">
        <v>4.884720593982024E-4</v>
      </c>
      <c r="K420" s="296"/>
      <c r="L420" s="354"/>
      <c r="M420" s="355"/>
      <c r="O420" s="367" t="str">
        <f>IFERROR(__xludf.DUMMYFUNCTION("""COMPUTED_VALUE"""),"Ghost Ship - Plank 3★ #4E4")</f>
        <v>Ghost Ship - Plank 3★ #4E4</v>
      </c>
      <c r="P420" s="296">
        <f>IFERROR(__xludf.DUMMYFUNCTION("""COMPUTED_VALUE"""),10.0)</f>
        <v>10</v>
      </c>
      <c r="Q420" s="355"/>
    </row>
    <row r="421" ht="12.75" customHeight="1">
      <c r="G421" s="354" t="s">
        <v>1132</v>
      </c>
      <c r="H421" s="296">
        <v>10.0</v>
      </c>
      <c r="I421" s="353">
        <v>4.884720593982024E-4</v>
      </c>
      <c r="K421" s="296"/>
      <c r="L421" s="354"/>
      <c r="M421" s="355"/>
      <c r="O421" s="367" t="str">
        <f>IFERROR(__xludf.DUMMYFUNCTION("""COMPUTED_VALUE"""),"Ghost Ship - Plank 3★ #F99")</f>
        <v>Ghost Ship - Plank 3★ #F99</v>
      </c>
      <c r="P421" s="296">
        <f>IFERROR(__xludf.DUMMYFUNCTION("""COMPUTED_VALUE"""),10.0)</f>
        <v>10</v>
      </c>
      <c r="Q421" s="355"/>
    </row>
    <row r="422" ht="12.75" customHeight="1">
      <c r="G422" s="354" t="s">
        <v>1133</v>
      </c>
      <c r="H422" s="296">
        <v>10.0</v>
      </c>
      <c r="I422" s="353">
        <v>4.884720593982024E-4</v>
      </c>
      <c r="K422" s="296"/>
      <c r="L422" s="354"/>
      <c r="M422" s="355"/>
      <c r="O422" s="367" t="str">
        <f>IFERROR(__xludf.DUMMYFUNCTION("""COMPUTED_VALUE"""),"Ghost Ship - Plank 3★ #A4E")</f>
        <v>Ghost Ship - Plank 3★ #A4E</v>
      </c>
      <c r="P422" s="296">
        <f>IFERROR(__xludf.DUMMYFUNCTION("""COMPUTED_VALUE"""),10.0)</f>
        <v>10</v>
      </c>
      <c r="Q422" s="355"/>
    </row>
    <row r="423" ht="12.75" customHeight="1">
      <c r="G423" s="354" t="s">
        <v>1134</v>
      </c>
      <c r="H423" s="296">
        <v>10.0</v>
      </c>
      <c r="I423" s="353">
        <v>4.884720593982024E-4</v>
      </c>
      <c r="K423" s="296"/>
      <c r="L423" s="354"/>
      <c r="M423" s="355"/>
      <c r="O423" s="367" t="str">
        <f>IFERROR(__xludf.DUMMYFUNCTION("""COMPUTED_VALUE"""),"Ghost Ship - Plank 3★ #503")</f>
        <v>Ghost Ship - Plank 3★ #503</v>
      </c>
      <c r="P423" s="296">
        <f>IFERROR(__xludf.DUMMYFUNCTION("""COMPUTED_VALUE"""),10.0)</f>
        <v>10</v>
      </c>
      <c r="Q423" s="355"/>
    </row>
    <row r="424" ht="12.75" customHeight="1">
      <c r="G424" s="354" t="s">
        <v>1135</v>
      </c>
      <c r="H424" s="296">
        <v>10.0</v>
      </c>
      <c r="I424" s="353">
        <v>4.884720593982024E-4</v>
      </c>
      <c r="K424" s="296"/>
      <c r="L424" s="354"/>
      <c r="M424" s="355"/>
      <c r="O424" s="367" t="str">
        <f>IFERROR(__xludf.DUMMYFUNCTION("""COMPUTED_VALUE"""),"Ghost Ship - Plank 3★ #FB8")</f>
        <v>Ghost Ship - Plank 3★ #FB8</v>
      </c>
      <c r="P424" s="296">
        <f>IFERROR(__xludf.DUMMYFUNCTION("""COMPUTED_VALUE"""),10.0)</f>
        <v>10</v>
      </c>
      <c r="Q424" s="355"/>
    </row>
    <row r="425" ht="12.75" customHeight="1">
      <c r="G425" s="354" t="s">
        <v>1136</v>
      </c>
      <c r="H425" s="296">
        <v>10.0</v>
      </c>
      <c r="I425" s="353">
        <v>4.884720593982024E-4</v>
      </c>
      <c r="K425" s="296"/>
      <c r="L425" s="354"/>
      <c r="M425" s="355"/>
      <c r="O425" s="367" t="str">
        <f>IFERROR(__xludf.DUMMYFUNCTION("""COMPUTED_VALUE"""),"Ghost Ship - Plank 3★ #A6D")</f>
        <v>Ghost Ship - Plank 3★ #A6D</v>
      </c>
      <c r="P425" s="296">
        <f>IFERROR(__xludf.DUMMYFUNCTION("""COMPUTED_VALUE"""),10.0)</f>
        <v>10</v>
      </c>
      <c r="Q425" s="355"/>
    </row>
    <row r="426" ht="12.75" customHeight="1">
      <c r="G426" s="354" t="s">
        <v>1137</v>
      </c>
      <c r="H426" s="296">
        <v>10.0</v>
      </c>
      <c r="I426" s="353">
        <v>4.884720593982024E-4</v>
      </c>
      <c r="K426" s="296"/>
      <c r="L426" s="354"/>
      <c r="M426" s="355"/>
      <c r="O426" s="367" t="str">
        <f>IFERROR(__xludf.DUMMYFUNCTION("""COMPUTED_VALUE"""),"Ghost Ship - Plank 3★ #522")</f>
        <v>Ghost Ship - Plank 3★ #522</v>
      </c>
      <c r="P426" s="296">
        <f>IFERROR(__xludf.DUMMYFUNCTION("""COMPUTED_VALUE"""),10.0)</f>
        <v>10</v>
      </c>
      <c r="Q426" s="355"/>
    </row>
    <row r="427" ht="12.75" customHeight="1">
      <c r="G427" s="354" t="s">
        <v>1138</v>
      </c>
      <c r="H427" s="296">
        <v>10.0</v>
      </c>
      <c r="I427" s="353">
        <v>4.884720593982024E-4</v>
      </c>
      <c r="K427" s="296"/>
      <c r="L427" s="354"/>
      <c r="M427" s="355"/>
      <c r="O427" s="367" t="str">
        <f>IFERROR(__xludf.DUMMYFUNCTION("""COMPUTED_VALUE"""),"Ghost Ship - Plank 3★ #FD7")</f>
        <v>Ghost Ship - Plank 3★ #FD7</v>
      </c>
      <c r="P427" s="296">
        <f>IFERROR(__xludf.DUMMYFUNCTION("""COMPUTED_VALUE"""),10.0)</f>
        <v>10</v>
      </c>
      <c r="Q427" s="355"/>
    </row>
    <row r="428" ht="12.75" customHeight="1">
      <c r="G428" s="354" t="s">
        <v>1139</v>
      </c>
      <c r="H428" s="296">
        <v>10.0</v>
      </c>
      <c r="I428" s="353">
        <v>4.884720593982024E-4</v>
      </c>
      <c r="K428" s="296"/>
      <c r="L428" s="354"/>
      <c r="M428" s="355"/>
      <c r="O428" s="367" t="str">
        <f>IFERROR(__xludf.DUMMYFUNCTION("""COMPUTED_VALUE"""),"Ghost Ship - Plank 3★ #A8C")</f>
        <v>Ghost Ship - Plank 3★ #A8C</v>
      </c>
      <c r="P428" s="296">
        <f>IFERROR(__xludf.DUMMYFUNCTION("""COMPUTED_VALUE"""),10.0)</f>
        <v>10</v>
      </c>
      <c r="Q428" s="355"/>
    </row>
    <row r="429" ht="12.75" customHeight="1">
      <c r="G429" s="354" t="s">
        <v>1140</v>
      </c>
      <c r="H429" s="296">
        <v>10.0</v>
      </c>
      <c r="I429" s="353">
        <v>4.884720593982024E-4</v>
      </c>
      <c r="K429" s="296"/>
      <c r="L429" s="354"/>
      <c r="M429" s="355"/>
      <c r="O429" s="367" t="str">
        <f>IFERROR(__xludf.DUMMYFUNCTION("""COMPUTED_VALUE"""),"Ghost Ship - Nest 3★ #541")</f>
        <v>Ghost Ship - Nest 3★ #541</v>
      </c>
      <c r="P429" s="296">
        <f>IFERROR(__xludf.DUMMYFUNCTION("""COMPUTED_VALUE"""),10.0)</f>
        <v>10</v>
      </c>
      <c r="Q429" s="355"/>
    </row>
    <row r="430" ht="12.75" customHeight="1">
      <c r="G430" s="354" t="s">
        <v>1141</v>
      </c>
      <c r="H430" s="296">
        <v>10.0</v>
      </c>
      <c r="I430" s="353">
        <v>4.884720593982024E-4</v>
      </c>
      <c r="K430" s="296"/>
      <c r="L430" s="354"/>
      <c r="M430" s="355"/>
      <c r="O430" s="367" t="str">
        <f>IFERROR(__xludf.DUMMYFUNCTION("""COMPUTED_VALUE"""),"Ghost Ship - Nest 3★ #FF6")</f>
        <v>Ghost Ship - Nest 3★ #FF6</v>
      </c>
      <c r="P430" s="296">
        <f>IFERROR(__xludf.DUMMYFUNCTION("""COMPUTED_VALUE"""),10.0)</f>
        <v>10</v>
      </c>
      <c r="Q430" s="355"/>
    </row>
    <row r="431" ht="12.75" customHeight="1">
      <c r="G431" s="354" t="s">
        <v>1142</v>
      </c>
      <c r="H431" s="296">
        <v>10.0</v>
      </c>
      <c r="I431" s="353">
        <v>4.884720593982024E-4</v>
      </c>
      <c r="K431" s="296"/>
      <c r="L431" s="354"/>
      <c r="M431" s="355"/>
      <c r="O431" s="367" t="str">
        <f>IFERROR(__xludf.DUMMYFUNCTION("""COMPUTED_VALUE"""),"Ghost Ship - Nest 3★ #AAB")</f>
        <v>Ghost Ship - Nest 3★ #AAB</v>
      </c>
      <c r="P431" s="296">
        <f>IFERROR(__xludf.DUMMYFUNCTION("""COMPUTED_VALUE"""),10.0)</f>
        <v>10</v>
      </c>
      <c r="Q431" s="355"/>
    </row>
    <row r="432" ht="12.75" customHeight="1">
      <c r="G432" s="354" t="s">
        <v>1143</v>
      </c>
      <c r="H432" s="296">
        <v>10.0</v>
      </c>
      <c r="I432" s="353">
        <v>4.884720593982024E-4</v>
      </c>
      <c r="K432" s="296"/>
      <c r="L432" s="354"/>
      <c r="M432" s="355"/>
      <c r="O432" s="367" t="str">
        <f>IFERROR(__xludf.DUMMYFUNCTION("""COMPUTED_VALUE"""),"Ghost Ship - Nest 3★ #560")</f>
        <v>Ghost Ship - Nest 3★ #560</v>
      </c>
      <c r="P432" s="296">
        <f>IFERROR(__xludf.DUMMYFUNCTION("""COMPUTED_VALUE"""),10.0)</f>
        <v>10</v>
      </c>
      <c r="Q432" s="355"/>
    </row>
    <row r="433" ht="12.75" customHeight="1">
      <c r="G433" s="354" t="s">
        <v>1144</v>
      </c>
      <c r="H433" s="296">
        <v>10.0</v>
      </c>
      <c r="I433" s="353">
        <v>4.884720593982024E-4</v>
      </c>
      <c r="K433" s="296"/>
      <c r="L433" s="354"/>
      <c r="M433" s="355"/>
      <c r="O433" s="367" t="str">
        <f>IFERROR(__xludf.DUMMYFUNCTION("""COMPUTED_VALUE"""),"Ghost Ship - Nest 3★ #015")</f>
        <v>Ghost Ship - Nest 3★ #015</v>
      </c>
      <c r="P433" s="296">
        <f>IFERROR(__xludf.DUMMYFUNCTION("""COMPUTED_VALUE"""),10.0)</f>
        <v>10</v>
      </c>
      <c r="Q433" s="355"/>
    </row>
    <row r="434" ht="12.75" customHeight="1">
      <c r="G434" s="354" t="s">
        <v>1145</v>
      </c>
      <c r="H434" s="296">
        <v>10.0</v>
      </c>
      <c r="I434" s="353">
        <v>4.884720593982024E-4</v>
      </c>
      <c r="K434" s="296"/>
      <c r="L434" s="354"/>
      <c r="M434" s="355"/>
      <c r="O434" s="367" t="str">
        <f>IFERROR(__xludf.DUMMYFUNCTION("""COMPUTED_VALUE"""),"Ghost Ship - Nest 3★ #ACA")</f>
        <v>Ghost Ship - Nest 3★ #ACA</v>
      </c>
      <c r="P434" s="296">
        <f>IFERROR(__xludf.DUMMYFUNCTION("""COMPUTED_VALUE"""),10.0)</f>
        <v>10</v>
      </c>
      <c r="Q434" s="355"/>
    </row>
    <row r="435" ht="12.75" customHeight="1">
      <c r="G435" s="354" t="s">
        <v>1146</v>
      </c>
      <c r="H435" s="296">
        <v>10.0</v>
      </c>
      <c r="I435" s="353">
        <v>4.884720593982024E-4</v>
      </c>
      <c r="K435" s="296"/>
      <c r="L435" s="354"/>
      <c r="M435" s="355"/>
      <c r="O435" s="367" t="str">
        <f>IFERROR(__xludf.DUMMYFUNCTION("""COMPUTED_VALUE"""),"Ghost Ship - Nest 3★ #57F")</f>
        <v>Ghost Ship - Nest 3★ #57F</v>
      </c>
      <c r="P435" s="296">
        <f>IFERROR(__xludf.DUMMYFUNCTION("""COMPUTED_VALUE"""),10.0)</f>
        <v>10</v>
      </c>
      <c r="Q435" s="355"/>
    </row>
    <row r="436" ht="12.75" customHeight="1">
      <c r="G436" s="354" t="s">
        <v>1147</v>
      </c>
      <c r="H436" s="296">
        <v>10.0</v>
      </c>
      <c r="I436" s="353">
        <v>4.884720593982024E-4</v>
      </c>
      <c r="K436" s="296"/>
      <c r="L436" s="354"/>
      <c r="M436" s="355"/>
      <c r="O436" s="367" t="str">
        <f>IFERROR(__xludf.DUMMYFUNCTION("""COMPUTED_VALUE"""),"Ghost Ship - Nest 3★ #034")</f>
        <v>Ghost Ship - Nest 3★ #034</v>
      </c>
      <c r="P436" s="296">
        <f>IFERROR(__xludf.DUMMYFUNCTION("""COMPUTED_VALUE"""),10.0)</f>
        <v>10</v>
      </c>
      <c r="Q436" s="355"/>
    </row>
    <row r="437" ht="12.75" customHeight="1">
      <c r="G437" s="354" t="s">
        <v>1148</v>
      </c>
      <c r="H437" s="296">
        <v>10.0</v>
      </c>
      <c r="I437" s="353">
        <v>4.884720593982024E-4</v>
      </c>
      <c r="K437" s="296"/>
      <c r="L437" s="354"/>
      <c r="M437" s="355"/>
      <c r="O437" s="367" t="str">
        <f>IFERROR(__xludf.DUMMYFUNCTION("""COMPUTED_VALUE"""),"Ghost Ship - Nest 3★ #AE9")</f>
        <v>Ghost Ship - Nest 3★ #AE9</v>
      </c>
      <c r="P437" s="296">
        <f>IFERROR(__xludf.DUMMYFUNCTION("""COMPUTED_VALUE"""),10.0)</f>
        <v>10</v>
      </c>
      <c r="Q437" s="355"/>
    </row>
    <row r="438" ht="12.75" customHeight="1">
      <c r="G438" s="354" t="s">
        <v>1149</v>
      </c>
      <c r="H438" s="296">
        <v>10.0</v>
      </c>
      <c r="I438" s="353">
        <v>4.884720593982024E-4</v>
      </c>
      <c r="K438" s="296"/>
      <c r="L438" s="354"/>
      <c r="M438" s="355"/>
      <c r="O438" s="367" t="str">
        <f>IFERROR(__xludf.DUMMYFUNCTION("""COMPUTED_VALUE"""),"Ghost Ship - Nest 3★ #59E")</f>
        <v>Ghost Ship - Nest 3★ #59E</v>
      </c>
      <c r="P438" s="296">
        <f>IFERROR(__xludf.DUMMYFUNCTION("""COMPUTED_VALUE"""),10.0)</f>
        <v>10</v>
      </c>
      <c r="Q438" s="355"/>
    </row>
    <row r="439" ht="12.75" customHeight="1">
      <c r="G439" s="354" t="s">
        <v>1150</v>
      </c>
      <c r="H439" s="296">
        <v>10.0</v>
      </c>
      <c r="I439" s="353">
        <v>4.884720593982024E-4</v>
      </c>
      <c r="K439" s="296"/>
      <c r="L439" s="354"/>
      <c r="M439" s="355"/>
      <c r="O439" s="367" t="str">
        <f>IFERROR(__xludf.DUMMYFUNCTION("""COMPUTED_VALUE"""),"Ghost Ship - Nest 3★ #053")</f>
        <v>Ghost Ship - Nest 3★ #053</v>
      </c>
      <c r="P439" s="296">
        <f>IFERROR(__xludf.DUMMYFUNCTION("""COMPUTED_VALUE"""),10.0)</f>
        <v>10</v>
      </c>
      <c r="Q439" s="355"/>
    </row>
    <row r="440" ht="12.75" customHeight="1">
      <c r="G440" s="354" t="s">
        <v>1151</v>
      </c>
      <c r="H440" s="296">
        <v>10.0</v>
      </c>
      <c r="I440" s="353">
        <v>4.884720593982024E-4</v>
      </c>
      <c r="K440" s="296"/>
      <c r="L440" s="354"/>
      <c r="M440" s="355"/>
      <c r="O440" s="367" t="str">
        <f>IFERROR(__xludf.DUMMYFUNCTION("""COMPUTED_VALUE"""),"Ghost Ship - Nest 3★ #B08")</f>
        <v>Ghost Ship - Nest 3★ #B08</v>
      </c>
      <c r="P440" s="296">
        <f>IFERROR(__xludf.DUMMYFUNCTION("""COMPUTED_VALUE"""),10.0)</f>
        <v>10</v>
      </c>
      <c r="Q440" s="355"/>
    </row>
    <row r="441" ht="12.75" customHeight="1">
      <c r="G441" s="354" t="s">
        <v>1152</v>
      </c>
      <c r="H441" s="296">
        <v>10.0</v>
      </c>
      <c r="I441" s="353">
        <v>4.884720593982024E-4</v>
      </c>
      <c r="K441" s="296"/>
      <c r="L441" s="354"/>
      <c r="M441" s="355"/>
      <c r="O441" s="367" t="str">
        <f>IFERROR(__xludf.DUMMYFUNCTION("""COMPUTED_VALUE"""),"Ghost Ship - Nest 3★ #5BD")</f>
        <v>Ghost Ship - Nest 3★ #5BD</v>
      </c>
      <c r="P441" s="296">
        <f>IFERROR(__xludf.DUMMYFUNCTION("""COMPUTED_VALUE"""),10.0)</f>
        <v>10</v>
      </c>
      <c r="Q441" s="355"/>
    </row>
    <row r="442" ht="12.75" customHeight="1">
      <c r="G442" s="354" t="s">
        <v>1153</v>
      </c>
      <c r="H442" s="296">
        <v>5.0</v>
      </c>
      <c r="I442" s="353">
        <v>2.442360296991012E-4</v>
      </c>
      <c r="K442" s="296"/>
      <c r="L442" s="354"/>
      <c r="M442" s="355"/>
      <c r="O442" s="367" t="str">
        <f>IFERROR(__xludf.DUMMYFUNCTION("""COMPUTED_VALUE"""),"Ghost Ship - Flag 4★ #072")</f>
        <v>Ghost Ship - Flag 4★ #072</v>
      </c>
      <c r="P442" s="296">
        <f>IFERROR(__xludf.DUMMYFUNCTION("""COMPUTED_VALUE"""),5.0)</f>
        <v>5</v>
      </c>
      <c r="Q442" s="355"/>
    </row>
    <row r="443" ht="12.75" customHeight="1">
      <c r="G443" s="354" t="s">
        <v>1154</v>
      </c>
      <c r="H443" s="296">
        <v>5.0</v>
      </c>
      <c r="I443" s="353">
        <v>2.442360296991012E-4</v>
      </c>
      <c r="K443" s="296"/>
      <c r="L443" s="354"/>
      <c r="M443" s="355"/>
      <c r="O443" s="367" t="str">
        <f>IFERROR(__xludf.DUMMYFUNCTION("""COMPUTED_VALUE"""),"Ghost Ship - Flag 4★ #B27")</f>
        <v>Ghost Ship - Flag 4★ #B27</v>
      </c>
      <c r="P443" s="296">
        <f>IFERROR(__xludf.DUMMYFUNCTION("""COMPUTED_VALUE"""),5.0)</f>
        <v>5</v>
      </c>
      <c r="Q443" s="355"/>
    </row>
    <row r="444" ht="12.75" customHeight="1">
      <c r="G444" s="354" t="s">
        <v>1155</v>
      </c>
      <c r="H444" s="296">
        <v>5.0</v>
      </c>
      <c r="I444" s="353">
        <v>2.442360296991012E-4</v>
      </c>
      <c r="K444" s="296"/>
      <c r="L444" s="354"/>
      <c r="M444" s="355"/>
      <c r="O444" s="367" t="str">
        <f>IFERROR(__xludf.DUMMYFUNCTION("""COMPUTED_VALUE"""),"Ghost Ship - Flag 4★ #5DC")</f>
        <v>Ghost Ship - Flag 4★ #5DC</v>
      </c>
      <c r="P444" s="296">
        <f>IFERROR(__xludf.DUMMYFUNCTION("""COMPUTED_VALUE"""),5.0)</f>
        <v>5</v>
      </c>
      <c r="Q444" s="355"/>
    </row>
    <row r="445" ht="12.75" customHeight="1">
      <c r="G445" s="354" t="s">
        <v>1156</v>
      </c>
      <c r="H445" s="296">
        <v>5.0</v>
      </c>
      <c r="I445" s="353">
        <v>2.442360296991012E-4</v>
      </c>
      <c r="K445" s="296"/>
      <c r="L445" s="354"/>
      <c r="M445" s="355"/>
      <c r="O445" s="367" t="str">
        <f>IFERROR(__xludf.DUMMYFUNCTION("""COMPUTED_VALUE"""),"Ghost Ship - Flag 4★ #091")</f>
        <v>Ghost Ship - Flag 4★ #091</v>
      </c>
      <c r="P445" s="296">
        <f>IFERROR(__xludf.DUMMYFUNCTION("""COMPUTED_VALUE"""),5.0)</f>
        <v>5</v>
      </c>
      <c r="Q445" s="355"/>
    </row>
    <row r="446" ht="12.75" customHeight="1">
      <c r="G446" s="354" t="s">
        <v>1157</v>
      </c>
      <c r="H446" s="296">
        <v>5.0</v>
      </c>
      <c r="I446" s="353">
        <v>2.442360296991012E-4</v>
      </c>
      <c r="K446" s="296"/>
      <c r="L446" s="354"/>
      <c r="M446" s="355"/>
      <c r="O446" s="367" t="str">
        <f>IFERROR(__xludf.DUMMYFUNCTION("""COMPUTED_VALUE"""),"Ghost Ship - Flag 4★ #B46")</f>
        <v>Ghost Ship - Flag 4★ #B46</v>
      </c>
      <c r="P446" s="296">
        <f>IFERROR(__xludf.DUMMYFUNCTION("""COMPUTED_VALUE"""),5.0)</f>
        <v>5</v>
      </c>
      <c r="Q446" s="355"/>
    </row>
    <row r="447" ht="12.75" customHeight="1">
      <c r="G447" s="354" t="s">
        <v>1158</v>
      </c>
      <c r="H447" s="296">
        <v>5.0</v>
      </c>
      <c r="I447" s="353">
        <v>2.442360296991012E-4</v>
      </c>
      <c r="K447" s="296"/>
      <c r="L447" s="354"/>
      <c r="M447" s="355"/>
      <c r="O447" s="367" t="str">
        <f>IFERROR(__xludf.DUMMYFUNCTION("""COMPUTED_VALUE"""),"Ghost Ship - Flag 4★ #5FB")</f>
        <v>Ghost Ship - Flag 4★ #5FB</v>
      </c>
      <c r="P447" s="296">
        <f>IFERROR(__xludf.DUMMYFUNCTION("""COMPUTED_VALUE"""),5.0)</f>
        <v>5</v>
      </c>
      <c r="Q447" s="355"/>
    </row>
    <row r="448" ht="12.75" customHeight="1">
      <c r="G448" s="354" t="s">
        <v>1159</v>
      </c>
      <c r="H448" s="296">
        <v>5.0</v>
      </c>
      <c r="I448" s="353">
        <v>2.442360296991012E-4</v>
      </c>
      <c r="K448" s="296"/>
      <c r="L448" s="354"/>
      <c r="M448" s="355"/>
      <c r="O448" s="367" t="str">
        <f>IFERROR(__xludf.DUMMYFUNCTION("""COMPUTED_VALUE"""),"Ghost Ship - Flag 4★ #0B0")</f>
        <v>Ghost Ship - Flag 4★ #0B0</v>
      </c>
      <c r="P448" s="296">
        <f>IFERROR(__xludf.DUMMYFUNCTION("""COMPUTED_VALUE"""),5.0)</f>
        <v>5</v>
      </c>
      <c r="Q448" s="355"/>
    </row>
    <row r="449" ht="12.75" customHeight="1">
      <c r="G449" s="354" t="s">
        <v>1160</v>
      </c>
      <c r="H449" s="296">
        <v>5.0</v>
      </c>
      <c r="I449" s="353">
        <v>2.442360296991012E-4</v>
      </c>
      <c r="K449" s="296"/>
      <c r="L449" s="354"/>
      <c r="M449" s="355"/>
      <c r="O449" s="367" t="str">
        <f>IFERROR(__xludf.DUMMYFUNCTION("""COMPUTED_VALUE"""),"Ghost Ship - Flag 4★ #B65")</f>
        <v>Ghost Ship - Flag 4★ #B65</v>
      </c>
      <c r="P449" s="296">
        <f>IFERROR(__xludf.DUMMYFUNCTION("""COMPUTED_VALUE"""),5.0)</f>
        <v>5</v>
      </c>
      <c r="Q449" s="355"/>
    </row>
    <row r="450" ht="12.75" customHeight="1">
      <c r="G450" s="354" t="s">
        <v>1161</v>
      </c>
      <c r="H450" s="296">
        <v>5.0</v>
      </c>
      <c r="I450" s="353">
        <v>2.442360296991012E-4</v>
      </c>
      <c r="K450" s="296"/>
      <c r="L450" s="354"/>
      <c r="M450" s="355"/>
      <c r="O450" s="367" t="str">
        <f>IFERROR(__xludf.DUMMYFUNCTION("""COMPUTED_VALUE"""),"Ghost Ship - Flag 4★ #61A")</f>
        <v>Ghost Ship - Flag 4★ #61A</v>
      </c>
      <c r="P450" s="296">
        <f>IFERROR(__xludf.DUMMYFUNCTION("""COMPUTED_VALUE"""),5.0)</f>
        <v>5</v>
      </c>
      <c r="Q450" s="355"/>
    </row>
    <row r="451" ht="12.75" customHeight="1">
      <c r="G451" s="354" t="s">
        <v>1162</v>
      </c>
      <c r="H451" s="296">
        <v>5.0</v>
      </c>
      <c r="I451" s="353">
        <v>2.442360296991012E-4</v>
      </c>
      <c r="K451" s="296"/>
      <c r="L451" s="354"/>
      <c r="M451" s="355"/>
      <c r="O451" s="367" t="str">
        <f>IFERROR(__xludf.DUMMYFUNCTION("""COMPUTED_VALUE"""),"Ghost Ship - Flag 4★ #0CF")</f>
        <v>Ghost Ship - Flag 4★ #0CF</v>
      </c>
      <c r="P451" s="296">
        <f>IFERROR(__xludf.DUMMYFUNCTION("""COMPUTED_VALUE"""),5.0)</f>
        <v>5</v>
      </c>
      <c r="Q451" s="355"/>
    </row>
    <row r="452" ht="12.75" customHeight="1">
      <c r="G452" s="354" t="s">
        <v>1163</v>
      </c>
      <c r="H452" s="296">
        <v>5.0</v>
      </c>
      <c r="I452" s="353">
        <v>2.442360296991012E-4</v>
      </c>
      <c r="K452" s="296"/>
      <c r="L452" s="354"/>
      <c r="M452" s="355"/>
      <c r="O452" s="367" t="str">
        <f>IFERROR(__xludf.DUMMYFUNCTION("""COMPUTED_VALUE"""),"Ghost Ship - Flag 4★ #B84")</f>
        <v>Ghost Ship - Flag 4★ #B84</v>
      </c>
      <c r="P452" s="296">
        <f>IFERROR(__xludf.DUMMYFUNCTION("""COMPUTED_VALUE"""),5.0)</f>
        <v>5</v>
      </c>
      <c r="Q452" s="355"/>
    </row>
    <row r="453" ht="12.75" customHeight="1">
      <c r="G453" s="354" t="s">
        <v>1164</v>
      </c>
      <c r="H453" s="296">
        <v>5.0</v>
      </c>
      <c r="I453" s="353">
        <v>2.442360296991012E-4</v>
      </c>
      <c r="K453" s="296"/>
      <c r="L453" s="354"/>
      <c r="M453" s="355"/>
      <c r="O453" s="367" t="str">
        <f>IFERROR(__xludf.DUMMYFUNCTION("""COMPUTED_VALUE"""),"Ghost Ship - Chain 4★ #639")</f>
        <v>Ghost Ship - Chain 4★ #639</v>
      </c>
      <c r="P453" s="296">
        <f>IFERROR(__xludf.DUMMYFUNCTION("""COMPUTED_VALUE"""),5.0)</f>
        <v>5</v>
      </c>
      <c r="Q453" s="355"/>
    </row>
    <row r="454" ht="12.75" customHeight="1">
      <c r="G454" s="354" t="s">
        <v>1165</v>
      </c>
      <c r="H454" s="296">
        <v>5.0</v>
      </c>
      <c r="I454" s="353">
        <v>2.442360296991012E-4</v>
      </c>
      <c r="K454" s="296"/>
      <c r="L454" s="354"/>
      <c r="M454" s="355"/>
      <c r="O454" s="367" t="str">
        <f>IFERROR(__xludf.DUMMYFUNCTION("""COMPUTED_VALUE"""),"Ghost Ship - Chain 4★ #0EE")</f>
        <v>Ghost Ship - Chain 4★ #0EE</v>
      </c>
      <c r="P454" s="296">
        <f>IFERROR(__xludf.DUMMYFUNCTION("""COMPUTED_VALUE"""),5.0)</f>
        <v>5</v>
      </c>
      <c r="Q454" s="355"/>
    </row>
    <row r="455" ht="12.75" customHeight="1">
      <c r="G455" s="354" t="s">
        <v>1166</v>
      </c>
      <c r="H455" s="296">
        <v>5.0</v>
      </c>
      <c r="I455" s="353">
        <v>2.442360296991012E-4</v>
      </c>
      <c r="K455" s="296"/>
      <c r="L455" s="354"/>
      <c r="M455" s="355"/>
      <c r="O455" s="367" t="str">
        <f>IFERROR(__xludf.DUMMYFUNCTION("""COMPUTED_VALUE"""),"Ghost Ship - Chain 4★ #BA3")</f>
        <v>Ghost Ship - Chain 4★ #BA3</v>
      </c>
      <c r="P455" s="296">
        <f>IFERROR(__xludf.DUMMYFUNCTION("""COMPUTED_VALUE"""),5.0)</f>
        <v>5</v>
      </c>
      <c r="Q455" s="355"/>
    </row>
    <row r="456" ht="12.75" customHeight="1">
      <c r="G456" s="354" t="s">
        <v>1167</v>
      </c>
      <c r="H456" s="296">
        <v>5.0</v>
      </c>
      <c r="I456" s="353">
        <v>2.442360296991012E-4</v>
      </c>
      <c r="K456" s="296"/>
      <c r="L456" s="354"/>
      <c r="M456" s="355"/>
      <c r="O456" s="367" t="str">
        <f>IFERROR(__xludf.DUMMYFUNCTION("""COMPUTED_VALUE"""),"Ghost Ship - Chain 4★ #658")</f>
        <v>Ghost Ship - Chain 4★ #658</v>
      </c>
      <c r="P456" s="296">
        <f>IFERROR(__xludf.DUMMYFUNCTION("""COMPUTED_VALUE"""),5.0)</f>
        <v>5</v>
      </c>
      <c r="Q456" s="355"/>
    </row>
    <row r="457" ht="12.75" customHeight="1">
      <c r="G457" s="354" t="s">
        <v>1168</v>
      </c>
      <c r="H457" s="296">
        <v>5.0</v>
      </c>
      <c r="I457" s="353">
        <v>2.442360296991012E-4</v>
      </c>
      <c r="K457" s="296"/>
      <c r="L457" s="354"/>
      <c r="M457" s="355"/>
      <c r="O457" s="367" t="str">
        <f>IFERROR(__xludf.DUMMYFUNCTION("""COMPUTED_VALUE"""),"Ghost Ship - Chain 4★ #10D")</f>
        <v>Ghost Ship - Chain 4★ #10D</v>
      </c>
      <c r="P457" s="296">
        <f>IFERROR(__xludf.DUMMYFUNCTION("""COMPUTED_VALUE"""),5.0)</f>
        <v>5</v>
      </c>
      <c r="Q457" s="355"/>
    </row>
    <row r="458" ht="12.75" customHeight="1">
      <c r="G458" s="354" t="s">
        <v>1169</v>
      </c>
      <c r="H458" s="296">
        <v>5.0</v>
      </c>
      <c r="I458" s="353">
        <v>2.442360296991012E-4</v>
      </c>
      <c r="K458" s="296"/>
      <c r="L458" s="354"/>
      <c r="M458" s="355"/>
      <c r="O458" s="367" t="str">
        <f>IFERROR(__xludf.DUMMYFUNCTION("""COMPUTED_VALUE"""),"Ghost Ship - Chain 4★ #BC2")</f>
        <v>Ghost Ship - Chain 4★ #BC2</v>
      </c>
      <c r="P458" s="296">
        <f>IFERROR(__xludf.DUMMYFUNCTION("""COMPUTED_VALUE"""),5.0)</f>
        <v>5</v>
      </c>
      <c r="Q458" s="355"/>
    </row>
    <row r="459" ht="12.75" customHeight="1">
      <c r="G459" s="354" t="s">
        <v>1170</v>
      </c>
      <c r="H459" s="296">
        <v>5.0</v>
      </c>
      <c r="I459" s="353">
        <v>2.442360296991012E-4</v>
      </c>
      <c r="K459" s="296"/>
      <c r="L459" s="354"/>
      <c r="M459" s="355"/>
      <c r="O459" s="367" t="str">
        <f>IFERROR(__xludf.DUMMYFUNCTION("""COMPUTED_VALUE"""),"Ghost Ship - Chain 4★ #677")</f>
        <v>Ghost Ship - Chain 4★ #677</v>
      </c>
      <c r="P459" s="296">
        <f>IFERROR(__xludf.DUMMYFUNCTION("""COMPUTED_VALUE"""),5.0)</f>
        <v>5</v>
      </c>
      <c r="Q459" s="355"/>
    </row>
    <row r="460" ht="12.75" customHeight="1">
      <c r="G460" s="354" t="s">
        <v>1171</v>
      </c>
      <c r="H460" s="296">
        <v>5.0</v>
      </c>
      <c r="I460" s="353">
        <v>2.442360296991012E-4</v>
      </c>
      <c r="K460" s="296"/>
      <c r="L460" s="354"/>
      <c r="M460" s="355"/>
      <c r="O460" s="367" t="str">
        <f>IFERROR(__xludf.DUMMYFUNCTION("""COMPUTED_VALUE"""),"Ghost Ship - Chain 4★ #12C")</f>
        <v>Ghost Ship - Chain 4★ #12C</v>
      </c>
      <c r="P460" s="296">
        <f>IFERROR(__xludf.DUMMYFUNCTION("""COMPUTED_VALUE"""),5.0)</f>
        <v>5</v>
      </c>
      <c r="Q460" s="355"/>
    </row>
    <row r="461" ht="12.75" customHeight="1">
      <c r="G461" s="354" t="s">
        <v>1172</v>
      </c>
      <c r="H461" s="296">
        <v>5.0</v>
      </c>
      <c r="I461" s="353">
        <v>2.442360296991012E-4</v>
      </c>
      <c r="K461" s="296"/>
      <c r="L461" s="354"/>
      <c r="M461" s="355"/>
      <c r="O461" s="367" t="str">
        <f>IFERROR(__xludf.DUMMYFUNCTION("""COMPUTED_VALUE"""),"Ghost Ship - Chain 4★ #BE1")</f>
        <v>Ghost Ship - Chain 4★ #BE1</v>
      </c>
      <c r="P461" s="296">
        <f>IFERROR(__xludf.DUMMYFUNCTION("""COMPUTED_VALUE"""),5.0)</f>
        <v>5</v>
      </c>
      <c r="Q461" s="355"/>
    </row>
    <row r="462" ht="12.75" customHeight="1">
      <c r="G462" s="354" t="s">
        <v>1173</v>
      </c>
      <c r="H462" s="296">
        <v>5.0</v>
      </c>
      <c r="I462" s="353">
        <v>2.442360296991012E-4</v>
      </c>
      <c r="K462" s="296"/>
      <c r="L462" s="354"/>
      <c r="M462" s="355"/>
      <c r="O462" s="367" t="str">
        <f>IFERROR(__xludf.DUMMYFUNCTION("""COMPUTED_VALUE"""),"Ghost Ship - Chain 4★ #696")</f>
        <v>Ghost Ship - Chain 4★ #696</v>
      </c>
      <c r="P462" s="296">
        <f>IFERROR(__xludf.DUMMYFUNCTION("""COMPUTED_VALUE"""),5.0)</f>
        <v>5</v>
      </c>
      <c r="Q462" s="355"/>
    </row>
    <row r="463" ht="12.75" customHeight="1">
      <c r="G463" s="354" t="s">
        <v>1174</v>
      </c>
      <c r="H463" s="296">
        <v>5.0</v>
      </c>
      <c r="I463" s="353">
        <v>2.442360296991012E-4</v>
      </c>
      <c r="K463" s="296"/>
      <c r="L463" s="354"/>
      <c r="M463" s="355"/>
      <c r="O463" s="367" t="str">
        <f>IFERROR(__xludf.DUMMYFUNCTION("""COMPUTED_VALUE"""),"Ghost Ship - Chain 4★ #14B")</f>
        <v>Ghost Ship - Chain 4★ #14B</v>
      </c>
      <c r="P463" s="296">
        <f>IFERROR(__xludf.DUMMYFUNCTION("""COMPUTED_VALUE"""),5.0)</f>
        <v>5</v>
      </c>
      <c r="Q463" s="355"/>
    </row>
    <row r="464" ht="12.75" customHeight="1">
      <c r="G464" s="354" t="s">
        <v>1175</v>
      </c>
      <c r="H464" s="296">
        <v>2.0</v>
      </c>
      <c r="I464" s="353">
        <v>9.769441187964049E-5</v>
      </c>
      <c r="K464" s="296"/>
      <c r="L464" s="354"/>
      <c r="M464" s="355"/>
      <c r="O464" s="367" t="str">
        <f>IFERROR(__xludf.DUMMYFUNCTION("""COMPUTED_VALUE"""),"Ghost Ship - Log 5★ #C00")</f>
        <v>Ghost Ship - Log 5★ #C00</v>
      </c>
      <c r="P464" s="296">
        <f>IFERROR(__xludf.DUMMYFUNCTION("""COMPUTED_VALUE"""),2.0)</f>
        <v>2</v>
      </c>
      <c r="Q464" s="355"/>
    </row>
    <row r="465" ht="12.75" customHeight="1">
      <c r="G465" s="354" t="s">
        <v>1176</v>
      </c>
      <c r="H465" s="296">
        <v>2.0</v>
      </c>
      <c r="I465" s="353">
        <v>9.769441187964049E-5</v>
      </c>
      <c r="K465" s="296"/>
      <c r="L465" s="354"/>
      <c r="M465" s="355"/>
      <c r="O465" s="367" t="str">
        <f>IFERROR(__xludf.DUMMYFUNCTION("""COMPUTED_VALUE"""),"Ghost Ship - Log 5★ #6B5")</f>
        <v>Ghost Ship - Log 5★ #6B5</v>
      </c>
      <c r="P465" s="296">
        <f>IFERROR(__xludf.DUMMYFUNCTION("""COMPUTED_VALUE"""),2.0)</f>
        <v>2</v>
      </c>
      <c r="Q465" s="355"/>
    </row>
    <row r="466" ht="12.75" customHeight="1">
      <c r="G466" s="354" t="s">
        <v>1177</v>
      </c>
      <c r="H466" s="296">
        <v>2.0</v>
      </c>
      <c r="I466" s="353">
        <v>9.769441187964049E-5</v>
      </c>
      <c r="K466" s="296"/>
      <c r="L466" s="354"/>
      <c r="M466" s="355"/>
      <c r="O466" s="367" t="str">
        <f>IFERROR(__xludf.DUMMYFUNCTION("""COMPUTED_VALUE"""),"Ghost Ship - Log 5★ #16A")</f>
        <v>Ghost Ship - Log 5★ #16A</v>
      </c>
      <c r="P466" s="296">
        <f>IFERROR(__xludf.DUMMYFUNCTION("""COMPUTED_VALUE"""),2.0)</f>
        <v>2</v>
      </c>
      <c r="Q466" s="355"/>
    </row>
    <row r="467" ht="12.75" customHeight="1">
      <c r="G467" s="354" t="s">
        <v>1178</v>
      </c>
      <c r="H467" s="296">
        <v>2.0</v>
      </c>
      <c r="I467" s="353">
        <v>9.769441187964049E-5</v>
      </c>
      <c r="K467" s="296"/>
      <c r="L467" s="354"/>
      <c r="M467" s="355"/>
      <c r="O467" s="367" t="str">
        <f>IFERROR(__xludf.DUMMYFUNCTION("""COMPUTED_VALUE"""),"Ghost Ship - Log 5★ #C1F")</f>
        <v>Ghost Ship - Log 5★ #C1F</v>
      </c>
      <c r="P467" s="296">
        <f>IFERROR(__xludf.DUMMYFUNCTION("""COMPUTED_VALUE"""),2.0)</f>
        <v>2</v>
      </c>
      <c r="Q467" s="355"/>
    </row>
    <row r="468" ht="12.75" customHeight="1">
      <c r="G468" s="354" t="s">
        <v>1179</v>
      </c>
      <c r="H468" s="296">
        <v>2.0</v>
      </c>
      <c r="I468" s="353">
        <v>9.769441187964049E-5</v>
      </c>
      <c r="K468" s="296"/>
      <c r="L468" s="354"/>
      <c r="M468" s="355"/>
      <c r="O468" s="367" t="str">
        <f>IFERROR(__xludf.DUMMYFUNCTION("""COMPUTED_VALUE"""),"Ghost Ship - Log 5★ #6D4")</f>
        <v>Ghost Ship - Log 5★ #6D4</v>
      </c>
      <c r="P468" s="296">
        <f>IFERROR(__xludf.DUMMYFUNCTION("""COMPUTED_VALUE"""),2.0)</f>
        <v>2</v>
      </c>
      <c r="Q468" s="355"/>
    </row>
    <row r="469" ht="12.75" customHeight="1">
      <c r="G469" s="354" t="s">
        <v>1180</v>
      </c>
      <c r="H469" s="296">
        <v>50.0</v>
      </c>
      <c r="I469" s="353">
        <v>0.0024423602969910123</v>
      </c>
      <c r="K469" s="296"/>
      <c r="L469" s="354"/>
      <c r="M469" s="355"/>
      <c r="O469" s="367" t="str">
        <f>IFERROR(__xludf.DUMMYFUNCTION("""COMPUTED_VALUE"""),"Storm Port - Lightning 1★ #189")</f>
        <v>Storm Port - Lightning 1★ #189</v>
      </c>
      <c r="P469" s="296">
        <f>IFERROR(__xludf.DUMMYFUNCTION("""COMPUTED_VALUE"""),50.0)</f>
        <v>50</v>
      </c>
      <c r="Q469" s="355"/>
    </row>
    <row r="470" ht="12.75" customHeight="1">
      <c r="G470" s="354" t="s">
        <v>1181</v>
      </c>
      <c r="H470" s="296">
        <v>50.0</v>
      </c>
      <c r="I470" s="353">
        <v>0.0024423602969910123</v>
      </c>
      <c r="K470" s="296"/>
      <c r="L470" s="354"/>
      <c r="M470" s="355"/>
      <c r="O470" s="367" t="str">
        <f>IFERROR(__xludf.DUMMYFUNCTION("""COMPUTED_VALUE"""),"Storm Port - Lightning 1★ #C3E")</f>
        <v>Storm Port - Lightning 1★ #C3E</v>
      </c>
      <c r="P470" s="296">
        <f>IFERROR(__xludf.DUMMYFUNCTION("""COMPUTED_VALUE"""),50.0)</f>
        <v>50</v>
      </c>
      <c r="Q470" s="355"/>
    </row>
    <row r="471" ht="12.75" customHeight="1">
      <c r="G471" s="354" t="s">
        <v>1182</v>
      </c>
      <c r="H471" s="296">
        <v>50.0</v>
      </c>
      <c r="I471" s="353">
        <v>0.0024423602969910123</v>
      </c>
      <c r="K471" s="296"/>
      <c r="L471" s="354"/>
      <c r="M471" s="355"/>
      <c r="O471" s="367" t="str">
        <f>IFERROR(__xludf.DUMMYFUNCTION("""COMPUTED_VALUE"""),"Storm Port - Lightning 1★ #6F3")</f>
        <v>Storm Port - Lightning 1★ #6F3</v>
      </c>
      <c r="P471" s="296">
        <f>IFERROR(__xludf.DUMMYFUNCTION("""COMPUTED_VALUE"""),50.0)</f>
        <v>50</v>
      </c>
      <c r="Q471" s="355"/>
    </row>
    <row r="472" ht="12.75" customHeight="1">
      <c r="G472" s="354" t="s">
        <v>1183</v>
      </c>
      <c r="H472" s="296">
        <v>50.0</v>
      </c>
      <c r="I472" s="353">
        <v>0.0024423602969910123</v>
      </c>
      <c r="K472" s="296"/>
      <c r="L472" s="354"/>
      <c r="M472" s="355"/>
      <c r="O472" s="367" t="str">
        <f>IFERROR(__xludf.DUMMYFUNCTION("""COMPUTED_VALUE"""),"Storm Port - Lightning 1★ #1A8")</f>
        <v>Storm Port - Lightning 1★ #1A8</v>
      </c>
      <c r="P472" s="296">
        <f>IFERROR(__xludf.DUMMYFUNCTION("""COMPUTED_VALUE"""),50.0)</f>
        <v>50</v>
      </c>
      <c r="Q472" s="355"/>
    </row>
    <row r="473" ht="12.75" customHeight="1">
      <c r="G473" s="354" t="s">
        <v>1184</v>
      </c>
      <c r="H473" s="296">
        <v>50.0</v>
      </c>
      <c r="I473" s="353">
        <v>0.0024423602969910123</v>
      </c>
      <c r="K473" s="296"/>
      <c r="L473" s="354"/>
      <c r="M473" s="355"/>
      <c r="O473" s="367" t="str">
        <f>IFERROR(__xludf.DUMMYFUNCTION("""COMPUTED_VALUE"""),"Storm Port - Lightning 1★ #C5D")</f>
        <v>Storm Port - Lightning 1★ #C5D</v>
      </c>
      <c r="P473" s="296">
        <f>IFERROR(__xludf.DUMMYFUNCTION("""COMPUTED_VALUE"""),50.0)</f>
        <v>50</v>
      </c>
      <c r="Q473" s="355"/>
    </row>
    <row r="474" ht="12.75" customHeight="1">
      <c r="G474" s="354" t="s">
        <v>1185</v>
      </c>
      <c r="H474" s="296">
        <v>50.0</v>
      </c>
      <c r="I474" s="353">
        <v>0.0024423602969910123</v>
      </c>
      <c r="K474" s="296"/>
      <c r="L474" s="354"/>
      <c r="M474" s="355"/>
      <c r="O474" s="367" t="str">
        <f>IFERROR(__xludf.DUMMYFUNCTION("""COMPUTED_VALUE"""),"Storm Port - Lightning 1★ #712")</f>
        <v>Storm Port - Lightning 1★ #712</v>
      </c>
      <c r="P474" s="296">
        <f>IFERROR(__xludf.DUMMYFUNCTION("""COMPUTED_VALUE"""),50.0)</f>
        <v>50</v>
      </c>
      <c r="Q474" s="355"/>
    </row>
    <row r="475" ht="12.75" customHeight="1">
      <c r="G475" s="354" t="s">
        <v>1186</v>
      </c>
      <c r="H475" s="296">
        <v>50.0</v>
      </c>
      <c r="I475" s="353">
        <v>0.0024423602969910123</v>
      </c>
      <c r="K475" s="296"/>
      <c r="L475" s="354"/>
      <c r="M475" s="355"/>
      <c r="O475" s="367" t="str">
        <f>IFERROR(__xludf.DUMMYFUNCTION("""COMPUTED_VALUE"""),"Storm Port - Lightning 1★ #1C7")</f>
        <v>Storm Port - Lightning 1★ #1C7</v>
      </c>
      <c r="P475" s="296">
        <f>IFERROR(__xludf.DUMMYFUNCTION("""COMPUTED_VALUE"""),50.0)</f>
        <v>50</v>
      </c>
      <c r="Q475" s="355"/>
    </row>
    <row r="476" ht="12.75" customHeight="1">
      <c r="G476" s="354" t="s">
        <v>1187</v>
      </c>
      <c r="H476" s="296">
        <v>50.0</v>
      </c>
      <c r="I476" s="353">
        <v>0.0024423602969910123</v>
      </c>
      <c r="K476" s="296"/>
      <c r="L476" s="354"/>
      <c r="M476" s="355"/>
      <c r="O476" s="367" t="str">
        <f>IFERROR(__xludf.DUMMYFUNCTION("""COMPUTED_VALUE"""),"Storm Port - Lightning 1★ #C7C")</f>
        <v>Storm Port - Lightning 1★ #C7C</v>
      </c>
      <c r="P476" s="296">
        <f>IFERROR(__xludf.DUMMYFUNCTION("""COMPUTED_VALUE"""),50.0)</f>
        <v>50</v>
      </c>
      <c r="Q476" s="355"/>
    </row>
    <row r="477" ht="12.75" customHeight="1">
      <c r="G477" s="354" t="s">
        <v>1188</v>
      </c>
      <c r="H477" s="296">
        <v>50.0</v>
      </c>
      <c r="I477" s="353">
        <v>0.0024423602969910123</v>
      </c>
      <c r="K477" s="296"/>
      <c r="L477" s="354"/>
      <c r="M477" s="355"/>
      <c r="O477" s="367" t="str">
        <f>IFERROR(__xludf.DUMMYFUNCTION("""COMPUTED_VALUE"""),"Storm Port - Lightning 1★ #731")</f>
        <v>Storm Port - Lightning 1★ #731</v>
      </c>
      <c r="P477" s="296">
        <f>IFERROR(__xludf.DUMMYFUNCTION("""COMPUTED_VALUE"""),50.0)</f>
        <v>50</v>
      </c>
      <c r="Q477" s="355"/>
    </row>
    <row r="478" ht="12.75" customHeight="1">
      <c r="G478" s="354" t="s">
        <v>1189</v>
      </c>
      <c r="H478" s="296">
        <v>50.0</v>
      </c>
      <c r="I478" s="353">
        <v>0.0024423602969910123</v>
      </c>
      <c r="K478" s="296"/>
      <c r="L478" s="354"/>
      <c r="M478" s="355"/>
      <c r="O478" s="367" t="str">
        <f>IFERROR(__xludf.DUMMYFUNCTION("""COMPUTED_VALUE"""),"Storm Port - Lightning 1★ #1E6")</f>
        <v>Storm Port - Lightning 1★ #1E6</v>
      </c>
      <c r="P478" s="296">
        <f>IFERROR(__xludf.DUMMYFUNCTION("""COMPUTED_VALUE"""),50.0)</f>
        <v>50</v>
      </c>
      <c r="Q478" s="355"/>
    </row>
    <row r="479" ht="12.75" customHeight="1">
      <c r="G479" s="354" t="s">
        <v>1190</v>
      </c>
      <c r="H479" s="296">
        <v>50.0</v>
      </c>
      <c r="I479" s="353">
        <v>0.0024423602969910123</v>
      </c>
      <c r="K479" s="296"/>
      <c r="L479" s="354"/>
      <c r="M479" s="355"/>
      <c r="O479" s="367" t="str">
        <f>IFERROR(__xludf.DUMMYFUNCTION("""COMPUTED_VALUE"""),"Storm Port - Lightning 1★ #C9B")</f>
        <v>Storm Port - Lightning 1★ #C9B</v>
      </c>
      <c r="P479" s="296">
        <f>IFERROR(__xludf.DUMMYFUNCTION("""COMPUTED_VALUE"""),50.0)</f>
        <v>50</v>
      </c>
      <c r="Q479" s="355"/>
    </row>
    <row r="480" ht="12.75" customHeight="1">
      <c r="G480" s="354" t="s">
        <v>1191</v>
      </c>
      <c r="H480" s="296">
        <v>50.0</v>
      </c>
      <c r="I480" s="353">
        <v>0.0024423602969910123</v>
      </c>
      <c r="K480" s="296"/>
      <c r="L480" s="354"/>
      <c r="M480" s="355"/>
      <c r="O480" s="367" t="str">
        <f>IFERROR(__xludf.DUMMYFUNCTION("""COMPUTED_VALUE"""),"Storm Port - Lightning 1★ #750")</f>
        <v>Storm Port - Lightning 1★ #750</v>
      </c>
      <c r="P480" s="296">
        <f>IFERROR(__xludf.DUMMYFUNCTION("""COMPUTED_VALUE"""),50.0)</f>
        <v>50</v>
      </c>
      <c r="Q480" s="355"/>
    </row>
    <row r="481" ht="12.75" customHeight="1">
      <c r="G481" s="354" t="s">
        <v>1192</v>
      </c>
      <c r="H481" s="296">
        <v>50.0</v>
      </c>
      <c r="I481" s="353">
        <v>0.0024423602969910123</v>
      </c>
      <c r="K481" s="296"/>
      <c r="L481" s="354"/>
      <c r="M481" s="355"/>
      <c r="O481" s="367" t="str">
        <f>IFERROR(__xludf.DUMMYFUNCTION("""COMPUTED_VALUE"""),"Storm Port - Lightning 1★ #205")</f>
        <v>Storm Port - Lightning 1★ #205</v>
      </c>
      <c r="P481" s="296">
        <f>IFERROR(__xludf.DUMMYFUNCTION("""COMPUTED_VALUE"""),50.0)</f>
        <v>50</v>
      </c>
      <c r="Q481" s="355"/>
    </row>
    <row r="482" ht="12.75" customHeight="1">
      <c r="G482" s="354" t="s">
        <v>1193</v>
      </c>
      <c r="H482" s="296">
        <v>50.0</v>
      </c>
      <c r="I482" s="353">
        <v>0.0024423602969910123</v>
      </c>
      <c r="K482" s="296"/>
      <c r="L482" s="354"/>
      <c r="M482" s="355"/>
      <c r="O482" s="367" t="str">
        <f>IFERROR(__xludf.DUMMYFUNCTION("""COMPUTED_VALUE"""),"Storm Port - Barrel 1★ #CBA")</f>
        <v>Storm Port - Barrel 1★ #CBA</v>
      </c>
      <c r="P482" s="296">
        <f>IFERROR(__xludf.DUMMYFUNCTION("""COMPUTED_VALUE"""),50.0)</f>
        <v>50</v>
      </c>
      <c r="Q482" s="355"/>
    </row>
    <row r="483" ht="12.75" customHeight="1">
      <c r="G483" s="354" t="s">
        <v>1194</v>
      </c>
      <c r="H483" s="296">
        <v>50.0</v>
      </c>
      <c r="I483" s="353">
        <v>0.0024423602969910123</v>
      </c>
      <c r="K483" s="296"/>
      <c r="L483" s="354"/>
      <c r="M483" s="355"/>
      <c r="O483" s="367" t="str">
        <f>IFERROR(__xludf.DUMMYFUNCTION("""COMPUTED_VALUE"""),"Storm Port - Barrel 1★ #76F")</f>
        <v>Storm Port - Barrel 1★ #76F</v>
      </c>
      <c r="P483" s="296">
        <f>IFERROR(__xludf.DUMMYFUNCTION("""COMPUTED_VALUE"""),50.0)</f>
        <v>50</v>
      </c>
      <c r="Q483" s="355"/>
    </row>
    <row r="484" ht="12.75" customHeight="1">
      <c r="G484" s="354" t="s">
        <v>1195</v>
      </c>
      <c r="H484" s="296">
        <v>50.0</v>
      </c>
      <c r="I484" s="353">
        <v>0.0024423602969910123</v>
      </c>
      <c r="K484" s="296"/>
      <c r="L484" s="354"/>
      <c r="M484" s="355"/>
      <c r="O484" s="367" t="str">
        <f>IFERROR(__xludf.DUMMYFUNCTION("""COMPUTED_VALUE"""),"Storm Port - Barrel 1★ #224")</f>
        <v>Storm Port - Barrel 1★ #224</v>
      </c>
      <c r="P484" s="296">
        <f>IFERROR(__xludf.DUMMYFUNCTION("""COMPUTED_VALUE"""),50.0)</f>
        <v>50</v>
      </c>
      <c r="Q484" s="355"/>
    </row>
    <row r="485" ht="12.75" customHeight="1">
      <c r="G485" s="354" t="s">
        <v>1196</v>
      </c>
      <c r="H485" s="296">
        <v>50.0</v>
      </c>
      <c r="I485" s="353">
        <v>0.0024423602969910123</v>
      </c>
      <c r="K485" s="296"/>
      <c r="L485" s="354"/>
      <c r="M485" s="355"/>
      <c r="O485" s="367" t="str">
        <f>IFERROR(__xludf.DUMMYFUNCTION("""COMPUTED_VALUE"""),"Storm Port - Barrel 1★ #CD9")</f>
        <v>Storm Port - Barrel 1★ #CD9</v>
      </c>
      <c r="P485" s="296">
        <f>IFERROR(__xludf.DUMMYFUNCTION("""COMPUTED_VALUE"""),50.0)</f>
        <v>50</v>
      </c>
      <c r="Q485" s="355"/>
    </row>
    <row r="486" ht="12.75" customHeight="1">
      <c r="G486" s="354" t="s">
        <v>1197</v>
      </c>
      <c r="H486" s="296">
        <v>50.0</v>
      </c>
      <c r="I486" s="353">
        <v>0.0024423602969910123</v>
      </c>
      <c r="K486" s="296"/>
      <c r="L486" s="354"/>
      <c r="M486" s="355"/>
      <c r="O486" s="367" t="str">
        <f>IFERROR(__xludf.DUMMYFUNCTION("""COMPUTED_VALUE"""),"Storm Port - Barrel 1★ #78E")</f>
        <v>Storm Port - Barrel 1★ #78E</v>
      </c>
      <c r="P486" s="296">
        <f>IFERROR(__xludf.DUMMYFUNCTION("""COMPUTED_VALUE"""),50.0)</f>
        <v>50</v>
      </c>
      <c r="Q486" s="355"/>
    </row>
    <row r="487" ht="12.75" customHeight="1">
      <c r="G487" s="354" t="s">
        <v>1198</v>
      </c>
      <c r="H487" s="296">
        <v>50.0</v>
      </c>
      <c r="I487" s="353">
        <v>0.0024423602969910123</v>
      </c>
      <c r="K487" s="296"/>
      <c r="L487" s="354"/>
      <c r="M487" s="355"/>
      <c r="O487" s="367" t="str">
        <f>IFERROR(__xludf.DUMMYFUNCTION("""COMPUTED_VALUE"""),"Storm Port - Barrel 1★ #243")</f>
        <v>Storm Port - Barrel 1★ #243</v>
      </c>
      <c r="P487" s="296">
        <f>IFERROR(__xludf.DUMMYFUNCTION("""COMPUTED_VALUE"""),50.0)</f>
        <v>50</v>
      </c>
      <c r="Q487" s="355"/>
    </row>
    <row r="488" ht="12.75" customHeight="1">
      <c r="G488" s="354" t="s">
        <v>1199</v>
      </c>
      <c r="H488" s="296">
        <v>50.0</v>
      </c>
      <c r="I488" s="353">
        <v>0.0024423602969910123</v>
      </c>
      <c r="K488" s="296"/>
      <c r="L488" s="354"/>
      <c r="M488" s="355"/>
      <c r="O488" s="367" t="str">
        <f>IFERROR(__xludf.DUMMYFUNCTION("""COMPUTED_VALUE"""),"Storm Port - Barrel 1★ #CF8")</f>
        <v>Storm Port - Barrel 1★ #CF8</v>
      </c>
      <c r="P488" s="296">
        <f>IFERROR(__xludf.DUMMYFUNCTION("""COMPUTED_VALUE"""),50.0)</f>
        <v>50</v>
      </c>
      <c r="Q488" s="355"/>
    </row>
    <row r="489" ht="12.75" customHeight="1">
      <c r="G489" s="354" t="s">
        <v>1200</v>
      </c>
      <c r="H489" s="296">
        <v>50.0</v>
      </c>
      <c r="I489" s="353">
        <v>0.0024423602969910123</v>
      </c>
      <c r="K489" s="296"/>
      <c r="L489" s="354"/>
      <c r="M489" s="355"/>
      <c r="O489" s="367" t="str">
        <f>IFERROR(__xludf.DUMMYFUNCTION("""COMPUTED_VALUE"""),"Storm Port - Barrel 1★ #7AD")</f>
        <v>Storm Port - Barrel 1★ #7AD</v>
      </c>
      <c r="P489" s="296">
        <f>IFERROR(__xludf.DUMMYFUNCTION("""COMPUTED_VALUE"""),50.0)</f>
        <v>50</v>
      </c>
      <c r="Q489" s="355"/>
    </row>
    <row r="490" ht="12.75" customHeight="1">
      <c r="G490" s="354" t="s">
        <v>1201</v>
      </c>
      <c r="H490" s="296">
        <v>50.0</v>
      </c>
      <c r="I490" s="353">
        <v>0.0024423602969910123</v>
      </c>
      <c r="K490" s="296"/>
      <c r="L490" s="354"/>
      <c r="M490" s="355"/>
      <c r="O490" s="367" t="str">
        <f>IFERROR(__xludf.DUMMYFUNCTION("""COMPUTED_VALUE"""),"Storm Port - Barrel 1★ #262")</f>
        <v>Storm Port - Barrel 1★ #262</v>
      </c>
      <c r="P490" s="296">
        <f>IFERROR(__xludf.DUMMYFUNCTION("""COMPUTED_VALUE"""),50.0)</f>
        <v>50</v>
      </c>
      <c r="Q490" s="355"/>
    </row>
    <row r="491" ht="12.75" customHeight="1">
      <c r="G491" s="354" t="s">
        <v>1202</v>
      </c>
      <c r="H491" s="296">
        <v>50.0</v>
      </c>
      <c r="I491" s="353">
        <v>0.0024423602969910123</v>
      </c>
      <c r="K491" s="296"/>
      <c r="L491" s="354"/>
      <c r="M491" s="355"/>
      <c r="O491" s="367" t="str">
        <f>IFERROR(__xludf.DUMMYFUNCTION("""COMPUTED_VALUE"""),"Storm Port - Barrel 1★ #D17")</f>
        <v>Storm Port - Barrel 1★ #D17</v>
      </c>
      <c r="P491" s="296">
        <f>IFERROR(__xludf.DUMMYFUNCTION("""COMPUTED_VALUE"""),50.0)</f>
        <v>50</v>
      </c>
      <c r="Q491" s="355"/>
    </row>
    <row r="492" ht="12.75" customHeight="1">
      <c r="G492" s="354" t="s">
        <v>1203</v>
      </c>
      <c r="H492" s="296">
        <v>50.0</v>
      </c>
      <c r="I492" s="353">
        <v>0.0024423602969910123</v>
      </c>
      <c r="K492" s="296"/>
      <c r="L492" s="354"/>
      <c r="M492" s="355"/>
      <c r="O492" s="367" t="str">
        <f>IFERROR(__xludf.DUMMYFUNCTION("""COMPUTED_VALUE"""),"Storm Port - Barrel 1★ #7CC")</f>
        <v>Storm Port - Barrel 1★ #7CC</v>
      </c>
      <c r="P492" s="296">
        <f>IFERROR(__xludf.DUMMYFUNCTION("""COMPUTED_VALUE"""),50.0)</f>
        <v>50</v>
      </c>
      <c r="Q492" s="355"/>
    </row>
    <row r="493" ht="12.75" customHeight="1">
      <c r="G493" s="354" t="s">
        <v>1204</v>
      </c>
      <c r="H493" s="296">
        <v>50.0</v>
      </c>
      <c r="I493" s="353">
        <v>0.0024423602969910123</v>
      </c>
      <c r="K493" s="296"/>
      <c r="L493" s="354"/>
      <c r="M493" s="355"/>
      <c r="O493" s="367" t="str">
        <f>IFERROR(__xludf.DUMMYFUNCTION("""COMPUTED_VALUE"""),"Storm Port - Barrel 1★ #281")</f>
        <v>Storm Port - Barrel 1★ #281</v>
      </c>
      <c r="P493" s="296">
        <f>IFERROR(__xludf.DUMMYFUNCTION("""COMPUTED_VALUE"""),50.0)</f>
        <v>50</v>
      </c>
      <c r="Q493" s="355"/>
    </row>
    <row r="494" ht="12.75" customHeight="1">
      <c r="G494" s="354" t="s">
        <v>1205</v>
      </c>
      <c r="H494" s="296">
        <v>50.0</v>
      </c>
      <c r="I494" s="353">
        <v>0.0024423602969910123</v>
      </c>
      <c r="K494" s="296"/>
      <c r="L494" s="354"/>
      <c r="M494" s="355"/>
      <c r="O494" s="367" t="str">
        <f>IFERROR(__xludf.DUMMYFUNCTION("""COMPUTED_VALUE"""),"Storm Port - Barrel 1★ #D36")</f>
        <v>Storm Port - Barrel 1★ #D36</v>
      </c>
      <c r="P494" s="296">
        <f>IFERROR(__xludf.DUMMYFUNCTION("""COMPUTED_VALUE"""),50.0)</f>
        <v>50</v>
      </c>
      <c r="Q494" s="355"/>
    </row>
    <row r="495" ht="12.75" customHeight="1">
      <c r="G495" s="354" t="s">
        <v>1206</v>
      </c>
      <c r="H495" s="296">
        <v>20.0</v>
      </c>
      <c r="I495" s="353">
        <v>9.769441187964048E-4</v>
      </c>
      <c r="K495" s="296"/>
      <c r="L495" s="354"/>
      <c r="M495" s="355"/>
      <c r="O495" s="367" t="str">
        <f>IFERROR(__xludf.DUMMYFUNCTION("""COMPUTED_VALUE"""),"Storm Port - Rope 2★ #7EB")</f>
        <v>Storm Port - Rope 2★ #7EB</v>
      </c>
      <c r="P495" s="296">
        <f>IFERROR(__xludf.DUMMYFUNCTION("""COMPUTED_VALUE"""),20.0)</f>
        <v>20</v>
      </c>
      <c r="Q495" s="355"/>
    </row>
    <row r="496" ht="12.75" customHeight="1">
      <c r="G496" s="354" t="s">
        <v>1207</v>
      </c>
      <c r="H496" s="296">
        <v>20.0</v>
      </c>
      <c r="I496" s="353">
        <v>9.769441187964048E-4</v>
      </c>
      <c r="K496" s="296"/>
      <c r="L496" s="354"/>
      <c r="M496" s="355"/>
      <c r="O496" s="367" t="str">
        <f>IFERROR(__xludf.DUMMYFUNCTION("""COMPUTED_VALUE"""),"Storm Port - Rope 2★ #2A0")</f>
        <v>Storm Port - Rope 2★ #2A0</v>
      </c>
      <c r="P496" s="296">
        <f>IFERROR(__xludf.DUMMYFUNCTION("""COMPUTED_VALUE"""),20.0)</f>
        <v>20</v>
      </c>
      <c r="Q496" s="355"/>
    </row>
    <row r="497" ht="12.75" customHeight="1">
      <c r="G497" s="354" t="s">
        <v>1208</v>
      </c>
      <c r="H497" s="296">
        <v>20.0</v>
      </c>
      <c r="I497" s="353">
        <v>9.769441187964048E-4</v>
      </c>
      <c r="K497" s="296"/>
      <c r="L497" s="354"/>
      <c r="M497" s="355"/>
      <c r="O497" s="367" t="str">
        <f>IFERROR(__xludf.DUMMYFUNCTION("""COMPUTED_VALUE"""),"Storm Port - Rope 2★ #D55")</f>
        <v>Storm Port - Rope 2★ #D55</v>
      </c>
      <c r="P497" s="296">
        <f>IFERROR(__xludf.DUMMYFUNCTION("""COMPUTED_VALUE"""),20.0)</f>
        <v>20</v>
      </c>
      <c r="Q497" s="355"/>
    </row>
    <row r="498" ht="12.75" customHeight="1">
      <c r="G498" s="354" t="s">
        <v>1209</v>
      </c>
      <c r="H498" s="296">
        <v>20.0</v>
      </c>
      <c r="I498" s="353">
        <v>9.769441187964048E-4</v>
      </c>
      <c r="K498" s="296"/>
      <c r="L498" s="354"/>
      <c r="M498" s="355"/>
      <c r="O498" s="367" t="str">
        <f>IFERROR(__xludf.DUMMYFUNCTION("""COMPUTED_VALUE"""),"Storm Port - Rope 2★ #80A")</f>
        <v>Storm Port - Rope 2★ #80A</v>
      </c>
      <c r="P498" s="296">
        <f>IFERROR(__xludf.DUMMYFUNCTION("""COMPUTED_VALUE"""),20.0)</f>
        <v>20</v>
      </c>
      <c r="Q498" s="355"/>
    </row>
    <row r="499" ht="12.75" customHeight="1">
      <c r="G499" s="354" t="s">
        <v>1210</v>
      </c>
      <c r="H499" s="296">
        <v>20.0</v>
      </c>
      <c r="I499" s="353">
        <v>9.769441187964048E-4</v>
      </c>
      <c r="K499" s="296"/>
      <c r="L499" s="354"/>
      <c r="M499" s="355"/>
      <c r="O499" s="367" t="str">
        <f>IFERROR(__xludf.DUMMYFUNCTION("""COMPUTED_VALUE"""),"Storm Port - Rope 2★ #2BF")</f>
        <v>Storm Port - Rope 2★ #2BF</v>
      </c>
      <c r="P499" s="296">
        <f>IFERROR(__xludf.DUMMYFUNCTION("""COMPUTED_VALUE"""),20.0)</f>
        <v>20</v>
      </c>
      <c r="Q499" s="355"/>
    </row>
    <row r="500" ht="12.75" customHeight="1">
      <c r="G500" s="354" t="s">
        <v>1211</v>
      </c>
      <c r="H500" s="296">
        <v>20.0</v>
      </c>
      <c r="I500" s="353">
        <v>9.769441187964048E-4</v>
      </c>
      <c r="K500" s="296"/>
      <c r="L500" s="354"/>
      <c r="M500" s="355"/>
      <c r="O500" s="367" t="str">
        <f>IFERROR(__xludf.DUMMYFUNCTION("""COMPUTED_VALUE"""),"Storm Port - Rope 2★ #D74")</f>
        <v>Storm Port - Rope 2★ #D74</v>
      </c>
      <c r="P500" s="296">
        <f>IFERROR(__xludf.DUMMYFUNCTION("""COMPUTED_VALUE"""),20.0)</f>
        <v>20</v>
      </c>
      <c r="Q500" s="355"/>
    </row>
    <row r="501" ht="12.75" customHeight="1">
      <c r="G501" s="354" t="s">
        <v>1212</v>
      </c>
      <c r="H501" s="296">
        <v>20.0</v>
      </c>
      <c r="I501" s="353">
        <v>9.769441187964048E-4</v>
      </c>
      <c r="K501" s="296"/>
      <c r="L501" s="354"/>
      <c r="M501" s="355"/>
      <c r="O501" s="367" t="str">
        <f>IFERROR(__xludf.DUMMYFUNCTION("""COMPUTED_VALUE"""),"Storm Port - Rope 2★ #829")</f>
        <v>Storm Port - Rope 2★ #829</v>
      </c>
      <c r="P501" s="296">
        <f>IFERROR(__xludf.DUMMYFUNCTION("""COMPUTED_VALUE"""),20.0)</f>
        <v>20</v>
      </c>
      <c r="Q501" s="355"/>
    </row>
    <row r="502" ht="12.75" customHeight="1">
      <c r="G502" s="354" t="s">
        <v>1213</v>
      </c>
      <c r="H502" s="296">
        <v>20.0</v>
      </c>
      <c r="I502" s="353">
        <v>9.769441187964048E-4</v>
      </c>
      <c r="K502" s="296"/>
      <c r="L502" s="354"/>
      <c r="M502" s="355"/>
      <c r="O502" s="367" t="str">
        <f>IFERROR(__xludf.DUMMYFUNCTION("""COMPUTED_VALUE"""),"Storm Port - Rope 2★ #2DE")</f>
        <v>Storm Port - Rope 2★ #2DE</v>
      </c>
      <c r="P502" s="296">
        <f>IFERROR(__xludf.DUMMYFUNCTION("""COMPUTED_VALUE"""),20.0)</f>
        <v>20</v>
      </c>
      <c r="Q502" s="355"/>
    </row>
    <row r="503" ht="12.75" customHeight="1">
      <c r="G503" s="354" t="s">
        <v>1214</v>
      </c>
      <c r="H503" s="296">
        <v>20.0</v>
      </c>
      <c r="I503" s="353">
        <v>9.769441187964048E-4</v>
      </c>
      <c r="K503" s="296"/>
      <c r="L503" s="354"/>
      <c r="M503" s="355"/>
      <c r="O503" s="367" t="str">
        <f>IFERROR(__xludf.DUMMYFUNCTION("""COMPUTED_VALUE"""),"Storm Port - Rope 2★ #D93")</f>
        <v>Storm Port - Rope 2★ #D93</v>
      </c>
      <c r="P503" s="296">
        <f>IFERROR(__xludf.DUMMYFUNCTION("""COMPUTED_VALUE"""),20.0)</f>
        <v>20</v>
      </c>
      <c r="Q503" s="355"/>
    </row>
    <row r="504" ht="12.75" customHeight="1">
      <c r="G504" s="354" t="s">
        <v>1215</v>
      </c>
      <c r="H504" s="296">
        <v>20.0</v>
      </c>
      <c r="I504" s="353">
        <v>9.769441187964048E-4</v>
      </c>
      <c r="K504" s="296"/>
      <c r="L504" s="354"/>
      <c r="M504" s="355"/>
      <c r="O504" s="367" t="str">
        <f>IFERROR(__xludf.DUMMYFUNCTION("""COMPUTED_VALUE"""),"Storm Port - Rope 2★ #848")</f>
        <v>Storm Port - Rope 2★ #848</v>
      </c>
      <c r="P504" s="296">
        <f>IFERROR(__xludf.DUMMYFUNCTION("""COMPUTED_VALUE"""),20.0)</f>
        <v>20</v>
      </c>
      <c r="Q504" s="355"/>
    </row>
    <row r="505" ht="12.75" customHeight="1">
      <c r="G505" s="354" t="s">
        <v>1216</v>
      </c>
      <c r="H505" s="296">
        <v>20.0</v>
      </c>
      <c r="I505" s="353">
        <v>9.769441187964048E-4</v>
      </c>
      <c r="K505" s="296"/>
      <c r="L505" s="354"/>
      <c r="M505" s="355"/>
      <c r="O505" s="367" t="str">
        <f>IFERROR(__xludf.DUMMYFUNCTION("""COMPUTED_VALUE"""),"Storm Port - Rope 2★ #2FD")</f>
        <v>Storm Port - Rope 2★ #2FD</v>
      </c>
      <c r="P505" s="296">
        <f>IFERROR(__xludf.DUMMYFUNCTION("""COMPUTED_VALUE"""),20.0)</f>
        <v>20</v>
      </c>
      <c r="Q505" s="355"/>
    </row>
    <row r="506" ht="12.75" customHeight="1">
      <c r="G506" s="354" t="s">
        <v>1217</v>
      </c>
      <c r="H506" s="296">
        <v>20.0</v>
      </c>
      <c r="I506" s="353">
        <v>9.769441187964048E-4</v>
      </c>
      <c r="K506" s="296"/>
      <c r="L506" s="354"/>
      <c r="M506" s="355"/>
      <c r="O506" s="367" t="str">
        <f>IFERROR(__xludf.DUMMYFUNCTION("""COMPUTED_VALUE"""),"Storm Port - Rope 2★ #DB2")</f>
        <v>Storm Port - Rope 2★ #DB2</v>
      </c>
      <c r="P506" s="296">
        <f>IFERROR(__xludf.DUMMYFUNCTION("""COMPUTED_VALUE"""),20.0)</f>
        <v>20</v>
      </c>
      <c r="Q506" s="355"/>
    </row>
    <row r="507" ht="12.75" customHeight="1">
      <c r="G507" s="354" t="s">
        <v>1218</v>
      </c>
      <c r="H507" s="296">
        <v>20.0</v>
      </c>
      <c r="I507" s="353">
        <v>9.769441187964048E-4</v>
      </c>
      <c r="K507" s="296"/>
      <c r="L507" s="354"/>
      <c r="M507" s="355"/>
      <c r="O507" s="367" t="str">
        <f>IFERROR(__xludf.DUMMYFUNCTION("""COMPUTED_VALUE"""),"Storm Port - Rope 2★ #867")</f>
        <v>Storm Port - Rope 2★ #867</v>
      </c>
      <c r="P507" s="296">
        <f>IFERROR(__xludf.DUMMYFUNCTION("""COMPUTED_VALUE"""),20.0)</f>
        <v>20</v>
      </c>
      <c r="Q507" s="355"/>
    </row>
    <row r="508" ht="12.75" customHeight="1">
      <c r="G508" s="354" t="s">
        <v>1219</v>
      </c>
      <c r="H508" s="296">
        <v>20.0</v>
      </c>
      <c r="I508" s="353">
        <v>9.769441187964048E-4</v>
      </c>
      <c r="K508" s="296"/>
      <c r="L508" s="354"/>
      <c r="M508" s="355"/>
      <c r="O508" s="367" t="str">
        <f>IFERROR(__xludf.DUMMYFUNCTION("""COMPUTED_VALUE"""),"Storm Port - Cleat 2★ #31C")</f>
        <v>Storm Port - Cleat 2★ #31C</v>
      </c>
      <c r="P508" s="296">
        <f>IFERROR(__xludf.DUMMYFUNCTION("""COMPUTED_VALUE"""),20.0)</f>
        <v>20</v>
      </c>
      <c r="Q508" s="355"/>
    </row>
    <row r="509" ht="12.75" customHeight="1">
      <c r="G509" s="354" t="s">
        <v>1220</v>
      </c>
      <c r="H509" s="296">
        <v>20.0</v>
      </c>
      <c r="I509" s="353">
        <v>9.769441187964048E-4</v>
      </c>
      <c r="K509" s="296"/>
      <c r="L509" s="354"/>
      <c r="M509" s="355"/>
      <c r="O509" s="367" t="str">
        <f>IFERROR(__xludf.DUMMYFUNCTION("""COMPUTED_VALUE"""),"Storm Port - Cleat 2★ #DD1")</f>
        <v>Storm Port - Cleat 2★ #DD1</v>
      </c>
      <c r="P509" s="296">
        <f>IFERROR(__xludf.DUMMYFUNCTION("""COMPUTED_VALUE"""),20.0)</f>
        <v>20</v>
      </c>
      <c r="Q509" s="355"/>
    </row>
    <row r="510" ht="12.75" customHeight="1">
      <c r="G510" s="354" t="s">
        <v>1221</v>
      </c>
      <c r="H510" s="296">
        <v>20.0</v>
      </c>
      <c r="I510" s="353">
        <v>9.769441187964048E-4</v>
      </c>
      <c r="K510" s="296"/>
      <c r="L510" s="354"/>
      <c r="M510" s="355"/>
      <c r="O510" s="367" t="str">
        <f>IFERROR(__xludf.DUMMYFUNCTION("""COMPUTED_VALUE"""),"Storm Port - Cleat 2★ #886")</f>
        <v>Storm Port - Cleat 2★ #886</v>
      </c>
      <c r="P510" s="296">
        <f>IFERROR(__xludf.DUMMYFUNCTION("""COMPUTED_VALUE"""),20.0)</f>
        <v>20</v>
      </c>
      <c r="Q510" s="355"/>
    </row>
    <row r="511" ht="12.75" customHeight="1">
      <c r="G511" s="354" t="s">
        <v>1222</v>
      </c>
      <c r="H511" s="296">
        <v>20.0</v>
      </c>
      <c r="I511" s="353">
        <v>9.769441187964048E-4</v>
      </c>
      <c r="K511" s="296"/>
      <c r="L511" s="354"/>
      <c r="M511" s="355"/>
      <c r="O511" s="367" t="str">
        <f>IFERROR(__xludf.DUMMYFUNCTION("""COMPUTED_VALUE"""),"Storm Port - Cleat 2★ #33B")</f>
        <v>Storm Port - Cleat 2★ #33B</v>
      </c>
      <c r="P511" s="296">
        <f>IFERROR(__xludf.DUMMYFUNCTION("""COMPUTED_VALUE"""),20.0)</f>
        <v>20</v>
      </c>
      <c r="Q511" s="355"/>
    </row>
    <row r="512" ht="12.75" customHeight="1">
      <c r="G512" s="354" t="s">
        <v>1223</v>
      </c>
      <c r="H512" s="296">
        <v>20.0</v>
      </c>
      <c r="I512" s="353">
        <v>9.769441187964048E-4</v>
      </c>
      <c r="K512" s="296"/>
      <c r="L512" s="354"/>
      <c r="M512" s="355"/>
      <c r="O512" s="367" t="str">
        <f>IFERROR(__xludf.DUMMYFUNCTION("""COMPUTED_VALUE"""),"Storm Port - Cleat 2★ #DF0")</f>
        <v>Storm Port - Cleat 2★ #DF0</v>
      </c>
      <c r="P512" s="296">
        <f>IFERROR(__xludf.DUMMYFUNCTION("""COMPUTED_VALUE"""),20.0)</f>
        <v>20</v>
      </c>
      <c r="Q512" s="355"/>
    </row>
    <row r="513" ht="12.75" customHeight="1">
      <c r="G513" s="354" t="s">
        <v>1224</v>
      </c>
      <c r="H513" s="296">
        <v>20.0</v>
      </c>
      <c r="I513" s="353">
        <v>9.769441187964048E-4</v>
      </c>
      <c r="K513" s="296"/>
      <c r="L513" s="354"/>
      <c r="M513" s="355"/>
      <c r="O513" s="367" t="str">
        <f>IFERROR(__xludf.DUMMYFUNCTION("""COMPUTED_VALUE"""),"Storm Port - Cleat 2★ #8A5")</f>
        <v>Storm Port - Cleat 2★ #8A5</v>
      </c>
      <c r="P513" s="296">
        <f>IFERROR(__xludf.DUMMYFUNCTION("""COMPUTED_VALUE"""),20.0)</f>
        <v>20</v>
      </c>
      <c r="Q513" s="355"/>
    </row>
    <row r="514" ht="12.75" customHeight="1">
      <c r="G514" s="354" t="s">
        <v>1225</v>
      </c>
      <c r="H514" s="296">
        <v>20.0</v>
      </c>
      <c r="I514" s="353">
        <v>9.769441187964048E-4</v>
      </c>
      <c r="K514" s="296"/>
      <c r="L514" s="354"/>
      <c r="M514" s="355"/>
      <c r="O514" s="367" t="str">
        <f>IFERROR(__xludf.DUMMYFUNCTION("""COMPUTED_VALUE"""),"Storm Port - Cleat 2★ #35A")</f>
        <v>Storm Port - Cleat 2★ #35A</v>
      </c>
      <c r="P514" s="296">
        <f>IFERROR(__xludf.DUMMYFUNCTION("""COMPUTED_VALUE"""),20.0)</f>
        <v>20</v>
      </c>
      <c r="Q514" s="355"/>
    </row>
    <row r="515" ht="12.75" customHeight="1">
      <c r="G515" s="354" t="s">
        <v>1226</v>
      </c>
      <c r="H515" s="296">
        <v>20.0</v>
      </c>
      <c r="I515" s="353">
        <v>9.769441187964048E-4</v>
      </c>
      <c r="K515" s="296"/>
      <c r="L515" s="354"/>
      <c r="M515" s="355"/>
      <c r="O515" s="367" t="str">
        <f>IFERROR(__xludf.DUMMYFUNCTION("""COMPUTED_VALUE"""),"Storm Port - Cleat 2★ #E0F")</f>
        <v>Storm Port - Cleat 2★ #E0F</v>
      </c>
      <c r="P515" s="296">
        <f>IFERROR(__xludf.DUMMYFUNCTION("""COMPUTED_VALUE"""),20.0)</f>
        <v>20</v>
      </c>
      <c r="Q515" s="355"/>
    </row>
    <row r="516" ht="12.75" customHeight="1">
      <c r="G516" s="354" t="s">
        <v>1227</v>
      </c>
      <c r="H516" s="296">
        <v>20.0</v>
      </c>
      <c r="I516" s="353">
        <v>9.769441187964048E-4</v>
      </c>
      <c r="K516" s="296"/>
      <c r="L516" s="354"/>
      <c r="M516" s="355"/>
      <c r="O516" s="367" t="str">
        <f>IFERROR(__xludf.DUMMYFUNCTION("""COMPUTED_VALUE"""),"Storm Port - Cleat 2★ #8C4")</f>
        <v>Storm Port - Cleat 2★ #8C4</v>
      </c>
      <c r="P516" s="296">
        <f>IFERROR(__xludf.DUMMYFUNCTION("""COMPUTED_VALUE"""),20.0)</f>
        <v>20</v>
      </c>
      <c r="Q516" s="355"/>
    </row>
    <row r="517" ht="12.75" customHeight="1">
      <c r="G517" s="354" t="s">
        <v>1228</v>
      </c>
      <c r="H517" s="296">
        <v>20.0</v>
      </c>
      <c r="I517" s="353">
        <v>9.769441187964048E-4</v>
      </c>
      <c r="K517" s="296"/>
      <c r="L517" s="354"/>
      <c r="M517" s="355"/>
      <c r="O517" s="367" t="str">
        <f>IFERROR(__xludf.DUMMYFUNCTION("""COMPUTED_VALUE"""),"Storm Port - Cleat 2★ #379")</f>
        <v>Storm Port - Cleat 2★ #379</v>
      </c>
      <c r="P517" s="296">
        <f>IFERROR(__xludf.DUMMYFUNCTION("""COMPUTED_VALUE"""),20.0)</f>
        <v>20</v>
      </c>
      <c r="Q517" s="355"/>
    </row>
    <row r="518" ht="12.75" customHeight="1">
      <c r="G518" s="354" t="s">
        <v>1229</v>
      </c>
      <c r="H518" s="296">
        <v>20.0</v>
      </c>
      <c r="I518" s="353">
        <v>9.769441187964048E-4</v>
      </c>
      <c r="K518" s="296"/>
      <c r="L518" s="354"/>
      <c r="M518" s="355"/>
      <c r="O518" s="367" t="str">
        <f>IFERROR(__xludf.DUMMYFUNCTION("""COMPUTED_VALUE"""),"Storm Port - Cleat 2★ #E2E")</f>
        <v>Storm Port - Cleat 2★ #E2E</v>
      </c>
      <c r="P518" s="296">
        <f>IFERROR(__xludf.DUMMYFUNCTION("""COMPUTED_VALUE"""),20.0)</f>
        <v>20</v>
      </c>
      <c r="Q518" s="355"/>
    </row>
    <row r="519" ht="12.75" customHeight="1">
      <c r="G519" s="354" t="s">
        <v>1230</v>
      </c>
      <c r="H519" s="296">
        <v>20.0</v>
      </c>
      <c r="I519" s="353">
        <v>9.769441187964048E-4</v>
      </c>
      <c r="K519" s="296"/>
      <c r="L519" s="354"/>
      <c r="M519" s="355"/>
      <c r="O519" s="367" t="str">
        <f>IFERROR(__xludf.DUMMYFUNCTION("""COMPUTED_VALUE"""),"Storm Port - Cleat 2★ #8E3")</f>
        <v>Storm Port - Cleat 2★ #8E3</v>
      </c>
      <c r="P519" s="296">
        <f>IFERROR(__xludf.DUMMYFUNCTION("""COMPUTED_VALUE"""),20.0)</f>
        <v>20</v>
      </c>
      <c r="Q519" s="355"/>
    </row>
    <row r="520" ht="12.75" customHeight="1">
      <c r="G520" s="354" t="s">
        <v>1231</v>
      </c>
      <c r="H520" s="296">
        <v>20.0</v>
      </c>
      <c r="I520" s="353">
        <v>9.769441187964048E-4</v>
      </c>
      <c r="K520" s="296"/>
      <c r="L520" s="354"/>
      <c r="M520" s="355"/>
      <c r="O520" s="367" t="str">
        <f>IFERROR(__xludf.DUMMYFUNCTION("""COMPUTED_VALUE"""),"Storm Port - Cleat 2★ #398")</f>
        <v>Storm Port - Cleat 2★ #398</v>
      </c>
      <c r="P520" s="296">
        <f>IFERROR(__xludf.DUMMYFUNCTION("""COMPUTED_VALUE"""),20.0)</f>
        <v>20</v>
      </c>
      <c r="Q520" s="355"/>
    </row>
    <row r="521" ht="12.75" customHeight="1">
      <c r="G521" s="354" t="s">
        <v>1232</v>
      </c>
      <c r="H521" s="296">
        <v>10.0</v>
      </c>
      <c r="I521" s="353">
        <v>4.884720593982024E-4</v>
      </c>
      <c r="K521" s="296"/>
      <c r="L521" s="354"/>
      <c r="M521" s="355"/>
      <c r="O521" s="367" t="str">
        <f>IFERROR(__xludf.DUMMYFUNCTION("""COMPUTED_VALUE"""),"Storm Port - Flare 3★ #E4D")</f>
        <v>Storm Port - Flare 3★ #E4D</v>
      </c>
      <c r="P521" s="296">
        <f>IFERROR(__xludf.DUMMYFUNCTION("""COMPUTED_VALUE"""),10.0)</f>
        <v>10</v>
      </c>
      <c r="Q521" s="355"/>
    </row>
    <row r="522" ht="12.75" customHeight="1">
      <c r="G522" s="354" t="s">
        <v>1233</v>
      </c>
      <c r="H522" s="296">
        <v>10.0</v>
      </c>
      <c r="I522" s="353">
        <v>4.884720593982024E-4</v>
      </c>
      <c r="K522" s="296"/>
      <c r="L522" s="354"/>
      <c r="M522" s="355"/>
      <c r="O522" s="367" t="str">
        <f>IFERROR(__xludf.DUMMYFUNCTION("""COMPUTED_VALUE"""),"Storm Port - Flare 3★ #902")</f>
        <v>Storm Port - Flare 3★ #902</v>
      </c>
      <c r="P522" s="296">
        <f>IFERROR(__xludf.DUMMYFUNCTION("""COMPUTED_VALUE"""),10.0)</f>
        <v>10</v>
      </c>
      <c r="Q522" s="355"/>
    </row>
    <row r="523" ht="12.75" customHeight="1">
      <c r="G523" s="354" t="s">
        <v>1234</v>
      </c>
      <c r="H523" s="296">
        <v>10.0</v>
      </c>
      <c r="I523" s="353">
        <v>4.884720593982024E-4</v>
      </c>
      <c r="K523" s="296"/>
      <c r="L523" s="354"/>
      <c r="M523" s="355"/>
      <c r="O523" s="367" t="str">
        <f>IFERROR(__xludf.DUMMYFUNCTION("""COMPUTED_VALUE"""),"Storm Port - Flare 3★ #3B7")</f>
        <v>Storm Port - Flare 3★ #3B7</v>
      </c>
      <c r="P523" s="296">
        <f>IFERROR(__xludf.DUMMYFUNCTION("""COMPUTED_VALUE"""),10.0)</f>
        <v>10</v>
      </c>
      <c r="Q523" s="355"/>
    </row>
    <row r="524" ht="12.75" customHeight="1">
      <c r="G524" s="354" t="s">
        <v>1235</v>
      </c>
      <c r="H524" s="296">
        <v>10.0</v>
      </c>
      <c r="I524" s="353">
        <v>4.884720593982024E-4</v>
      </c>
      <c r="K524" s="296"/>
      <c r="L524" s="354"/>
      <c r="M524" s="355"/>
      <c r="O524" s="367" t="str">
        <f>IFERROR(__xludf.DUMMYFUNCTION("""COMPUTED_VALUE"""),"Storm Port - Flare 3★ #E6C")</f>
        <v>Storm Port - Flare 3★ #E6C</v>
      </c>
      <c r="P524" s="296">
        <f>IFERROR(__xludf.DUMMYFUNCTION("""COMPUTED_VALUE"""),10.0)</f>
        <v>10</v>
      </c>
      <c r="Q524" s="355"/>
    </row>
    <row r="525" ht="12.75" customHeight="1">
      <c r="G525" s="354" t="s">
        <v>1236</v>
      </c>
      <c r="H525" s="296">
        <v>10.0</v>
      </c>
      <c r="I525" s="353">
        <v>4.884720593982024E-4</v>
      </c>
      <c r="K525" s="296"/>
      <c r="L525" s="354"/>
      <c r="M525" s="355"/>
      <c r="O525" s="367" t="str">
        <f>IFERROR(__xludf.DUMMYFUNCTION("""COMPUTED_VALUE"""),"Storm Port - Flare 3★ #921")</f>
        <v>Storm Port - Flare 3★ #921</v>
      </c>
      <c r="P525" s="296">
        <f>IFERROR(__xludf.DUMMYFUNCTION("""COMPUTED_VALUE"""),10.0)</f>
        <v>10</v>
      </c>
      <c r="Q525" s="355"/>
    </row>
    <row r="526" ht="12.75" customHeight="1">
      <c r="G526" s="354" t="s">
        <v>1237</v>
      </c>
      <c r="H526" s="296">
        <v>10.0</v>
      </c>
      <c r="I526" s="353">
        <v>4.884720593982024E-4</v>
      </c>
      <c r="K526" s="296"/>
      <c r="L526" s="354"/>
      <c r="M526" s="355"/>
      <c r="O526" s="367" t="str">
        <f>IFERROR(__xludf.DUMMYFUNCTION("""COMPUTED_VALUE"""),"Storm Port - Flare 3★ #3D6")</f>
        <v>Storm Port - Flare 3★ #3D6</v>
      </c>
      <c r="P526" s="296">
        <f>IFERROR(__xludf.DUMMYFUNCTION("""COMPUTED_VALUE"""),10.0)</f>
        <v>10</v>
      </c>
      <c r="Q526" s="355"/>
    </row>
    <row r="527" ht="12.75" customHeight="1">
      <c r="G527" s="354" t="s">
        <v>1238</v>
      </c>
      <c r="H527" s="296">
        <v>10.0</v>
      </c>
      <c r="I527" s="353">
        <v>4.884720593982024E-4</v>
      </c>
      <c r="K527" s="296"/>
      <c r="L527" s="354"/>
      <c r="M527" s="355"/>
      <c r="O527" s="367" t="str">
        <f>IFERROR(__xludf.DUMMYFUNCTION("""COMPUTED_VALUE"""),"Storm Port - Flare 3★ #E8B")</f>
        <v>Storm Port - Flare 3★ #E8B</v>
      </c>
      <c r="P527" s="296">
        <f>IFERROR(__xludf.DUMMYFUNCTION("""COMPUTED_VALUE"""),10.0)</f>
        <v>10</v>
      </c>
      <c r="Q527" s="355"/>
    </row>
    <row r="528" ht="12.75" customHeight="1">
      <c r="G528" s="354" t="s">
        <v>1239</v>
      </c>
      <c r="H528" s="296">
        <v>10.0</v>
      </c>
      <c r="I528" s="353">
        <v>4.884720593982024E-4</v>
      </c>
      <c r="K528" s="296"/>
      <c r="L528" s="354"/>
      <c r="M528" s="355"/>
      <c r="O528" s="367" t="str">
        <f>IFERROR(__xludf.DUMMYFUNCTION("""COMPUTED_VALUE"""),"Storm Port - Flare 3★ #940")</f>
        <v>Storm Port - Flare 3★ #940</v>
      </c>
      <c r="P528" s="296">
        <f>IFERROR(__xludf.DUMMYFUNCTION("""COMPUTED_VALUE"""),10.0)</f>
        <v>10</v>
      </c>
      <c r="Q528" s="355"/>
    </row>
    <row r="529" ht="12.75" customHeight="1">
      <c r="G529" s="354" t="s">
        <v>1240</v>
      </c>
      <c r="H529" s="296">
        <v>10.0</v>
      </c>
      <c r="I529" s="353">
        <v>4.884720593982024E-4</v>
      </c>
      <c r="K529" s="296"/>
      <c r="L529" s="354"/>
      <c r="M529" s="355"/>
      <c r="O529" s="367" t="str">
        <f>IFERROR(__xludf.DUMMYFUNCTION("""COMPUTED_VALUE"""),"Storm Port - Flare 3★ #3F5")</f>
        <v>Storm Port - Flare 3★ #3F5</v>
      </c>
      <c r="P529" s="296">
        <f>IFERROR(__xludf.DUMMYFUNCTION("""COMPUTED_VALUE"""),10.0)</f>
        <v>10</v>
      </c>
      <c r="Q529" s="355"/>
    </row>
    <row r="530" ht="12.75" customHeight="1">
      <c r="G530" s="354" t="s">
        <v>1241</v>
      </c>
      <c r="H530" s="296">
        <v>10.0</v>
      </c>
      <c r="I530" s="353">
        <v>4.884720593982024E-4</v>
      </c>
      <c r="K530" s="296"/>
      <c r="L530" s="354"/>
      <c r="M530" s="355"/>
      <c r="O530" s="367" t="str">
        <f>IFERROR(__xludf.DUMMYFUNCTION("""COMPUTED_VALUE"""),"Storm Port - Flare 3★ #EAA")</f>
        <v>Storm Port - Flare 3★ #EAA</v>
      </c>
      <c r="P530" s="296">
        <f>IFERROR(__xludf.DUMMYFUNCTION("""COMPUTED_VALUE"""),10.0)</f>
        <v>10</v>
      </c>
      <c r="Q530" s="355"/>
    </row>
    <row r="531" ht="12.75" customHeight="1">
      <c r="G531" s="354" t="s">
        <v>1242</v>
      </c>
      <c r="H531" s="296">
        <v>10.0</v>
      </c>
      <c r="I531" s="353">
        <v>4.884720593982024E-4</v>
      </c>
      <c r="K531" s="296"/>
      <c r="L531" s="354"/>
      <c r="M531" s="355"/>
      <c r="O531" s="367" t="str">
        <f>IFERROR(__xludf.DUMMYFUNCTION("""COMPUTED_VALUE"""),"Storm Port - Flare 3★ #95F")</f>
        <v>Storm Port - Flare 3★ #95F</v>
      </c>
      <c r="P531" s="296">
        <f>IFERROR(__xludf.DUMMYFUNCTION("""COMPUTED_VALUE"""),10.0)</f>
        <v>10</v>
      </c>
      <c r="Q531" s="355"/>
    </row>
    <row r="532" ht="12.75" customHeight="1">
      <c r="G532" s="354" t="s">
        <v>1243</v>
      </c>
      <c r="H532" s="296">
        <v>10.0</v>
      </c>
      <c r="I532" s="353">
        <v>4.884720593982024E-4</v>
      </c>
      <c r="K532" s="296"/>
      <c r="L532" s="354"/>
      <c r="M532" s="355"/>
      <c r="O532" s="367" t="str">
        <f>IFERROR(__xludf.DUMMYFUNCTION("""COMPUTED_VALUE"""),"Storm Port - Flare 3★ #414")</f>
        <v>Storm Port - Flare 3★ #414</v>
      </c>
      <c r="P532" s="296">
        <f>IFERROR(__xludf.DUMMYFUNCTION("""COMPUTED_VALUE"""),10.0)</f>
        <v>10</v>
      </c>
      <c r="Q532" s="355"/>
    </row>
    <row r="533" ht="12.75" customHeight="1">
      <c r="G533" s="354" t="s">
        <v>1244</v>
      </c>
      <c r="H533" s="296">
        <v>10.0</v>
      </c>
      <c r="I533" s="353">
        <v>4.884720593982024E-4</v>
      </c>
      <c r="K533" s="296"/>
      <c r="L533" s="354"/>
      <c r="M533" s="355"/>
      <c r="O533" s="367" t="str">
        <f>IFERROR(__xludf.DUMMYFUNCTION("""COMPUTED_VALUE"""),"Storm Port - Flare 3★ #EC9")</f>
        <v>Storm Port - Flare 3★ #EC9</v>
      </c>
      <c r="P533" s="296">
        <f>IFERROR(__xludf.DUMMYFUNCTION("""COMPUTED_VALUE"""),10.0)</f>
        <v>10</v>
      </c>
      <c r="Q533" s="355"/>
    </row>
    <row r="534" ht="12.75" customHeight="1">
      <c r="G534" s="354" t="s">
        <v>1245</v>
      </c>
      <c r="H534" s="296">
        <v>5.0</v>
      </c>
      <c r="I534" s="353">
        <v>2.442360296991012E-4</v>
      </c>
      <c r="K534" s="296"/>
      <c r="L534" s="354"/>
      <c r="M534" s="355"/>
      <c r="O534" s="367" t="str">
        <f>IFERROR(__xludf.DUMMYFUNCTION("""COMPUTED_VALUE"""),"Storm Port - Bucket 4★ #97E")</f>
        <v>Storm Port - Bucket 4★ #97E</v>
      </c>
      <c r="P534" s="296">
        <f>IFERROR(__xludf.DUMMYFUNCTION("""COMPUTED_VALUE"""),5.0)</f>
        <v>5</v>
      </c>
      <c r="Q534" s="355"/>
    </row>
    <row r="535" ht="12.75" customHeight="1">
      <c r="G535" s="354" t="s">
        <v>1246</v>
      </c>
      <c r="H535" s="296">
        <v>5.0</v>
      </c>
      <c r="I535" s="353">
        <v>2.442360296991012E-4</v>
      </c>
      <c r="K535" s="296"/>
      <c r="L535" s="354"/>
      <c r="M535" s="355"/>
      <c r="O535" s="367" t="str">
        <f>IFERROR(__xludf.DUMMYFUNCTION("""COMPUTED_VALUE"""),"Storm Port - Bucket 4★ #433")</f>
        <v>Storm Port - Bucket 4★ #433</v>
      </c>
      <c r="P535" s="296">
        <f>IFERROR(__xludf.DUMMYFUNCTION("""COMPUTED_VALUE"""),5.0)</f>
        <v>5</v>
      </c>
      <c r="Q535" s="355"/>
    </row>
    <row r="536" ht="12.75" customHeight="1">
      <c r="G536" s="354" t="s">
        <v>1247</v>
      </c>
      <c r="H536" s="296">
        <v>5.0</v>
      </c>
      <c r="I536" s="353">
        <v>2.442360296991012E-4</v>
      </c>
      <c r="K536" s="296"/>
      <c r="L536" s="354"/>
      <c r="M536" s="355"/>
      <c r="O536" s="367" t="str">
        <f>IFERROR(__xludf.DUMMYFUNCTION("""COMPUTED_VALUE"""),"Storm Port - Bucket 4★ #EE8")</f>
        <v>Storm Port - Bucket 4★ #EE8</v>
      </c>
      <c r="P536" s="296">
        <f>IFERROR(__xludf.DUMMYFUNCTION("""COMPUTED_VALUE"""),5.0)</f>
        <v>5</v>
      </c>
      <c r="Q536" s="355"/>
    </row>
    <row r="537" ht="12.75" customHeight="1">
      <c r="G537" s="354" t="s">
        <v>1248</v>
      </c>
      <c r="H537" s="296">
        <v>5.0</v>
      </c>
      <c r="I537" s="353">
        <v>2.442360296991012E-4</v>
      </c>
      <c r="K537" s="296"/>
      <c r="L537" s="354"/>
      <c r="M537" s="355"/>
      <c r="O537" s="367" t="str">
        <f>IFERROR(__xludf.DUMMYFUNCTION("""COMPUTED_VALUE"""),"Storm Port - Bucket 4★ #99D")</f>
        <v>Storm Port - Bucket 4★ #99D</v>
      </c>
      <c r="P537" s="296">
        <f>IFERROR(__xludf.DUMMYFUNCTION("""COMPUTED_VALUE"""),5.0)</f>
        <v>5</v>
      </c>
      <c r="Q537" s="355"/>
    </row>
    <row r="538" ht="12.75" customHeight="1">
      <c r="G538" s="354" t="s">
        <v>1249</v>
      </c>
      <c r="H538" s="296">
        <v>5.0</v>
      </c>
      <c r="I538" s="353">
        <v>2.442360296991012E-4</v>
      </c>
      <c r="K538" s="296"/>
      <c r="L538" s="354"/>
      <c r="M538" s="355"/>
      <c r="O538" s="367" t="str">
        <f>IFERROR(__xludf.DUMMYFUNCTION("""COMPUTED_VALUE"""),"Storm Port - Bucket 4★ #452")</f>
        <v>Storm Port - Bucket 4★ #452</v>
      </c>
      <c r="P538" s="296">
        <f>IFERROR(__xludf.DUMMYFUNCTION("""COMPUTED_VALUE"""),5.0)</f>
        <v>5</v>
      </c>
      <c r="Q538" s="355"/>
    </row>
    <row r="539" ht="12.75" customHeight="1">
      <c r="G539" s="354" t="s">
        <v>1250</v>
      </c>
      <c r="H539" s="296">
        <v>5.0</v>
      </c>
      <c r="I539" s="353">
        <v>2.442360296991012E-4</v>
      </c>
      <c r="K539" s="296"/>
      <c r="L539" s="354"/>
      <c r="M539" s="355"/>
      <c r="O539" s="367" t="str">
        <f>IFERROR(__xludf.DUMMYFUNCTION("""COMPUTED_VALUE"""),"Storm Port - Bucket 4★ #F07")</f>
        <v>Storm Port - Bucket 4★ #F07</v>
      </c>
      <c r="P539" s="296">
        <f>IFERROR(__xludf.DUMMYFUNCTION("""COMPUTED_VALUE"""),5.0)</f>
        <v>5</v>
      </c>
      <c r="Q539" s="355"/>
    </row>
    <row r="540" ht="12.75" customHeight="1">
      <c r="G540" s="354" t="s">
        <v>1251</v>
      </c>
      <c r="H540" s="296">
        <v>5.0</v>
      </c>
      <c r="I540" s="353">
        <v>2.442360296991012E-4</v>
      </c>
      <c r="K540" s="296"/>
      <c r="L540" s="354"/>
      <c r="M540" s="355"/>
      <c r="O540" s="367" t="str">
        <f>IFERROR(__xludf.DUMMYFUNCTION("""COMPUTED_VALUE"""),"Storm Port - Bucket 4★ #9BC")</f>
        <v>Storm Port - Bucket 4★ #9BC</v>
      </c>
      <c r="P540" s="296">
        <f>IFERROR(__xludf.DUMMYFUNCTION("""COMPUTED_VALUE"""),5.0)</f>
        <v>5</v>
      </c>
      <c r="Q540" s="355"/>
    </row>
    <row r="541" ht="12.75" customHeight="1">
      <c r="G541" s="354" t="s">
        <v>1252</v>
      </c>
      <c r="H541" s="296">
        <v>5.0</v>
      </c>
      <c r="I541" s="353">
        <v>2.442360296991012E-4</v>
      </c>
      <c r="K541" s="296"/>
      <c r="L541" s="354"/>
      <c r="M541" s="355"/>
      <c r="O541" s="367" t="str">
        <f>IFERROR(__xludf.DUMMYFUNCTION("""COMPUTED_VALUE"""),"Storm Port - Bucket 4★ #471")</f>
        <v>Storm Port - Bucket 4★ #471</v>
      </c>
      <c r="P541" s="296">
        <f>IFERROR(__xludf.DUMMYFUNCTION("""COMPUTED_VALUE"""),5.0)</f>
        <v>5</v>
      </c>
      <c r="Q541" s="355"/>
    </row>
    <row r="542" ht="12.75" customHeight="1">
      <c r="G542" s="354" t="s">
        <v>1253</v>
      </c>
      <c r="H542" s="296">
        <v>5.0</v>
      </c>
      <c r="I542" s="353">
        <v>2.442360296991012E-4</v>
      </c>
      <c r="K542" s="296"/>
      <c r="L542" s="354"/>
      <c r="M542" s="355"/>
      <c r="O542" s="367" t="str">
        <f>IFERROR(__xludf.DUMMYFUNCTION("""COMPUTED_VALUE"""),"Storm Port - Bucket 4★ #F26")</f>
        <v>Storm Port - Bucket 4★ #F26</v>
      </c>
      <c r="P542" s="296">
        <f>IFERROR(__xludf.DUMMYFUNCTION("""COMPUTED_VALUE"""),5.0)</f>
        <v>5</v>
      </c>
      <c r="Q542" s="355"/>
    </row>
    <row r="543" ht="12.75" customHeight="1">
      <c r="G543" s="354" t="s">
        <v>1254</v>
      </c>
      <c r="H543" s="296">
        <v>5.0</v>
      </c>
      <c r="I543" s="353">
        <v>2.442360296991012E-4</v>
      </c>
      <c r="K543" s="296"/>
      <c r="L543" s="354"/>
      <c r="M543" s="355"/>
      <c r="O543" s="367" t="str">
        <f>IFERROR(__xludf.DUMMYFUNCTION("""COMPUTED_VALUE"""),"Storm Port - Bucket 4★ #9DB")</f>
        <v>Storm Port - Bucket 4★ #9DB</v>
      </c>
      <c r="P543" s="296">
        <f>IFERROR(__xludf.DUMMYFUNCTION("""COMPUTED_VALUE"""),5.0)</f>
        <v>5</v>
      </c>
      <c r="Q543" s="355"/>
    </row>
    <row r="544" ht="12.75" customHeight="1">
      <c r="G544" s="354" t="s">
        <v>1255</v>
      </c>
      <c r="H544" s="296">
        <v>5.0</v>
      </c>
      <c r="I544" s="353">
        <v>2.442360296991012E-4</v>
      </c>
      <c r="K544" s="296"/>
      <c r="L544" s="354"/>
      <c r="M544" s="355"/>
      <c r="O544" s="367" t="str">
        <f>IFERROR(__xludf.DUMMYFUNCTION("""COMPUTED_VALUE"""),"Storm Port - Bucket 4★ #490")</f>
        <v>Storm Port - Bucket 4★ #490</v>
      </c>
      <c r="P544" s="296">
        <f>IFERROR(__xludf.DUMMYFUNCTION("""COMPUTED_VALUE"""),5.0)</f>
        <v>5</v>
      </c>
      <c r="Q544" s="355"/>
    </row>
    <row r="545" ht="12.75" customHeight="1">
      <c r="G545" s="354" t="s">
        <v>1256</v>
      </c>
      <c r="H545" s="296">
        <v>5.0</v>
      </c>
      <c r="I545" s="353">
        <v>2.442360296991012E-4</v>
      </c>
      <c r="K545" s="296"/>
      <c r="L545" s="354"/>
      <c r="M545" s="355"/>
      <c r="O545" s="367" t="str">
        <f>IFERROR(__xludf.DUMMYFUNCTION("""COMPUTED_VALUE"""),"Storm Port - Windmill 4★ #F45")</f>
        <v>Storm Port - Windmill 4★ #F45</v>
      </c>
      <c r="P545" s="296">
        <f>IFERROR(__xludf.DUMMYFUNCTION("""COMPUTED_VALUE"""),5.0)</f>
        <v>5</v>
      </c>
      <c r="Q545" s="355"/>
    </row>
    <row r="546" ht="12.75" customHeight="1">
      <c r="G546" s="354" t="s">
        <v>1257</v>
      </c>
      <c r="H546" s="296">
        <v>5.0</v>
      </c>
      <c r="I546" s="353">
        <v>2.442360296991012E-4</v>
      </c>
      <c r="K546" s="296"/>
      <c r="L546" s="354"/>
      <c r="M546" s="355"/>
      <c r="O546" s="367" t="str">
        <f>IFERROR(__xludf.DUMMYFUNCTION("""COMPUTED_VALUE"""),"Storm Port - Windmill 4★ #9FA")</f>
        <v>Storm Port - Windmill 4★ #9FA</v>
      </c>
      <c r="P546" s="296">
        <f>IFERROR(__xludf.DUMMYFUNCTION("""COMPUTED_VALUE"""),5.0)</f>
        <v>5</v>
      </c>
      <c r="Q546" s="355"/>
    </row>
    <row r="547" ht="12.75" customHeight="1">
      <c r="G547" s="354" t="s">
        <v>1258</v>
      </c>
      <c r="H547" s="296">
        <v>5.0</v>
      </c>
      <c r="I547" s="353">
        <v>2.442360296991012E-4</v>
      </c>
      <c r="K547" s="296"/>
      <c r="L547" s="354"/>
      <c r="M547" s="355"/>
      <c r="O547" s="367" t="str">
        <f>IFERROR(__xludf.DUMMYFUNCTION("""COMPUTED_VALUE"""),"Storm Port - Windmill 4★ #4AF")</f>
        <v>Storm Port - Windmill 4★ #4AF</v>
      </c>
      <c r="P547" s="296">
        <f>IFERROR(__xludf.DUMMYFUNCTION("""COMPUTED_VALUE"""),5.0)</f>
        <v>5</v>
      </c>
      <c r="Q547" s="355"/>
    </row>
    <row r="548" ht="12.75" customHeight="1">
      <c r="G548" s="354" t="s">
        <v>1259</v>
      </c>
      <c r="H548" s="296">
        <v>5.0</v>
      </c>
      <c r="I548" s="353">
        <v>2.442360296991012E-4</v>
      </c>
      <c r="K548" s="296"/>
      <c r="L548" s="354"/>
      <c r="M548" s="355"/>
      <c r="O548" s="367" t="str">
        <f>IFERROR(__xludf.DUMMYFUNCTION("""COMPUTED_VALUE"""),"Storm Port - Windmill 4★ #F64")</f>
        <v>Storm Port - Windmill 4★ #F64</v>
      </c>
      <c r="P548" s="296">
        <f>IFERROR(__xludf.DUMMYFUNCTION("""COMPUTED_VALUE"""),5.0)</f>
        <v>5</v>
      </c>
      <c r="Q548" s="355"/>
    </row>
    <row r="549" ht="12.75" customHeight="1">
      <c r="G549" s="354" t="s">
        <v>1260</v>
      </c>
      <c r="H549" s="296">
        <v>5.0</v>
      </c>
      <c r="I549" s="353">
        <v>2.442360296991012E-4</v>
      </c>
      <c r="K549" s="296"/>
      <c r="L549" s="354"/>
      <c r="M549" s="355"/>
      <c r="O549" s="367" t="str">
        <f>IFERROR(__xludf.DUMMYFUNCTION("""COMPUTED_VALUE"""),"Storm Port - Windmill 4★ #A19")</f>
        <v>Storm Port - Windmill 4★ #A19</v>
      </c>
      <c r="P549" s="296">
        <f>IFERROR(__xludf.DUMMYFUNCTION("""COMPUTED_VALUE"""),5.0)</f>
        <v>5</v>
      </c>
      <c r="Q549" s="355"/>
    </row>
    <row r="550" ht="12.75" customHeight="1">
      <c r="G550" s="354" t="s">
        <v>1261</v>
      </c>
      <c r="H550" s="296">
        <v>5.0</v>
      </c>
      <c r="I550" s="353">
        <v>2.442360296991012E-4</v>
      </c>
      <c r="K550" s="296"/>
      <c r="L550" s="354"/>
      <c r="M550" s="355"/>
      <c r="O550" s="367" t="str">
        <f>IFERROR(__xludf.DUMMYFUNCTION("""COMPUTED_VALUE"""),"Storm Port - Windmill 4★ #4CE")</f>
        <v>Storm Port - Windmill 4★ #4CE</v>
      </c>
      <c r="P550" s="296">
        <f>IFERROR(__xludf.DUMMYFUNCTION("""COMPUTED_VALUE"""),5.0)</f>
        <v>5</v>
      </c>
      <c r="Q550" s="355"/>
    </row>
    <row r="551" ht="12.75" customHeight="1">
      <c r="G551" s="354" t="s">
        <v>1262</v>
      </c>
      <c r="H551" s="296">
        <v>5.0</v>
      </c>
      <c r="I551" s="353">
        <v>2.442360296991012E-4</v>
      </c>
      <c r="K551" s="296"/>
      <c r="L551" s="354"/>
      <c r="M551" s="355"/>
      <c r="O551" s="367" t="str">
        <f>IFERROR(__xludf.DUMMYFUNCTION("""COMPUTED_VALUE"""),"Storm Port - Windmill 4★ #F83")</f>
        <v>Storm Port - Windmill 4★ #F83</v>
      </c>
      <c r="P551" s="296">
        <f>IFERROR(__xludf.DUMMYFUNCTION("""COMPUTED_VALUE"""),5.0)</f>
        <v>5</v>
      </c>
      <c r="Q551" s="355"/>
    </row>
    <row r="552" ht="12.75" customHeight="1">
      <c r="G552" s="354" t="s">
        <v>1263</v>
      </c>
      <c r="H552" s="296">
        <v>5.0</v>
      </c>
      <c r="I552" s="353">
        <v>2.442360296991012E-4</v>
      </c>
      <c r="K552" s="296"/>
      <c r="L552" s="354"/>
      <c r="M552" s="355"/>
      <c r="O552" s="367" t="str">
        <f>IFERROR(__xludf.DUMMYFUNCTION("""COMPUTED_VALUE"""),"Storm Port - Windmill 4★ #A38")</f>
        <v>Storm Port - Windmill 4★ #A38</v>
      </c>
      <c r="P552" s="296">
        <f>IFERROR(__xludf.DUMMYFUNCTION("""COMPUTED_VALUE"""),5.0)</f>
        <v>5</v>
      </c>
      <c r="Q552" s="355"/>
    </row>
    <row r="553" ht="12.75" customHeight="1">
      <c r="G553" s="354" t="s">
        <v>1264</v>
      </c>
      <c r="H553" s="296">
        <v>5.0</v>
      </c>
      <c r="I553" s="353">
        <v>2.442360296991012E-4</v>
      </c>
      <c r="K553" s="296"/>
      <c r="L553" s="354"/>
      <c r="M553" s="355"/>
      <c r="O553" s="367" t="str">
        <f>IFERROR(__xludf.DUMMYFUNCTION("""COMPUTED_VALUE"""),"Storm Port - Windmill 4★ #4ED")</f>
        <v>Storm Port - Windmill 4★ #4ED</v>
      </c>
      <c r="P553" s="296">
        <f>IFERROR(__xludf.DUMMYFUNCTION("""COMPUTED_VALUE"""),5.0)</f>
        <v>5</v>
      </c>
      <c r="Q553" s="355"/>
    </row>
    <row r="554" ht="12.75" customHeight="1">
      <c r="G554" s="354" t="s">
        <v>1265</v>
      </c>
      <c r="H554" s="296">
        <v>5.0</v>
      </c>
      <c r="I554" s="353">
        <v>2.442360296991012E-4</v>
      </c>
      <c r="K554" s="296"/>
      <c r="L554" s="354"/>
      <c r="M554" s="355"/>
      <c r="O554" s="367" t="str">
        <f>IFERROR(__xludf.DUMMYFUNCTION("""COMPUTED_VALUE"""),"Storm Port - Windmill 4★ #FA2")</f>
        <v>Storm Port - Windmill 4★ #FA2</v>
      </c>
      <c r="P554" s="296">
        <f>IFERROR(__xludf.DUMMYFUNCTION("""COMPUTED_VALUE"""),5.0)</f>
        <v>5</v>
      </c>
      <c r="Q554" s="355"/>
    </row>
    <row r="555" ht="12.75" customHeight="1">
      <c r="G555" s="354" t="s">
        <v>1266</v>
      </c>
      <c r="H555" s="296">
        <v>5.0</v>
      </c>
      <c r="I555" s="353">
        <v>2.442360296991012E-4</v>
      </c>
      <c r="K555" s="296"/>
      <c r="L555" s="354"/>
      <c r="M555" s="355"/>
      <c r="O555" s="367" t="str">
        <f>IFERROR(__xludf.DUMMYFUNCTION("""COMPUTED_VALUE"""),"Storm Port - Windmill 4★ #A57")</f>
        <v>Storm Port - Windmill 4★ #A57</v>
      </c>
      <c r="P555" s="296">
        <f>IFERROR(__xludf.DUMMYFUNCTION("""COMPUTED_VALUE"""),5.0)</f>
        <v>5</v>
      </c>
      <c r="Q555" s="355"/>
    </row>
    <row r="556" ht="12.75" customHeight="1">
      <c r="G556" s="354" t="s">
        <v>1267</v>
      </c>
      <c r="H556" s="296">
        <v>2.0</v>
      </c>
      <c r="I556" s="353">
        <v>9.769441187964049E-5</v>
      </c>
      <c r="K556" s="296"/>
      <c r="L556" s="354"/>
      <c r="M556" s="355"/>
      <c r="O556" s="367" t="str">
        <f>IFERROR(__xludf.DUMMYFUNCTION("""COMPUTED_VALUE"""),"Storm Port - Lighthouse 5★ #50C")</f>
        <v>Storm Port - Lighthouse 5★ #50C</v>
      </c>
      <c r="P556" s="296">
        <f>IFERROR(__xludf.DUMMYFUNCTION("""COMPUTED_VALUE"""),2.0)</f>
        <v>2</v>
      </c>
      <c r="Q556" s="355"/>
    </row>
    <row r="557" ht="12.75" customHeight="1">
      <c r="G557" s="354" t="s">
        <v>1268</v>
      </c>
      <c r="H557" s="296">
        <v>2.0</v>
      </c>
      <c r="I557" s="353">
        <v>9.769441187964049E-5</v>
      </c>
      <c r="K557" s="296"/>
      <c r="L557" s="354"/>
      <c r="M557" s="355"/>
      <c r="O557" s="367" t="str">
        <f>IFERROR(__xludf.DUMMYFUNCTION("""COMPUTED_VALUE"""),"Storm Port - Lighthouse 5★ #FC1")</f>
        <v>Storm Port - Lighthouse 5★ #FC1</v>
      </c>
      <c r="P557" s="296">
        <f>IFERROR(__xludf.DUMMYFUNCTION("""COMPUTED_VALUE"""),2.0)</f>
        <v>2</v>
      </c>
      <c r="Q557" s="355"/>
    </row>
    <row r="558" ht="12.75" customHeight="1">
      <c r="G558" s="354" t="s">
        <v>1269</v>
      </c>
      <c r="H558" s="296">
        <v>2.0</v>
      </c>
      <c r="I558" s="353">
        <v>9.769441187964049E-5</v>
      </c>
      <c r="K558" s="296"/>
      <c r="L558" s="354"/>
      <c r="M558" s="355"/>
      <c r="O558" s="367" t="str">
        <f>IFERROR(__xludf.DUMMYFUNCTION("""COMPUTED_VALUE"""),"Storm Port - Lighthouse 5★ #A76")</f>
        <v>Storm Port - Lighthouse 5★ #A76</v>
      </c>
      <c r="P558" s="296">
        <f>IFERROR(__xludf.DUMMYFUNCTION("""COMPUTED_VALUE"""),2.0)</f>
        <v>2</v>
      </c>
      <c r="Q558" s="355"/>
    </row>
    <row r="559" ht="12.75" customHeight="1">
      <c r="G559" s="354" t="s">
        <v>1270</v>
      </c>
      <c r="H559" s="296">
        <v>2.0</v>
      </c>
      <c r="I559" s="353">
        <v>9.769441187964049E-5</v>
      </c>
      <c r="K559" s="296"/>
      <c r="L559" s="354"/>
      <c r="M559" s="355"/>
      <c r="O559" s="367" t="str">
        <f>IFERROR(__xludf.DUMMYFUNCTION("""COMPUTED_VALUE"""),"Storm Port - Lighthouse 5★ #52B")</f>
        <v>Storm Port - Lighthouse 5★ #52B</v>
      </c>
      <c r="P559" s="296">
        <f>IFERROR(__xludf.DUMMYFUNCTION("""COMPUTED_VALUE"""),2.0)</f>
        <v>2</v>
      </c>
      <c r="Q559" s="355"/>
    </row>
    <row r="560" ht="12.75" customHeight="1">
      <c r="G560" s="354" t="s">
        <v>1271</v>
      </c>
      <c r="H560" s="296">
        <v>2.0</v>
      </c>
      <c r="I560" s="353">
        <v>9.769441187964049E-5</v>
      </c>
      <c r="K560" s="296"/>
      <c r="L560" s="354"/>
      <c r="M560" s="355"/>
      <c r="O560" s="367" t="str">
        <f>IFERROR(__xludf.DUMMYFUNCTION("""COMPUTED_VALUE"""),"Storm Port - Lighthouse 5★ #FE0")</f>
        <v>Storm Port - Lighthouse 5★ #FE0</v>
      </c>
      <c r="P560" s="296">
        <f>IFERROR(__xludf.DUMMYFUNCTION("""COMPUTED_VALUE"""),2.0)</f>
        <v>2</v>
      </c>
      <c r="Q560" s="355"/>
    </row>
    <row r="561" ht="12.75" customHeight="1">
      <c r="G561" s="354" t="s">
        <v>1272</v>
      </c>
      <c r="H561" s="296">
        <v>2.0</v>
      </c>
      <c r="I561" s="353">
        <v>9.769441187964049E-5</v>
      </c>
      <c r="K561" s="296"/>
      <c r="L561" s="354"/>
      <c r="M561" s="355"/>
      <c r="O561" s="367" t="str">
        <f>IFERROR(__xludf.DUMMYFUNCTION("""COMPUTED_VALUE"""),"Storm Port - Drum 5★ #A95")</f>
        <v>Storm Port - Drum 5★ #A95</v>
      </c>
      <c r="P561" s="296">
        <f>IFERROR(__xludf.DUMMYFUNCTION("""COMPUTED_VALUE"""),2.0)</f>
        <v>2</v>
      </c>
      <c r="Q561" s="355"/>
    </row>
    <row r="562" ht="12.75" customHeight="1">
      <c r="G562" s="354" t="s">
        <v>1273</v>
      </c>
      <c r="H562" s="296">
        <v>2.0</v>
      </c>
      <c r="I562" s="353">
        <v>9.769441187964049E-5</v>
      </c>
      <c r="K562" s="296"/>
      <c r="L562" s="354"/>
      <c r="M562" s="355"/>
      <c r="O562" s="367" t="str">
        <f>IFERROR(__xludf.DUMMYFUNCTION("""COMPUTED_VALUE"""),"Storm Port - Drum 5★ #54A")</f>
        <v>Storm Port - Drum 5★ #54A</v>
      </c>
      <c r="P562" s="296">
        <f>IFERROR(__xludf.DUMMYFUNCTION("""COMPUTED_VALUE"""),2.0)</f>
        <v>2</v>
      </c>
      <c r="Q562" s="355"/>
    </row>
    <row r="563" ht="12.75" customHeight="1">
      <c r="G563" s="354" t="s">
        <v>1274</v>
      </c>
      <c r="H563" s="296">
        <v>2.0</v>
      </c>
      <c r="I563" s="353">
        <v>9.769441187964049E-5</v>
      </c>
      <c r="K563" s="296"/>
      <c r="L563" s="354"/>
      <c r="M563" s="355"/>
      <c r="O563" s="367" t="str">
        <f>IFERROR(__xludf.DUMMYFUNCTION("""COMPUTED_VALUE"""),"Storm Port - Drum 5★ #FFF")</f>
        <v>Storm Port - Drum 5★ #FFF</v>
      </c>
      <c r="P563" s="296">
        <f>IFERROR(__xludf.DUMMYFUNCTION("""COMPUTED_VALUE"""),2.0)</f>
        <v>2</v>
      </c>
      <c r="Q563" s="355"/>
    </row>
    <row r="564" ht="12.75" customHeight="1">
      <c r="G564" s="354" t="s">
        <v>1275</v>
      </c>
      <c r="H564" s="296">
        <v>2.0</v>
      </c>
      <c r="I564" s="353">
        <v>9.769441187964049E-5</v>
      </c>
      <c r="K564" s="296"/>
      <c r="L564" s="354"/>
      <c r="M564" s="355"/>
      <c r="O564" s="367" t="str">
        <f>IFERROR(__xludf.DUMMYFUNCTION("""COMPUTED_VALUE"""),"Storm Port - Drum 5★ #AB4")</f>
        <v>Storm Port - Drum 5★ #AB4</v>
      </c>
      <c r="P564" s="296">
        <f>IFERROR(__xludf.DUMMYFUNCTION("""COMPUTED_VALUE"""),2.0)</f>
        <v>2</v>
      </c>
      <c r="Q564" s="355"/>
    </row>
    <row r="565" ht="12.75" customHeight="1">
      <c r="G565" s="354" t="s">
        <v>1276</v>
      </c>
      <c r="H565" s="296">
        <v>2.0</v>
      </c>
      <c r="I565" s="353">
        <v>9.769441187964049E-5</v>
      </c>
      <c r="K565" s="296"/>
      <c r="L565" s="354"/>
      <c r="M565" s="355"/>
      <c r="O565" s="367" t="str">
        <f>IFERROR(__xludf.DUMMYFUNCTION("""COMPUTED_VALUE"""),"Storm Port - Drum 5★ #569")</f>
        <v>Storm Port - Drum 5★ #569</v>
      </c>
      <c r="P565" s="296">
        <f>IFERROR(__xludf.DUMMYFUNCTION("""COMPUTED_VALUE"""),2.0)</f>
        <v>2</v>
      </c>
      <c r="Q565" s="355"/>
    </row>
    <row r="566" ht="12.75" customHeight="1">
      <c r="G566" s="354" t="s">
        <v>1277</v>
      </c>
      <c r="H566" s="296">
        <v>50.0</v>
      </c>
      <c r="I566" s="353">
        <v>0.0024423602969910123</v>
      </c>
      <c r="K566" s="296"/>
      <c r="L566" s="354"/>
      <c r="M566" s="355"/>
      <c r="O566" s="367" t="str">
        <f>IFERROR(__xludf.DUMMYFUNCTION("""COMPUTED_VALUE"""),"Cannon Fort - Cannonball 1★ #01E")</f>
        <v>Cannon Fort - Cannonball 1★ #01E</v>
      </c>
      <c r="P566" s="296">
        <f>IFERROR(__xludf.DUMMYFUNCTION("""COMPUTED_VALUE"""),50.0)</f>
        <v>50</v>
      </c>
      <c r="Q566" s="355"/>
    </row>
    <row r="567" ht="12.75" customHeight="1">
      <c r="G567" s="354" t="s">
        <v>1278</v>
      </c>
      <c r="H567" s="296">
        <v>50.0</v>
      </c>
      <c r="I567" s="353">
        <v>0.0024423602969910123</v>
      </c>
      <c r="K567" s="296"/>
      <c r="L567" s="354"/>
      <c r="M567" s="355"/>
      <c r="O567" s="367" t="str">
        <f>IFERROR(__xludf.DUMMYFUNCTION("""COMPUTED_VALUE"""),"Cannon Fort - Cannonball 1★ #AD3")</f>
        <v>Cannon Fort - Cannonball 1★ #AD3</v>
      </c>
      <c r="P567" s="296">
        <f>IFERROR(__xludf.DUMMYFUNCTION("""COMPUTED_VALUE"""),50.0)</f>
        <v>50</v>
      </c>
      <c r="Q567" s="355"/>
    </row>
    <row r="568" ht="12.75" customHeight="1">
      <c r="G568" s="354" t="s">
        <v>1279</v>
      </c>
      <c r="H568" s="296">
        <v>50.0</v>
      </c>
      <c r="I568" s="353">
        <v>0.0024423602969910123</v>
      </c>
      <c r="K568" s="296"/>
      <c r="L568" s="354"/>
      <c r="M568" s="355"/>
      <c r="O568" s="367" t="str">
        <f>IFERROR(__xludf.DUMMYFUNCTION("""COMPUTED_VALUE"""),"Cannon Fort - Cannonball 1★ #588")</f>
        <v>Cannon Fort - Cannonball 1★ #588</v>
      </c>
      <c r="P568" s="296">
        <f>IFERROR(__xludf.DUMMYFUNCTION("""COMPUTED_VALUE"""),50.0)</f>
        <v>50</v>
      </c>
      <c r="Q568" s="355"/>
    </row>
    <row r="569" ht="12.75" customHeight="1">
      <c r="G569" s="354" t="s">
        <v>1280</v>
      </c>
      <c r="H569" s="296">
        <v>50.0</v>
      </c>
      <c r="I569" s="353">
        <v>0.0024423602969910123</v>
      </c>
      <c r="K569" s="296"/>
      <c r="L569" s="354"/>
      <c r="M569" s="355"/>
      <c r="O569" s="367" t="str">
        <f>IFERROR(__xludf.DUMMYFUNCTION("""COMPUTED_VALUE"""),"Cannon Fort - Cannonball 1★ #03D")</f>
        <v>Cannon Fort - Cannonball 1★ #03D</v>
      </c>
      <c r="P569" s="296">
        <f>IFERROR(__xludf.DUMMYFUNCTION("""COMPUTED_VALUE"""),50.0)</f>
        <v>50</v>
      </c>
      <c r="Q569" s="355"/>
    </row>
    <row r="570" ht="12.75" customHeight="1">
      <c r="G570" s="354" t="s">
        <v>1281</v>
      </c>
      <c r="H570" s="296">
        <v>50.0</v>
      </c>
      <c r="I570" s="353">
        <v>0.0024423602969910123</v>
      </c>
      <c r="K570" s="296"/>
      <c r="L570" s="354"/>
      <c r="M570" s="355"/>
      <c r="O570" s="367" t="str">
        <f>IFERROR(__xludf.DUMMYFUNCTION("""COMPUTED_VALUE"""),"Cannon Fort - Cannonball 1★ #AF2")</f>
        <v>Cannon Fort - Cannonball 1★ #AF2</v>
      </c>
      <c r="P570" s="296">
        <f>IFERROR(__xludf.DUMMYFUNCTION("""COMPUTED_VALUE"""),50.0)</f>
        <v>50</v>
      </c>
      <c r="Q570" s="355"/>
    </row>
    <row r="571" ht="12.75" customHeight="1">
      <c r="G571" s="354" t="s">
        <v>1282</v>
      </c>
      <c r="H571" s="296">
        <v>50.0</v>
      </c>
      <c r="I571" s="353">
        <v>0.0024423602969910123</v>
      </c>
      <c r="K571" s="296"/>
      <c r="L571" s="354"/>
      <c r="M571" s="355"/>
      <c r="O571" s="367" t="str">
        <f>IFERROR(__xludf.DUMMYFUNCTION("""COMPUTED_VALUE"""),"Cannon Fort - Cannonball 1★ #5A7")</f>
        <v>Cannon Fort - Cannonball 1★ #5A7</v>
      </c>
      <c r="P571" s="296">
        <f>IFERROR(__xludf.DUMMYFUNCTION("""COMPUTED_VALUE"""),50.0)</f>
        <v>50</v>
      </c>
      <c r="Q571" s="355"/>
    </row>
    <row r="572" ht="12.75" customHeight="1">
      <c r="G572" s="354" t="s">
        <v>1283</v>
      </c>
      <c r="H572" s="296">
        <v>50.0</v>
      </c>
      <c r="I572" s="353">
        <v>0.0024423602969910123</v>
      </c>
      <c r="K572" s="296"/>
      <c r="L572" s="354"/>
      <c r="M572" s="355"/>
      <c r="O572" s="367" t="str">
        <f>IFERROR(__xludf.DUMMYFUNCTION("""COMPUTED_VALUE"""),"Cannon Fort - Cannonball 1★ #05C")</f>
        <v>Cannon Fort - Cannonball 1★ #05C</v>
      </c>
      <c r="P572" s="296">
        <f>IFERROR(__xludf.DUMMYFUNCTION("""COMPUTED_VALUE"""),50.0)</f>
        <v>50</v>
      </c>
      <c r="Q572" s="355"/>
    </row>
    <row r="573" ht="12.75" customHeight="1">
      <c r="G573" s="354" t="s">
        <v>1284</v>
      </c>
      <c r="H573" s="296">
        <v>50.0</v>
      </c>
      <c r="I573" s="353">
        <v>0.0024423602969910123</v>
      </c>
      <c r="K573" s="296"/>
      <c r="L573" s="354"/>
      <c r="M573" s="355"/>
      <c r="O573" s="367" t="str">
        <f>IFERROR(__xludf.DUMMYFUNCTION("""COMPUTED_VALUE"""),"Cannon Fort - Cannonball 1★ #B11")</f>
        <v>Cannon Fort - Cannonball 1★ #B11</v>
      </c>
      <c r="P573" s="296">
        <f>IFERROR(__xludf.DUMMYFUNCTION("""COMPUTED_VALUE"""),50.0)</f>
        <v>50</v>
      </c>
      <c r="Q573" s="355"/>
    </row>
    <row r="574" ht="12.75" customHeight="1">
      <c r="G574" s="354" t="s">
        <v>1285</v>
      </c>
      <c r="H574" s="296">
        <v>50.0</v>
      </c>
      <c r="I574" s="353">
        <v>0.0024423602969910123</v>
      </c>
      <c r="K574" s="296"/>
      <c r="L574" s="354"/>
      <c r="M574" s="355"/>
      <c r="O574" s="367" t="str">
        <f>IFERROR(__xludf.DUMMYFUNCTION("""COMPUTED_VALUE"""),"Cannon Fort - Cannonball 1★ #5C6")</f>
        <v>Cannon Fort - Cannonball 1★ #5C6</v>
      </c>
      <c r="P574" s="296">
        <f>IFERROR(__xludf.DUMMYFUNCTION("""COMPUTED_VALUE"""),50.0)</f>
        <v>50</v>
      </c>
      <c r="Q574" s="355"/>
    </row>
    <row r="575" ht="12.75" customHeight="1">
      <c r="G575" s="354" t="s">
        <v>1286</v>
      </c>
      <c r="H575" s="296">
        <v>50.0</v>
      </c>
      <c r="I575" s="353">
        <v>0.0024423602969910123</v>
      </c>
      <c r="K575" s="296"/>
      <c r="L575" s="354"/>
      <c r="M575" s="355"/>
      <c r="O575" s="367" t="str">
        <f>IFERROR(__xludf.DUMMYFUNCTION("""COMPUTED_VALUE"""),"Cannon Fort - Cannonball 1★ #07B")</f>
        <v>Cannon Fort - Cannonball 1★ #07B</v>
      </c>
      <c r="P575" s="296">
        <f>IFERROR(__xludf.DUMMYFUNCTION("""COMPUTED_VALUE"""),50.0)</f>
        <v>50</v>
      </c>
      <c r="Q575" s="355"/>
    </row>
    <row r="576" ht="12.75" customHeight="1">
      <c r="G576" s="354" t="s">
        <v>1287</v>
      </c>
      <c r="H576" s="296">
        <v>50.0</v>
      </c>
      <c r="I576" s="353">
        <v>0.0024423602969910123</v>
      </c>
      <c r="K576" s="296"/>
      <c r="L576" s="354"/>
      <c r="M576" s="355"/>
      <c r="O576" s="367" t="str">
        <f>IFERROR(__xludf.DUMMYFUNCTION("""COMPUTED_VALUE"""),"Cannon Fort - Cannonball 1★ #B30")</f>
        <v>Cannon Fort - Cannonball 1★ #B30</v>
      </c>
      <c r="P576" s="296">
        <f>IFERROR(__xludf.DUMMYFUNCTION("""COMPUTED_VALUE"""),50.0)</f>
        <v>50</v>
      </c>
      <c r="Q576" s="355"/>
    </row>
    <row r="577" ht="12.75" customHeight="1">
      <c r="G577" s="354" t="s">
        <v>1288</v>
      </c>
      <c r="H577" s="296">
        <v>50.0</v>
      </c>
      <c r="I577" s="353">
        <v>0.0024423602969910123</v>
      </c>
      <c r="K577" s="296"/>
      <c r="L577" s="354"/>
      <c r="M577" s="355"/>
      <c r="O577" s="367" t="str">
        <f>IFERROR(__xludf.DUMMYFUNCTION("""COMPUTED_VALUE"""),"Cannon Fort - Cannonball 1★ #5E5")</f>
        <v>Cannon Fort - Cannonball 1★ #5E5</v>
      </c>
      <c r="P577" s="296">
        <f>IFERROR(__xludf.DUMMYFUNCTION("""COMPUTED_VALUE"""),50.0)</f>
        <v>50</v>
      </c>
      <c r="Q577" s="355"/>
    </row>
    <row r="578" ht="12.75" customHeight="1">
      <c r="G578" s="354" t="s">
        <v>1289</v>
      </c>
      <c r="H578" s="296">
        <v>50.0</v>
      </c>
      <c r="I578" s="353">
        <v>0.0024423602969910123</v>
      </c>
      <c r="K578" s="296"/>
      <c r="L578" s="354"/>
      <c r="M578" s="355"/>
      <c r="O578" s="367" t="str">
        <f>IFERROR(__xludf.DUMMYFUNCTION("""COMPUTED_VALUE"""),"Cannon Fort - Cannonball 1★ #09A")</f>
        <v>Cannon Fort - Cannonball 1★ #09A</v>
      </c>
      <c r="P578" s="296">
        <f>IFERROR(__xludf.DUMMYFUNCTION("""COMPUTED_VALUE"""),50.0)</f>
        <v>50</v>
      </c>
      <c r="Q578" s="355"/>
    </row>
    <row r="579" ht="12.75" customHeight="1">
      <c r="G579" s="354" t="s">
        <v>1290</v>
      </c>
      <c r="H579" s="296">
        <v>50.0</v>
      </c>
      <c r="I579" s="353">
        <v>0.0024423602969910123</v>
      </c>
      <c r="K579" s="296"/>
      <c r="L579" s="354"/>
      <c r="M579" s="355"/>
      <c r="O579" s="367" t="str">
        <f>IFERROR(__xludf.DUMMYFUNCTION("""COMPUTED_VALUE"""),"Cannon Fort - Powder 1★ #B4F")</f>
        <v>Cannon Fort - Powder 1★ #B4F</v>
      </c>
      <c r="P579" s="296">
        <f>IFERROR(__xludf.DUMMYFUNCTION("""COMPUTED_VALUE"""),50.0)</f>
        <v>50</v>
      </c>
      <c r="Q579" s="355"/>
    </row>
    <row r="580" ht="12.75" customHeight="1">
      <c r="G580" s="354" t="s">
        <v>1291</v>
      </c>
      <c r="H580" s="296">
        <v>50.0</v>
      </c>
      <c r="I580" s="353">
        <v>0.0024423602969910123</v>
      </c>
      <c r="K580" s="296"/>
      <c r="L580" s="354"/>
      <c r="M580" s="355"/>
      <c r="O580" s="367" t="str">
        <f>IFERROR(__xludf.DUMMYFUNCTION("""COMPUTED_VALUE"""),"Cannon Fort - Powder 1★ #604")</f>
        <v>Cannon Fort - Powder 1★ #604</v>
      </c>
      <c r="P580" s="296">
        <f>IFERROR(__xludf.DUMMYFUNCTION("""COMPUTED_VALUE"""),50.0)</f>
        <v>50</v>
      </c>
      <c r="Q580" s="355"/>
    </row>
    <row r="581" ht="12.75" customHeight="1">
      <c r="G581" s="354" t="s">
        <v>1292</v>
      </c>
      <c r="H581" s="296">
        <v>50.0</v>
      </c>
      <c r="I581" s="353">
        <v>0.0024423602969910123</v>
      </c>
      <c r="K581" s="296"/>
      <c r="L581" s="354"/>
      <c r="M581" s="355"/>
      <c r="O581" s="367" t="str">
        <f>IFERROR(__xludf.DUMMYFUNCTION("""COMPUTED_VALUE"""),"Cannon Fort - Powder 1★ #0B9")</f>
        <v>Cannon Fort - Powder 1★ #0B9</v>
      </c>
      <c r="P581" s="296">
        <f>IFERROR(__xludf.DUMMYFUNCTION("""COMPUTED_VALUE"""),50.0)</f>
        <v>50</v>
      </c>
      <c r="Q581" s="355"/>
    </row>
    <row r="582" ht="12.75" customHeight="1">
      <c r="G582" s="354" t="s">
        <v>1293</v>
      </c>
      <c r="H582" s="296">
        <v>50.0</v>
      </c>
      <c r="I582" s="353">
        <v>0.0024423602969910123</v>
      </c>
      <c r="K582" s="296"/>
      <c r="L582" s="354"/>
      <c r="M582" s="355"/>
      <c r="O582" s="367" t="str">
        <f>IFERROR(__xludf.DUMMYFUNCTION("""COMPUTED_VALUE"""),"Cannon Fort - Powder 1★ #B6E")</f>
        <v>Cannon Fort - Powder 1★ #B6E</v>
      </c>
      <c r="P582" s="296">
        <f>IFERROR(__xludf.DUMMYFUNCTION("""COMPUTED_VALUE"""),50.0)</f>
        <v>50</v>
      </c>
      <c r="Q582" s="355"/>
    </row>
    <row r="583" ht="12.75" customHeight="1">
      <c r="G583" s="354" t="s">
        <v>1294</v>
      </c>
      <c r="H583" s="296">
        <v>50.0</v>
      </c>
      <c r="I583" s="353">
        <v>0.0024423602969910123</v>
      </c>
      <c r="K583" s="296"/>
      <c r="L583" s="354"/>
      <c r="M583" s="355"/>
      <c r="O583" s="367" t="str">
        <f>IFERROR(__xludf.DUMMYFUNCTION("""COMPUTED_VALUE"""),"Cannon Fort - Powder 1★ #623")</f>
        <v>Cannon Fort - Powder 1★ #623</v>
      </c>
      <c r="P583" s="296">
        <f>IFERROR(__xludf.DUMMYFUNCTION("""COMPUTED_VALUE"""),50.0)</f>
        <v>50</v>
      </c>
      <c r="Q583" s="355"/>
    </row>
    <row r="584" ht="12.75" customHeight="1">
      <c r="G584" s="354" t="s">
        <v>1295</v>
      </c>
      <c r="H584" s="296">
        <v>50.0</v>
      </c>
      <c r="I584" s="353">
        <v>0.0024423602969910123</v>
      </c>
      <c r="K584" s="296"/>
      <c r="L584" s="354"/>
      <c r="M584" s="355"/>
      <c r="O584" s="367" t="str">
        <f>IFERROR(__xludf.DUMMYFUNCTION("""COMPUTED_VALUE"""),"Cannon Fort - Powder 1★ #0D8")</f>
        <v>Cannon Fort - Powder 1★ #0D8</v>
      </c>
      <c r="P584" s="296">
        <f>IFERROR(__xludf.DUMMYFUNCTION("""COMPUTED_VALUE"""),50.0)</f>
        <v>50</v>
      </c>
      <c r="Q584" s="355"/>
    </row>
    <row r="585" ht="12.75" customHeight="1">
      <c r="G585" s="354" t="s">
        <v>1296</v>
      </c>
      <c r="H585" s="296">
        <v>50.0</v>
      </c>
      <c r="I585" s="353">
        <v>0.0024423602969910123</v>
      </c>
      <c r="K585" s="296"/>
      <c r="L585" s="354"/>
      <c r="M585" s="355"/>
      <c r="O585" s="367" t="str">
        <f>IFERROR(__xludf.DUMMYFUNCTION("""COMPUTED_VALUE"""),"Cannon Fort - Powder 1★ #B8D")</f>
        <v>Cannon Fort - Powder 1★ #B8D</v>
      </c>
      <c r="P585" s="296">
        <f>IFERROR(__xludf.DUMMYFUNCTION("""COMPUTED_VALUE"""),50.0)</f>
        <v>50</v>
      </c>
      <c r="Q585" s="355"/>
    </row>
    <row r="586" ht="12.75" customHeight="1">
      <c r="G586" s="354" t="s">
        <v>1297</v>
      </c>
      <c r="H586" s="296">
        <v>50.0</v>
      </c>
      <c r="I586" s="353">
        <v>0.0024423602969910123</v>
      </c>
      <c r="K586" s="296"/>
      <c r="L586" s="354"/>
      <c r="M586" s="355"/>
      <c r="O586" s="367" t="str">
        <f>IFERROR(__xludf.DUMMYFUNCTION("""COMPUTED_VALUE"""),"Cannon Fort - Powder 1★ #642")</f>
        <v>Cannon Fort - Powder 1★ #642</v>
      </c>
      <c r="P586" s="296">
        <f>IFERROR(__xludf.DUMMYFUNCTION("""COMPUTED_VALUE"""),50.0)</f>
        <v>50</v>
      </c>
      <c r="Q586" s="355"/>
    </row>
    <row r="587" ht="12.75" customHeight="1">
      <c r="G587" s="354" t="s">
        <v>1298</v>
      </c>
      <c r="H587" s="296">
        <v>50.0</v>
      </c>
      <c r="I587" s="353">
        <v>0.0024423602969910123</v>
      </c>
      <c r="K587" s="296"/>
      <c r="L587" s="354"/>
      <c r="M587" s="355"/>
      <c r="O587" s="367" t="str">
        <f>IFERROR(__xludf.DUMMYFUNCTION("""COMPUTED_VALUE"""),"Cannon Fort - Powder 1★ #0F7")</f>
        <v>Cannon Fort - Powder 1★ #0F7</v>
      </c>
      <c r="P587" s="296">
        <f>IFERROR(__xludf.DUMMYFUNCTION("""COMPUTED_VALUE"""),50.0)</f>
        <v>50</v>
      </c>
      <c r="Q587" s="355"/>
    </row>
    <row r="588" ht="12.75" customHeight="1">
      <c r="G588" s="354" t="s">
        <v>1299</v>
      </c>
      <c r="H588" s="296">
        <v>50.0</v>
      </c>
      <c r="I588" s="353">
        <v>0.0024423602969910123</v>
      </c>
      <c r="K588" s="296"/>
      <c r="L588" s="354"/>
      <c r="M588" s="355"/>
      <c r="O588" s="367" t="str">
        <f>IFERROR(__xludf.DUMMYFUNCTION("""COMPUTED_VALUE"""),"Cannon Fort - Powder 1★ #BAC")</f>
        <v>Cannon Fort - Powder 1★ #BAC</v>
      </c>
      <c r="P588" s="296">
        <f>IFERROR(__xludf.DUMMYFUNCTION("""COMPUTED_VALUE"""),50.0)</f>
        <v>50</v>
      </c>
      <c r="Q588" s="355"/>
    </row>
    <row r="589" ht="12.75" customHeight="1">
      <c r="G589" s="354" t="s">
        <v>1300</v>
      </c>
      <c r="H589" s="296">
        <v>50.0</v>
      </c>
      <c r="I589" s="353">
        <v>0.0024423602969910123</v>
      </c>
      <c r="K589" s="296"/>
      <c r="L589" s="354"/>
      <c r="M589" s="355"/>
      <c r="O589" s="367" t="str">
        <f>IFERROR(__xludf.DUMMYFUNCTION("""COMPUTED_VALUE"""),"Cannon Fort - Powder 1★ #661")</f>
        <v>Cannon Fort - Powder 1★ #661</v>
      </c>
      <c r="P589" s="296">
        <f>IFERROR(__xludf.DUMMYFUNCTION("""COMPUTED_VALUE"""),50.0)</f>
        <v>50</v>
      </c>
      <c r="Q589" s="355"/>
    </row>
    <row r="590" ht="12.75" customHeight="1">
      <c r="G590" s="354" t="s">
        <v>1301</v>
      </c>
      <c r="H590" s="296">
        <v>50.0</v>
      </c>
      <c r="I590" s="353">
        <v>0.0024423602969910123</v>
      </c>
      <c r="K590" s="296"/>
      <c r="L590" s="354"/>
      <c r="M590" s="355"/>
      <c r="O590" s="367" t="str">
        <f>IFERROR(__xludf.DUMMYFUNCTION("""COMPUTED_VALUE"""),"Cannon Fort - Powder 1★ #116")</f>
        <v>Cannon Fort - Powder 1★ #116</v>
      </c>
      <c r="P590" s="296">
        <f>IFERROR(__xludf.DUMMYFUNCTION("""COMPUTED_VALUE"""),50.0)</f>
        <v>50</v>
      </c>
      <c r="Q590" s="355"/>
    </row>
    <row r="591" ht="12.75" customHeight="1">
      <c r="G591" s="354" t="s">
        <v>1302</v>
      </c>
      <c r="H591" s="296">
        <v>50.0</v>
      </c>
      <c r="I591" s="353">
        <v>0.0024423602969910123</v>
      </c>
      <c r="K591" s="296"/>
      <c r="L591" s="354"/>
      <c r="M591" s="355"/>
      <c r="O591" s="367" t="str">
        <f>IFERROR(__xludf.DUMMYFUNCTION("""COMPUTED_VALUE"""),"Cannon Fort - Powder 1★ #BCB")</f>
        <v>Cannon Fort - Powder 1★ #BCB</v>
      </c>
      <c r="P591" s="296">
        <f>IFERROR(__xludf.DUMMYFUNCTION("""COMPUTED_VALUE"""),50.0)</f>
        <v>50</v>
      </c>
      <c r="Q591" s="355"/>
    </row>
    <row r="592" ht="12.75" customHeight="1">
      <c r="G592" s="354" t="s">
        <v>1303</v>
      </c>
      <c r="H592" s="296">
        <v>20.0</v>
      </c>
      <c r="I592" s="353">
        <v>9.769441187964048E-4</v>
      </c>
      <c r="K592" s="296"/>
      <c r="L592" s="354"/>
      <c r="M592" s="355"/>
      <c r="O592" s="367" t="str">
        <f>IFERROR(__xludf.DUMMYFUNCTION("""COMPUTED_VALUE"""),"Cannon Fort - Fuse 2★ #680")</f>
        <v>Cannon Fort - Fuse 2★ #680</v>
      </c>
      <c r="P592" s="296">
        <f>IFERROR(__xludf.DUMMYFUNCTION("""COMPUTED_VALUE"""),20.0)</f>
        <v>20</v>
      </c>
      <c r="Q592" s="355"/>
    </row>
    <row r="593" ht="12.75" customHeight="1">
      <c r="G593" s="354" t="s">
        <v>1304</v>
      </c>
      <c r="H593" s="296">
        <v>20.0</v>
      </c>
      <c r="I593" s="353">
        <v>9.769441187964048E-4</v>
      </c>
      <c r="K593" s="296"/>
      <c r="L593" s="354"/>
      <c r="M593" s="355"/>
      <c r="O593" s="367" t="str">
        <f>IFERROR(__xludf.DUMMYFUNCTION("""COMPUTED_VALUE"""),"Cannon Fort - Fuse 2★ #135")</f>
        <v>Cannon Fort - Fuse 2★ #135</v>
      </c>
      <c r="P593" s="296">
        <f>IFERROR(__xludf.DUMMYFUNCTION("""COMPUTED_VALUE"""),20.0)</f>
        <v>20</v>
      </c>
      <c r="Q593" s="355"/>
    </row>
    <row r="594" ht="12.75" customHeight="1">
      <c r="G594" s="354" t="s">
        <v>1305</v>
      </c>
      <c r="H594" s="296">
        <v>20.0</v>
      </c>
      <c r="I594" s="353">
        <v>9.769441187964048E-4</v>
      </c>
      <c r="K594" s="296"/>
      <c r="L594" s="354"/>
      <c r="M594" s="355"/>
      <c r="O594" s="367" t="str">
        <f>IFERROR(__xludf.DUMMYFUNCTION("""COMPUTED_VALUE"""),"Cannon Fort - Fuse 2★ #BEA")</f>
        <v>Cannon Fort - Fuse 2★ #BEA</v>
      </c>
      <c r="P594" s="296">
        <f>IFERROR(__xludf.DUMMYFUNCTION("""COMPUTED_VALUE"""),20.0)</f>
        <v>20</v>
      </c>
      <c r="Q594" s="355"/>
    </row>
    <row r="595" ht="12.75" customHeight="1">
      <c r="G595" s="354" t="s">
        <v>1306</v>
      </c>
      <c r="H595" s="296">
        <v>20.0</v>
      </c>
      <c r="I595" s="353">
        <v>9.769441187964048E-4</v>
      </c>
      <c r="K595" s="296"/>
      <c r="L595" s="354"/>
      <c r="M595" s="355"/>
      <c r="O595" s="367" t="str">
        <f>IFERROR(__xludf.DUMMYFUNCTION("""COMPUTED_VALUE"""),"Cannon Fort - Fuse 2★ #69F")</f>
        <v>Cannon Fort - Fuse 2★ #69F</v>
      </c>
      <c r="P595" s="296">
        <f>IFERROR(__xludf.DUMMYFUNCTION("""COMPUTED_VALUE"""),20.0)</f>
        <v>20</v>
      </c>
      <c r="Q595" s="355"/>
    </row>
    <row r="596" ht="12.75" customHeight="1">
      <c r="G596" s="354" t="s">
        <v>1307</v>
      </c>
      <c r="H596" s="296">
        <v>20.0</v>
      </c>
      <c r="I596" s="353">
        <v>9.769441187964048E-4</v>
      </c>
      <c r="K596" s="296"/>
      <c r="L596" s="354"/>
      <c r="M596" s="355"/>
      <c r="O596" s="367" t="str">
        <f>IFERROR(__xludf.DUMMYFUNCTION("""COMPUTED_VALUE"""),"Cannon Fort - Fuse 2★ #154")</f>
        <v>Cannon Fort - Fuse 2★ #154</v>
      </c>
      <c r="P596" s="296">
        <f>IFERROR(__xludf.DUMMYFUNCTION("""COMPUTED_VALUE"""),20.0)</f>
        <v>20</v>
      </c>
      <c r="Q596" s="355"/>
    </row>
    <row r="597" ht="12.75" customHeight="1">
      <c r="G597" s="354" t="s">
        <v>1308</v>
      </c>
      <c r="H597" s="296">
        <v>20.0</v>
      </c>
      <c r="I597" s="353">
        <v>9.769441187964048E-4</v>
      </c>
      <c r="K597" s="296"/>
      <c r="L597" s="354"/>
      <c r="M597" s="355"/>
      <c r="O597" s="367" t="str">
        <f>IFERROR(__xludf.DUMMYFUNCTION("""COMPUTED_VALUE"""),"Cannon Fort - Fuse 2★ #C09")</f>
        <v>Cannon Fort - Fuse 2★ #C09</v>
      </c>
      <c r="P597" s="296">
        <f>IFERROR(__xludf.DUMMYFUNCTION("""COMPUTED_VALUE"""),20.0)</f>
        <v>20</v>
      </c>
      <c r="Q597" s="355"/>
    </row>
    <row r="598" ht="12.75" customHeight="1">
      <c r="G598" s="354" t="s">
        <v>1309</v>
      </c>
      <c r="H598" s="296">
        <v>20.0</v>
      </c>
      <c r="I598" s="353">
        <v>9.769441187964048E-4</v>
      </c>
      <c r="K598" s="296"/>
      <c r="L598" s="354"/>
      <c r="M598" s="355"/>
      <c r="O598" s="367" t="str">
        <f>IFERROR(__xludf.DUMMYFUNCTION("""COMPUTED_VALUE"""),"Cannon Fort - Fuse 2★ #6BE")</f>
        <v>Cannon Fort - Fuse 2★ #6BE</v>
      </c>
      <c r="P598" s="296">
        <f>IFERROR(__xludf.DUMMYFUNCTION("""COMPUTED_VALUE"""),20.0)</f>
        <v>20</v>
      </c>
      <c r="Q598" s="355"/>
    </row>
    <row r="599" ht="12.75" customHeight="1">
      <c r="G599" s="354" t="s">
        <v>1310</v>
      </c>
      <c r="H599" s="296">
        <v>20.0</v>
      </c>
      <c r="I599" s="353">
        <v>9.769441187964048E-4</v>
      </c>
      <c r="K599" s="296"/>
      <c r="L599" s="354"/>
      <c r="M599" s="355"/>
      <c r="O599" s="367" t="str">
        <f>IFERROR(__xludf.DUMMYFUNCTION("""COMPUTED_VALUE"""),"Cannon Fort - Fuse 2★ #173")</f>
        <v>Cannon Fort - Fuse 2★ #173</v>
      </c>
      <c r="P599" s="296">
        <f>IFERROR(__xludf.DUMMYFUNCTION("""COMPUTED_VALUE"""),20.0)</f>
        <v>20</v>
      </c>
      <c r="Q599" s="355"/>
    </row>
    <row r="600" ht="12.75" customHeight="1">
      <c r="G600" s="354" t="s">
        <v>1311</v>
      </c>
      <c r="H600" s="296">
        <v>20.0</v>
      </c>
      <c r="I600" s="353">
        <v>9.769441187964048E-4</v>
      </c>
      <c r="K600" s="296"/>
      <c r="L600" s="354"/>
      <c r="M600" s="355"/>
      <c r="O600" s="367" t="str">
        <f>IFERROR(__xludf.DUMMYFUNCTION("""COMPUTED_VALUE"""),"Cannon Fort - Fuse 2★ #C28")</f>
        <v>Cannon Fort - Fuse 2★ #C28</v>
      </c>
      <c r="P600" s="296">
        <f>IFERROR(__xludf.DUMMYFUNCTION("""COMPUTED_VALUE"""),20.0)</f>
        <v>20</v>
      </c>
      <c r="Q600" s="355"/>
    </row>
    <row r="601" ht="12.75" customHeight="1">
      <c r="G601" s="354" t="s">
        <v>1312</v>
      </c>
      <c r="H601" s="296">
        <v>20.0</v>
      </c>
      <c r="I601" s="353">
        <v>9.769441187964048E-4</v>
      </c>
      <c r="K601" s="296"/>
      <c r="L601" s="354"/>
      <c r="M601" s="355"/>
      <c r="O601" s="367" t="str">
        <f>IFERROR(__xludf.DUMMYFUNCTION("""COMPUTED_VALUE"""),"Cannon Fort - Fuse 2★ #6DD")</f>
        <v>Cannon Fort - Fuse 2★ #6DD</v>
      </c>
      <c r="P601" s="296">
        <f>IFERROR(__xludf.DUMMYFUNCTION("""COMPUTED_VALUE"""),20.0)</f>
        <v>20</v>
      </c>
      <c r="Q601" s="355"/>
    </row>
    <row r="602" ht="12.75" customHeight="1">
      <c r="G602" s="354" t="s">
        <v>1313</v>
      </c>
      <c r="H602" s="296">
        <v>20.0</v>
      </c>
      <c r="I602" s="353">
        <v>9.769441187964048E-4</v>
      </c>
      <c r="K602" s="296"/>
      <c r="L602" s="354"/>
      <c r="M602" s="355"/>
      <c r="O602" s="367" t="str">
        <f>IFERROR(__xludf.DUMMYFUNCTION("""COMPUTED_VALUE"""),"Cannon Fort - Fuse 2★ #192")</f>
        <v>Cannon Fort - Fuse 2★ #192</v>
      </c>
      <c r="P602" s="296">
        <f>IFERROR(__xludf.DUMMYFUNCTION("""COMPUTED_VALUE"""),20.0)</f>
        <v>20</v>
      </c>
      <c r="Q602" s="355"/>
    </row>
    <row r="603" ht="12.75" customHeight="1">
      <c r="G603" s="354" t="s">
        <v>1314</v>
      </c>
      <c r="H603" s="296">
        <v>20.0</v>
      </c>
      <c r="I603" s="353">
        <v>9.769441187964048E-4</v>
      </c>
      <c r="K603" s="296"/>
      <c r="L603" s="354"/>
      <c r="M603" s="355"/>
      <c r="O603" s="367" t="str">
        <f>IFERROR(__xludf.DUMMYFUNCTION("""COMPUTED_VALUE"""),"Cannon Fort - Fuse 2★ #C47")</f>
        <v>Cannon Fort - Fuse 2★ #C47</v>
      </c>
      <c r="P603" s="296">
        <f>IFERROR(__xludf.DUMMYFUNCTION("""COMPUTED_VALUE"""),20.0)</f>
        <v>20</v>
      </c>
      <c r="Q603" s="355"/>
    </row>
    <row r="604" ht="12.75" customHeight="1">
      <c r="G604" s="354" t="s">
        <v>1315</v>
      </c>
      <c r="H604" s="296">
        <v>20.0</v>
      </c>
      <c r="I604" s="353">
        <v>9.769441187964048E-4</v>
      </c>
      <c r="K604" s="296"/>
      <c r="L604" s="354"/>
      <c r="M604" s="355"/>
      <c r="O604" s="367" t="str">
        <f>IFERROR(__xludf.DUMMYFUNCTION("""COMPUTED_VALUE"""),"Cannon Fort - Ramrod 2★ #6FC")</f>
        <v>Cannon Fort - Ramrod 2★ #6FC</v>
      </c>
      <c r="P604" s="296">
        <f>IFERROR(__xludf.DUMMYFUNCTION("""COMPUTED_VALUE"""),20.0)</f>
        <v>20</v>
      </c>
      <c r="Q604" s="355"/>
    </row>
    <row r="605" ht="12.75" customHeight="1">
      <c r="G605" s="354" t="s">
        <v>1316</v>
      </c>
      <c r="H605" s="296">
        <v>20.0</v>
      </c>
      <c r="I605" s="353">
        <v>9.769441187964048E-4</v>
      </c>
      <c r="K605" s="296"/>
      <c r="L605" s="354"/>
      <c r="M605" s="355"/>
      <c r="O605" s="367" t="str">
        <f>IFERROR(__xludf.DUMMYFUNCTION("""COMPUTED_VALUE"""),"Cannon Fort - Ramrod 2★ #1B1")</f>
        <v>Cannon Fort - Ramrod 2★ #1B1</v>
      </c>
      <c r="P605" s="296">
        <f>IFERROR(__xludf.DUMMYFUNCTION("""COMPUTED_VALUE"""),20.0)</f>
        <v>20</v>
      </c>
      <c r="Q605" s="355"/>
    </row>
    <row r="606" ht="12.75" customHeight="1">
      <c r="G606" s="354" t="s">
        <v>1317</v>
      </c>
      <c r="H606" s="296">
        <v>20.0</v>
      </c>
      <c r="I606" s="353">
        <v>9.769441187964048E-4</v>
      </c>
      <c r="K606" s="296"/>
      <c r="L606" s="354"/>
      <c r="M606" s="355"/>
      <c r="O606" s="367" t="str">
        <f>IFERROR(__xludf.DUMMYFUNCTION("""COMPUTED_VALUE"""),"Cannon Fort - Ramrod 2★ #C66")</f>
        <v>Cannon Fort - Ramrod 2★ #C66</v>
      </c>
      <c r="P606" s="296">
        <f>IFERROR(__xludf.DUMMYFUNCTION("""COMPUTED_VALUE"""),20.0)</f>
        <v>20</v>
      </c>
      <c r="Q606" s="355"/>
    </row>
    <row r="607" ht="12.75" customHeight="1">
      <c r="G607" s="354" t="s">
        <v>1318</v>
      </c>
      <c r="H607" s="296">
        <v>20.0</v>
      </c>
      <c r="I607" s="353">
        <v>9.769441187964048E-4</v>
      </c>
      <c r="K607" s="296"/>
      <c r="L607" s="354"/>
      <c r="M607" s="355"/>
      <c r="O607" s="367" t="str">
        <f>IFERROR(__xludf.DUMMYFUNCTION("""COMPUTED_VALUE"""),"Cannon Fort - Ramrod 2★ #71B")</f>
        <v>Cannon Fort - Ramrod 2★ #71B</v>
      </c>
      <c r="P607" s="296">
        <f>IFERROR(__xludf.DUMMYFUNCTION("""COMPUTED_VALUE"""),20.0)</f>
        <v>20</v>
      </c>
      <c r="Q607" s="355"/>
    </row>
    <row r="608" ht="12.75" customHeight="1">
      <c r="G608" s="354" t="s">
        <v>1319</v>
      </c>
      <c r="H608" s="296">
        <v>20.0</v>
      </c>
      <c r="I608" s="353">
        <v>9.769441187964048E-4</v>
      </c>
      <c r="K608" s="296"/>
      <c r="L608" s="354"/>
      <c r="M608" s="355"/>
      <c r="O608" s="367" t="str">
        <f>IFERROR(__xludf.DUMMYFUNCTION("""COMPUTED_VALUE"""),"Cannon Fort - Ramrod 2★ #1D0")</f>
        <v>Cannon Fort - Ramrod 2★ #1D0</v>
      </c>
      <c r="P608" s="296">
        <f>IFERROR(__xludf.DUMMYFUNCTION("""COMPUTED_VALUE"""),20.0)</f>
        <v>20</v>
      </c>
      <c r="Q608" s="355"/>
    </row>
    <row r="609" ht="12.75" customHeight="1">
      <c r="G609" s="354" t="s">
        <v>1320</v>
      </c>
      <c r="H609" s="296">
        <v>20.0</v>
      </c>
      <c r="I609" s="353">
        <v>9.769441187964048E-4</v>
      </c>
      <c r="K609" s="296"/>
      <c r="L609" s="354"/>
      <c r="M609" s="355"/>
      <c r="O609" s="367" t="str">
        <f>IFERROR(__xludf.DUMMYFUNCTION("""COMPUTED_VALUE"""),"Cannon Fort - Ramrod 2★ #C85")</f>
        <v>Cannon Fort - Ramrod 2★ #C85</v>
      </c>
      <c r="P609" s="296">
        <f>IFERROR(__xludf.DUMMYFUNCTION("""COMPUTED_VALUE"""),20.0)</f>
        <v>20</v>
      </c>
      <c r="Q609" s="355"/>
    </row>
    <row r="610" ht="12.75" customHeight="1">
      <c r="G610" s="354" t="s">
        <v>1321</v>
      </c>
      <c r="H610" s="296">
        <v>20.0</v>
      </c>
      <c r="I610" s="353">
        <v>9.769441187964048E-4</v>
      </c>
      <c r="K610" s="296"/>
      <c r="L610" s="354"/>
      <c r="M610" s="355"/>
      <c r="O610" s="367" t="str">
        <f>IFERROR(__xludf.DUMMYFUNCTION("""COMPUTED_VALUE"""),"Cannon Fort - Ramrod 2★ #73A")</f>
        <v>Cannon Fort - Ramrod 2★ #73A</v>
      </c>
      <c r="P610" s="296">
        <f>IFERROR(__xludf.DUMMYFUNCTION("""COMPUTED_VALUE"""),20.0)</f>
        <v>20</v>
      </c>
      <c r="Q610" s="355"/>
    </row>
    <row r="611" ht="12.75" customHeight="1">
      <c r="G611" s="354" t="s">
        <v>1322</v>
      </c>
      <c r="H611" s="296">
        <v>20.0</v>
      </c>
      <c r="I611" s="353">
        <v>9.769441187964048E-4</v>
      </c>
      <c r="K611" s="296"/>
      <c r="L611" s="354"/>
      <c r="M611" s="355"/>
      <c r="O611" s="367" t="str">
        <f>IFERROR(__xludf.DUMMYFUNCTION("""COMPUTED_VALUE"""),"Cannon Fort - Ramrod 2★ #1EF")</f>
        <v>Cannon Fort - Ramrod 2★ #1EF</v>
      </c>
      <c r="P611" s="296">
        <f>IFERROR(__xludf.DUMMYFUNCTION("""COMPUTED_VALUE"""),20.0)</f>
        <v>20</v>
      </c>
      <c r="Q611" s="355"/>
    </row>
    <row r="612" ht="12.75" customHeight="1">
      <c r="G612" s="354" t="s">
        <v>1323</v>
      </c>
      <c r="H612" s="296">
        <v>20.0</v>
      </c>
      <c r="I612" s="353">
        <v>9.769441187964048E-4</v>
      </c>
      <c r="K612" s="296"/>
      <c r="L612" s="354"/>
      <c r="M612" s="355"/>
      <c r="O612" s="367" t="str">
        <f>IFERROR(__xludf.DUMMYFUNCTION("""COMPUTED_VALUE"""),"Cannon Fort - Ramrod 2★ #CA4")</f>
        <v>Cannon Fort - Ramrod 2★ #CA4</v>
      </c>
      <c r="P612" s="296">
        <f>IFERROR(__xludf.DUMMYFUNCTION("""COMPUTED_VALUE"""),20.0)</f>
        <v>20</v>
      </c>
      <c r="Q612" s="355"/>
    </row>
    <row r="613" ht="12.75" customHeight="1">
      <c r="G613" s="354" t="s">
        <v>1324</v>
      </c>
      <c r="H613" s="296">
        <v>20.0</v>
      </c>
      <c r="I613" s="353">
        <v>9.769441187964048E-4</v>
      </c>
      <c r="K613" s="296"/>
      <c r="L613" s="354"/>
      <c r="M613" s="355"/>
      <c r="O613" s="367" t="str">
        <f>IFERROR(__xludf.DUMMYFUNCTION("""COMPUTED_VALUE"""),"Cannon Fort - Ramrod 2★ #759")</f>
        <v>Cannon Fort - Ramrod 2★ #759</v>
      </c>
      <c r="P613" s="296">
        <f>IFERROR(__xludf.DUMMYFUNCTION("""COMPUTED_VALUE"""),20.0)</f>
        <v>20</v>
      </c>
      <c r="Q613" s="355"/>
    </row>
    <row r="614" ht="12.75" customHeight="1">
      <c r="G614" s="354" t="s">
        <v>1325</v>
      </c>
      <c r="H614" s="296">
        <v>20.0</v>
      </c>
      <c r="I614" s="353">
        <v>9.769441187964048E-4</v>
      </c>
      <c r="K614" s="296"/>
      <c r="L614" s="354"/>
      <c r="M614" s="355"/>
      <c r="O614" s="367" t="str">
        <f>IFERROR(__xludf.DUMMYFUNCTION("""COMPUTED_VALUE"""),"Cannon Fort - Ramrod 2★ #20E")</f>
        <v>Cannon Fort - Ramrod 2★ #20E</v>
      </c>
      <c r="P614" s="296">
        <f>IFERROR(__xludf.DUMMYFUNCTION("""COMPUTED_VALUE"""),20.0)</f>
        <v>20</v>
      </c>
      <c r="Q614" s="355"/>
    </row>
    <row r="615" ht="12.75" customHeight="1">
      <c r="G615" s="354" t="s">
        <v>1326</v>
      </c>
      <c r="H615" s="296">
        <v>20.0</v>
      </c>
      <c r="I615" s="353">
        <v>9.769441187964048E-4</v>
      </c>
      <c r="K615" s="296"/>
      <c r="L615" s="354"/>
      <c r="M615" s="355"/>
      <c r="O615" s="367" t="str">
        <f>IFERROR(__xludf.DUMMYFUNCTION("""COMPUTED_VALUE"""),"Cannon Fort - Ramrod 2★ #CC3")</f>
        <v>Cannon Fort - Ramrod 2★ #CC3</v>
      </c>
      <c r="P615" s="296">
        <f>IFERROR(__xludf.DUMMYFUNCTION("""COMPUTED_VALUE"""),20.0)</f>
        <v>20</v>
      </c>
      <c r="Q615" s="355"/>
    </row>
    <row r="616" ht="12.75" customHeight="1">
      <c r="G616" s="354" t="s">
        <v>1327</v>
      </c>
      <c r="H616" s="296">
        <v>10.0</v>
      </c>
      <c r="I616" s="353">
        <v>4.884720593982024E-4</v>
      </c>
      <c r="K616" s="296"/>
      <c r="L616" s="354"/>
      <c r="M616" s="355"/>
      <c r="O616" s="367" t="str">
        <f>IFERROR(__xludf.DUMMYFUNCTION("""COMPUTED_VALUE"""),"Cannon Fort - War Flag 3★ #778")</f>
        <v>Cannon Fort - War Flag 3★ #778</v>
      </c>
      <c r="P616" s="296">
        <f>IFERROR(__xludf.DUMMYFUNCTION("""COMPUTED_VALUE"""),10.0)</f>
        <v>10</v>
      </c>
      <c r="Q616" s="355"/>
    </row>
    <row r="617" ht="12.75" customHeight="1">
      <c r="G617" s="354" t="s">
        <v>1328</v>
      </c>
      <c r="H617" s="296">
        <v>10.0</v>
      </c>
      <c r="I617" s="353">
        <v>4.884720593982024E-4</v>
      </c>
      <c r="K617" s="296"/>
      <c r="L617" s="354"/>
      <c r="M617" s="355"/>
      <c r="O617" s="367" t="str">
        <f>IFERROR(__xludf.DUMMYFUNCTION("""COMPUTED_VALUE"""),"Cannon Fort - War Flag 3★ #22D")</f>
        <v>Cannon Fort - War Flag 3★ #22D</v>
      </c>
      <c r="P617" s="296">
        <f>IFERROR(__xludf.DUMMYFUNCTION("""COMPUTED_VALUE"""),10.0)</f>
        <v>10</v>
      </c>
      <c r="Q617" s="355"/>
    </row>
    <row r="618" ht="12.75" customHeight="1">
      <c r="G618" s="354" t="s">
        <v>1329</v>
      </c>
      <c r="H618" s="296">
        <v>10.0</v>
      </c>
      <c r="I618" s="353">
        <v>4.884720593982024E-4</v>
      </c>
      <c r="K618" s="296"/>
      <c r="L618" s="354"/>
      <c r="M618" s="355"/>
      <c r="O618" s="367" t="str">
        <f>IFERROR(__xludf.DUMMYFUNCTION("""COMPUTED_VALUE"""),"Cannon Fort - War Flag 3★ #CE2")</f>
        <v>Cannon Fort - War Flag 3★ #CE2</v>
      </c>
      <c r="P618" s="296">
        <f>IFERROR(__xludf.DUMMYFUNCTION("""COMPUTED_VALUE"""),10.0)</f>
        <v>10</v>
      </c>
      <c r="Q618" s="355"/>
    </row>
    <row r="619" ht="12.75" customHeight="1">
      <c r="G619" s="354" t="s">
        <v>1330</v>
      </c>
      <c r="H619" s="296">
        <v>10.0</v>
      </c>
      <c r="I619" s="353">
        <v>4.884720593982024E-4</v>
      </c>
      <c r="K619" s="296"/>
      <c r="L619" s="354"/>
      <c r="M619" s="355"/>
      <c r="O619" s="367" t="str">
        <f>IFERROR(__xludf.DUMMYFUNCTION("""COMPUTED_VALUE"""),"Cannon Fort - War Flag 3★ #797")</f>
        <v>Cannon Fort - War Flag 3★ #797</v>
      </c>
      <c r="P619" s="296">
        <f>IFERROR(__xludf.DUMMYFUNCTION("""COMPUTED_VALUE"""),10.0)</f>
        <v>10</v>
      </c>
      <c r="Q619" s="355"/>
    </row>
    <row r="620" ht="12.75" customHeight="1">
      <c r="G620" s="354" t="s">
        <v>1331</v>
      </c>
      <c r="H620" s="296">
        <v>10.0</v>
      </c>
      <c r="I620" s="353">
        <v>4.884720593982024E-4</v>
      </c>
      <c r="K620" s="296"/>
      <c r="L620" s="354"/>
      <c r="M620" s="355"/>
      <c r="O620" s="367" t="str">
        <f>IFERROR(__xludf.DUMMYFUNCTION("""COMPUTED_VALUE"""),"Cannon Fort - War Flag 3★ #24C")</f>
        <v>Cannon Fort - War Flag 3★ #24C</v>
      </c>
      <c r="P620" s="296">
        <f>IFERROR(__xludf.DUMMYFUNCTION("""COMPUTED_VALUE"""),10.0)</f>
        <v>10</v>
      </c>
      <c r="Q620" s="355"/>
    </row>
    <row r="621" ht="12.75" customHeight="1">
      <c r="G621" s="354" t="s">
        <v>1332</v>
      </c>
      <c r="H621" s="296">
        <v>10.0</v>
      </c>
      <c r="I621" s="353">
        <v>4.884720593982024E-4</v>
      </c>
      <c r="K621" s="296"/>
      <c r="L621" s="354"/>
      <c r="M621" s="355"/>
      <c r="O621" s="367" t="str">
        <f>IFERROR(__xludf.DUMMYFUNCTION("""COMPUTED_VALUE"""),"Cannon Fort - War Flag 3★ #D01")</f>
        <v>Cannon Fort - War Flag 3★ #D01</v>
      </c>
      <c r="P621" s="296">
        <f>IFERROR(__xludf.DUMMYFUNCTION("""COMPUTED_VALUE"""),10.0)</f>
        <v>10</v>
      </c>
      <c r="Q621" s="355"/>
    </row>
    <row r="622" ht="12.75" customHeight="1">
      <c r="G622" s="354" t="s">
        <v>1333</v>
      </c>
      <c r="H622" s="296">
        <v>10.0</v>
      </c>
      <c r="I622" s="353">
        <v>4.884720593982024E-4</v>
      </c>
      <c r="K622" s="296"/>
      <c r="L622" s="354"/>
      <c r="M622" s="355"/>
      <c r="O622" s="367" t="str">
        <f>IFERROR(__xludf.DUMMYFUNCTION("""COMPUTED_VALUE"""),"Cannon Fort - War Flag 3★ #7B6")</f>
        <v>Cannon Fort - War Flag 3★ #7B6</v>
      </c>
      <c r="P622" s="296">
        <f>IFERROR(__xludf.DUMMYFUNCTION("""COMPUTED_VALUE"""),10.0)</f>
        <v>10</v>
      </c>
      <c r="Q622" s="355"/>
    </row>
    <row r="623" ht="12.75" customHeight="1">
      <c r="G623" s="354" t="s">
        <v>1334</v>
      </c>
      <c r="H623" s="296">
        <v>10.0</v>
      </c>
      <c r="I623" s="353">
        <v>4.884720593982024E-4</v>
      </c>
      <c r="K623" s="296"/>
      <c r="L623" s="354"/>
      <c r="M623" s="355"/>
      <c r="O623" s="367" t="str">
        <f>IFERROR(__xludf.DUMMYFUNCTION("""COMPUTED_VALUE"""),"Cannon Fort - War Flag 3★ #26B")</f>
        <v>Cannon Fort - War Flag 3★ #26B</v>
      </c>
      <c r="P623" s="296">
        <f>IFERROR(__xludf.DUMMYFUNCTION("""COMPUTED_VALUE"""),10.0)</f>
        <v>10</v>
      </c>
      <c r="Q623" s="355"/>
    </row>
    <row r="624" ht="12.75" customHeight="1">
      <c r="G624" s="354" t="s">
        <v>1335</v>
      </c>
      <c r="H624" s="296">
        <v>10.0</v>
      </c>
      <c r="I624" s="353">
        <v>4.884720593982024E-4</v>
      </c>
      <c r="K624" s="296"/>
      <c r="L624" s="354"/>
      <c r="M624" s="355"/>
      <c r="O624" s="367" t="str">
        <f>IFERROR(__xludf.DUMMYFUNCTION("""COMPUTED_VALUE"""),"Cannon Fort - War Flag 3★ #D20")</f>
        <v>Cannon Fort - War Flag 3★ #D20</v>
      </c>
      <c r="P624" s="296">
        <f>IFERROR(__xludf.DUMMYFUNCTION("""COMPUTED_VALUE"""),10.0)</f>
        <v>10</v>
      </c>
      <c r="Q624" s="355"/>
    </row>
    <row r="625" ht="12.75" customHeight="1">
      <c r="G625" s="354" t="s">
        <v>1336</v>
      </c>
      <c r="H625" s="296">
        <v>10.0</v>
      </c>
      <c r="I625" s="353">
        <v>4.884720593982024E-4</v>
      </c>
      <c r="K625" s="296"/>
      <c r="L625" s="354"/>
      <c r="M625" s="355"/>
      <c r="O625" s="367" t="str">
        <f>IFERROR(__xludf.DUMMYFUNCTION("""COMPUTED_VALUE"""),"Cannon Fort - War Flag 3★ #7D5")</f>
        <v>Cannon Fort - War Flag 3★ #7D5</v>
      </c>
      <c r="P625" s="296">
        <f>IFERROR(__xludf.DUMMYFUNCTION("""COMPUTED_VALUE"""),10.0)</f>
        <v>10</v>
      </c>
      <c r="Q625" s="355"/>
    </row>
    <row r="626" ht="12.75" customHeight="1">
      <c r="G626" s="354" t="s">
        <v>1337</v>
      </c>
      <c r="H626" s="296">
        <v>10.0</v>
      </c>
      <c r="I626" s="353">
        <v>4.884720593982024E-4</v>
      </c>
      <c r="K626" s="296"/>
      <c r="L626" s="354"/>
      <c r="M626" s="355"/>
      <c r="O626" s="367" t="str">
        <f>IFERROR(__xludf.DUMMYFUNCTION("""COMPUTED_VALUE"""),"Cannon Fort - War Flag 3★ #28A")</f>
        <v>Cannon Fort - War Flag 3★ #28A</v>
      </c>
      <c r="P626" s="296">
        <f>IFERROR(__xludf.DUMMYFUNCTION("""COMPUTED_VALUE"""),10.0)</f>
        <v>10</v>
      </c>
      <c r="Q626" s="355"/>
    </row>
    <row r="627" ht="12.75" customHeight="1">
      <c r="G627" s="354" t="s">
        <v>1338</v>
      </c>
      <c r="H627" s="296">
        <v>10.0</v>
      </c>
      <c r="I627" s="353">
        <v>4.884720593982024E-4</v>
      </c>
      <c r="K627" s="296"/>
      <c r="L627" s="354"/>
      <c r="M627" s="355"/>
      <c r="O627" s="367" t="str">
        <f>IFERROR(__xludf.DUMMYFUNCTION("""COMPUTED_VALUE"""),"Cannon Fort - War Flag 3★ #D3F")</f>
        <v>Cannon Fort - War Flag 3★ #D3F</v>
      </c>
      <c r="P627" s="296">
        <f>IFERROR(__xludf.DUMMYFUNCTION("""COMPUTED_VALUE"""),10.0)</f>
        <v>10</v>
      </c>
      <c r="Q627" s="355"/>
    </row>
    <row r="628" ht="12.75" customHeight="1">
      <c r="G628" s="354" t="s">
        <v>1339</v>
      </c>
      <c r="H628" s="296">
        <v>10.0</v>
      </c>
      <c r="I628" s="353">
        <v>4.884720593982024E-4</v>
      </c>
      <c r="K628" s="296"/>
      <c r="L628" s="354"/>
      <c r="M628" s="355"/>
      <c r="O628" s="367" t="str">
        <f>IFERROR(__xludf.DUMMYFUNCTION("""COMPUTED_VALUE"""),"Cannon Fort - War Flag 3★ #7F4")</f>
        <v>Cannon Fort - War Flag 3★ #7F4</v>
      </c>
      <c r="P628" s="296">
        <f>IFERROR(__xludf.DUMMYFUNCTION("""COMPUTED_VALUE"""),10.0)</f>
        <v>10</v>
      </c>
      <c r="Q628" s="355"/>
    </row>
    <row r="629" ht="12.75" customHeight="1">
      <c r="G629" s="354" t="s">
        <v>1340</v>
      </c>
      <c r="H629" s="296">
        <v>5.0</v>
      </c>
      <c r="I629" s="353">
        <v>2.442360296991012E-4</v>
      </c>
      <c r="K629" s="296"/>
      <c r="L629" s="354"/>
      <c r="M629" s="355"/>
      <c r="O629" s="367" t="str">
        <f>IFERROR(__xludf.DUMMYFUNCTION("""COMPUTED_VALUE"""),"Cannon Fort - Tower 4★ #2A9")</f>
        <v>Cannon Fort - Tower 4★ #2A9</v>
      </c>
      <c r="P629" s="296">
        <f>IFERROR(__xludf.DUMMYFUNCTION("""COMPUTED_VALUE"""),5.0)</f>
        <v>5</v>
      </c>
      <c r="Q629" s="355"/>
    </row>
    <row r="630" ht="12.75" customHeight="1">
      <c r="G630" s="354" t="s">
        <v>1341</v>
      </c>
      <c r="H630" s="296">
        <v>5.0</v>
      </c>
      <c r="I630" s="353">
        <v>2.442360296991012E-4</v>
      </c>
      <c r="K630" s="296"/>
      <c r="L630" s="354"/>
      <c r="M630" s="355"/>
      <c r="O630" s="367" t="str">
        <f>IFERROR(__xludf.DUMMYFUNCTION("""COMPUTED_VALUE"""),"Cannon Fort - Tower 4★ #D5E")</f>
        <v>Cannon Fort - Tower 4★ #D5E</v>
      </c>
      <c r="P630" s="296">
        <f>IFERROR(__xludf.DUMMYFUNCTION("""COMPUTED_VALUE"""),5.0)</f>
        <v>5</v>
      </c>
      <c r="Q630" s="355"/>
    </row>
    <row r="631" ht="12.75" customHeight="1">
      <c r="G631" s="354" t="s">
        <v>1342</v>
      </c>
      <c r="H631" s="296">
        <v>5.0</v>
      </c>
      <c r="I631" s="353">
        <v>2.442360296991012E-4</v>
      </c>
      <c r="K631" s="296"/>
      <c r="L631" s="354"/>
      <c r="M631" s="355"/>
      <c r="O631" s="367" t="str">
        <f>IFERROR(__xludf.DUMMYFUNCTION("""COMPUTED_VALUE"""),"Cannon Fort - Tower 4★ #813")</f>
        <v>Cannon Fort - Tower 4★ #813</v>
      </c>
      <c r="P631" s="296">
        <f>IFERROR(__xludf.DUMMYFUNCTION("""COMPUTED_VALUE"""),5.0)</f>
        <v>5</v>
      </c>
      <c r="Q631" s="355"/>
    </row>
    <row r="632" ht="12.75" customHeight="1">
      <c r="G632" s="354" t="s">
        <v>1343</v>
      </c>
      <c r="H632" s="296">
        <v>5.0</v>
      </c>
      <c r="I632" s="353">
        <v>2.442360296991012E-4</v>
      </c>
      <c r="K632" s="296"/>
      <c r="L632" s="354"/>
      <c r="M632" s="355"/>
      <c r="O632" s="367" t="str">
        <f>IFERROR(__xludf.DUMMYFUNCTION("""COMPUTED_VALUE"""),"Cannon Fort - Tower 4★ #2C8")</f>
        <v>Cannon Fort - Tower 4★ #2C8</v>
      </c>
      <c r="P632" s="296">
        <f>IFERROR(__xludf.DUMMYFUNCTION("""COMPUTED_VALUE"""),5.0)</f>
        <v>5</v>
      </c>
      <c r="Q632" s="355"/>
    </row>
    <row r="633" ht="12.75" customHeight="1">
      <c r="G633" s="354" t="s">
        <v>1344</v>
      </c>
      <c r="H633" s="296">
        <v>5.0</v>
      </c>
      <c r="I633" s="353">
        <v>2.442360296991012E-4</v>
      </c>
      <c r="K633" s="296"/>
      <c r="L633" s="354"/>
      <c r="M633" s="355"/>
      <c r="O633" s="367" t="str">
        <f>IFERROR(__xludf.DUMMYFUNCTION("""COMPUTED_VALUE"""),"Cannon Fort - Tower 4★ #D7D")</f>
        <v>Cannon Fort - Tower 4★ #D7D</v>
      </c>
      <c r="P633" s="296">
        <f>IFERROR(__xludf.DUMMYFUNCTION("""COMPUTED_VALUE"""),5.0)</f>
        <v>5</v>
      </c>
      <c r="Q633" s="355"/>
    </row>
    <row r="634" ht="12.75" customHeight="1">
      <c r="G634" s="354" t="s">
        <v>1345</v>
      </c>
      <c r="H634" s="296">
        <v>5.0</v>
      </c>
      <c r="I634" s="353">
        <v>2.442360296991012E-4</v>
      </c>
      <c r="K634" s="296"/>
      <c r="L634" s="354"/>
      <c r="M634" s="355"/>
      <c r="O634" s="367" t="str">
        <f>IFERROR(__xludf.DUMMYFUNCTION("""COMPUTED_VALUE"""),"Cannon Fort - Tower 4★ #832")</f>
        <v>Cannon Fort - Tower 4★ #832</v>
      </c>
      <c r="P634" s="296">
        <f>IFERROR(__xludf.DUMMYFUNCTION("""COMPUTED_VALUE"""),5.0)</f>
        <v>5</v>
      </c>
      <c r="Q634" s="355"/>
    </row>
    <row r="635" ht="12.75" customHeight="1">
      <c r="G635" s="354" t="s">
        <v>1346</v>
      </c>
      <c r="H635" s="296">
        <v>5.0</v>
      </c>
      <c r="I635" s="353">
        <v>2.442360296991012E-4</v>
      </c>
      <c r="K635" s="296"/>
      <c r="L635" s="354"/>
      <c r="M635" s="355"/>
      <c r="O635" s="367" t="str">
        <f>IFERROR(__xludf.DUMMYFUNCTION("""COMPUTED_VALUE"""),"Cannon Fort - Tower 4★ #2E7")</f>
        <v>Cannon Fort - Tower 4★ #2E7</v>
      </c>
      <c r="P635" s="296">
        <f>IFERROR(__xludf.DUMMYFUNCTION("""COMPUTED_VALUE"""),5.0)</f>
        <v>5</v>
      </c>
      <c r="Q635" s="355"/>
    </row>
    <row r="636" ht="12.75" customHeight="1">
      <c r="G636" s="354" t="s">
        <v>1347</v>
      </c>
      <c r="H636" s="296">
        <v>5.0</v>
      </c>
      <c r="I636" s="353">
        <v>2.442360296991012E-4</v>
      </c>
      <c r="K636" s="296"/>
      <c r="L636" s="354"/>
      <c r="M636" s="355"/>
      <c r="O636" s="367" t="str">
        <f>IFERROR(__xludf.DUMMYFUNCTION("""COMPUTED_VALUE"""),"Cannon Fort - Tower 4★ #D9C")</f>
        <v>Cannon Fort - Tower 4★ #D9C</v>
      </c>
      <c r="P636" s="296">
        <f>IFERROR(__xludf.DUMMYFUNCTION("""COMPUTED_VALUE"""),5.0)</f>
        <v>5</v>
      </c>
      <c r="Q636" s="355"/>
    </row>
    <row r="637" ht="12.75" customHeight="1">
      <c r="G637" s="354" t="s">
        <v>1348</v>
      </c>
      <c r="H637" s="296">
        <v>5.0</v>
      </c>
      <c r="I637" s="353">
        <v>2.442360296991012E-4</v>
      </c>
      <c r="K637" s="296"/>
      <c r="L637" s="354"/>
      <c r="M637" s="355"/>
      <c r="O637" s="367" t="str">
        <f>IFERROR(__xludf.DUMMYFUNCTION("""COMPUTED_VALUE"""),"Cannon Fort - Tower 4★ #851")</f>
        <v>Cannon Fort - Tower 4★ #851</v>
      </c>
      <c r="P637" s="296">
        <f>IFERROR(__xludf.DUMMYFUNCTION("""COMPUTED_VALUE"""),5.0)</f>
        <v>5</v>
      </c>
      <c r="Q637" s="355"/>
    </row>
    <row r="638" ht="12.75" customHeight="1">
      <c r="G638" s="354" t="s">
        <v>1349</v>
      </c>
      <c r="H638" s="296">
        <v>5.0</v>
      </c>
      <c r="I638" s="353">
        <v>2.442360296991012E-4</v>
      </c>
      <c r="K638" s="296"/>
      <c r="L638" s="354"/>
      <c r="M638" s="355"/>
      <c r="O638" s="367" t="str">
        <f>IFERROR(__xludf.DUMMYFUNCTION("""COMPUTED_VALUE"""),"Cannon Fort - Tower 4★ #306")</f>
        <v>Cannon Fort - Tower 4★ #306</v>
      </c>
      <c r="P638" s="296">
        <f>IFERROR(__xludf.DUMMYFUNCTION("""COMPUTED_VALUE"""),5.0)</f>
        <v>5</v>
      </c>
      <c r="Q638" s="355"/>
    </row>
    <row r="639" ht="12.75" customHeight="1">
      <c r="G639" s="354" t="s">
        <v>1350</v>
      </c>
      <c r="H639" s="296">
        <v>5.0</v>
      </c>
      <c r="I639" s="353">
        <v>2.442360296991012E-4</v>
      </c>
      <c r="K639" s="296"/>
      <c r="L639" s="354"/>
      <c r="M639" s="355"/>
      <c r="O639" s="367" t="str">
        <f>IFERROR(__xludf.DUMMYFUNCTION("""COMPUTED_VALUE"""),"Cannon Fort - Tower 4★ #DBB")</f>
        <v>Cannon Fort - Tower 4★ #DBB</v>
      </c>
      <c r="P639" s="296">
        <f>IFERROR(__xludf.DUMMYFUNCTION("""COMPUTED_VALUE"""),5.0)</f>
        <v>5</v>
      </c>
      <c r="Q639" s="355"/>
    </row>
    <row r="640" ht="12.75" customHeight="1">
      <c r="G640" s="354" t="s">
        <v>1351</v>
      </c>
      <c r="H640" s="296">
        <v>2.0</v>
      </c>
      <c r="I640" s="353">
        <v>9.769441187964049E-5</v>
      </c>
      <c r="K640" s="296"/>
      <c r="L640" s="354"/>
      <c r="M640" s="355"/>
      <c r="O640" s="367" t="str">
        <f>IFERROR(__xludf.DUMMYFUNCTION("""COMPUTED_VALUE"""),"Cannon Fort - Bridge 5★ #870")</f>
        <v>Cannon Fort - Bridge 5★ #870</v>
      </c>
      <c r="P640" s="296">
        <f>IFERROR(__xludf.DUMMYFUNCTION("""COMPUTED_VALUE"""),2.0)</f>
        <v>2</v>
      </c>
      <c r="Q640" s="355"/>
    </row>
    <row r="641" ht="12.75" customHeight="1">
      <c r="G641" s="354" t="s">
        <v>1352</v>
      </c>
      <c r="H641" s="296">
        <v>2.0</v>
      </c>
      <c r="I641" s="353">
        <v>9.769441187964049E-5</v>
      </c>
      <c r="K641" s="296"/>
      <c r="L641" s="354"/>
      <c r="M641" s="355"/>
      <c r="O641" s="367" t="str">
        <f>IFERROR(__xludf.DUMMYFUNCTION("""COMPUTED_VALUE"""),"Cannon Fort - Bridge 5★ #325")</f>
        <v>Cannon Fort - Bridge 5★ #325</v>
      </c>
      <c r="P641" s="296">
        <f>IFERROR(__xludf.DUMMYFUNCTION("""COMPUTED_VALUE"""),2.0)</f>
        <v>2</v>
      </c>
      <c r="Q641" s="355"/>
    </row>
    <row r="642" ht="12.75" customHeight="1">
      <c r="G642" s="354" t="s">
        <v>1353</v>
      </c>
      <c r="H642" s="296">
        <v>2.0</v>
      </c>
      <c r="I642" s="353">
        <v>9.769441187964049E-5</v>
      </c>
      <c r="K642" s="296"/>
      <c r="L642" s="354"/>
      <c r="M642" s="355"/>
      <c r="O642" s="367" t="str">
        <f>IFERROR(__xludf.DUMMYFUNCTION("""COMPUTED_VALUE"""),"Cannon Fort - Bridge 5★ #DDA")</f>
        <v>Cannon Fort - Bridge 5★ #DDA</v>
      </c>
      <c r="P642" s="296">
        <f>IFERROR(__xludf.DUMMYFUNCTION("""COMPUTED_VALUE"""),2.0)</f>
        <v>2</v>
      </c>
      <c r="Q642" s="355"/>
    </row>
    <row r="643" ht="12.75" customHeight="1">
      <c r="G643" s="354" t="s">
        <v>1354</v>
      </c>
      <c r="H643" s="296">
        <v>2.0</v>
      </c>
      <c r="I643" s="353">
        <v>9.769441187964049E-5</v>
      </c>
      <c r="K643" s="296"/>
      <c r="L643" s="354"/>
      <c r="M643" s="355"/>
      <c r="O643" s="367" t="str">
        <f>IFERROR(__xludf.DUMMYFUNCTION("""COMPUTED_VALUE"""),"Cannon Fort - Bridge 5★ #88F")</f>
        <v>Cannon Fort - Bridge 5★ #88F</v>
      </c>
      <c r="P643" s="296">
        <f>IFERROR(__xludf.DUMMYFUNCTION("""COMPUTED_VALUE"""),2.0)</f>
        <v>2</v>
      </c>
      <c r="Q643" s="355"/>
    </row>
    <row r="644" ht="12.75" customHeight="1">
      <c r="G644" s="354" t="s">
        <v>1355</v>
      </c>
      <c r="H644" s="296">
        <v>2.0</v>
      </c>
      <c r="I644" s="353">
        <v>9.769441187964049E-5</v>
      </c>
      <c r="K644" s="296"/>
      <c r="L644" s="354"/>
      <c r="M644" s="355"/>
      <c r="O644" s="367" t="str">
        <f>IFERROR(__xludf.DUMMYFUNCTION("""COMPUTED_VALUE"""),"Cannon Fort - Bridge 5★ #344")</f>
        <v>Cannon Fort - Bridge 5★ #344</v>
      </c>
      <c r="P644" s="296">
        <f>IFERROR(__xludf.DUMMYFUNCTION("""COMPUTED_VALUE"""),2.0)</f>
        <v>2</v>
      </c>
      <c r="Q644" s="355"/>
    </row>
    <row r="645" ht="12.75" customHeight="1">
      <c r="G645" s="354" t="s">
        <v>1356</v>
      </c>
      <c r="H645" s="296">
        <v>2.0</v>
      </c>
      <c r="I645" s="353">
        <v>9.769441187964049E-5</v>
      </c>
      <c r="K645" s="296"/>
      <c r="L645" s="354"/>
      <c r="M645" s="355"/>
      <c r="O645" s="367" t="str">
        <f>IFERROR(__xludf.DUMMYFUNCTION("""COMPUTED_VALUE"""),"Cannon Fort - Catapult 5★ #DF9")</f>
        <v>Cannon Fort - Catapult 5★ #DF9</v>
      </c>
      <c r="P645" s="296">
        <f>IFERROR(__xludf.DUMMYFUNCTION("""COMPUTED_VALUE"""),2.0)</f>
        <v>2</v>
      </c>
      <c r="Q645" s="355"/>
    </row>
    <row r="646" ht="12.75" customHeight="1">
      <c r="G646" s="354" t="s">
        <v>1357</v>
      </c>
      <c r="H646" s="296">
        <v>2.0</v>
      </c>
      <c r="I646" s="353">
        <v>9.769441187964049E-5</v>
      </c>
      <c r="K646" s="296"/>
      <c r="L646" s="354"/>
      <c r="M646" s="355"/>
      <c r="O646" s="367" t="str">
        <f>IFERROR(__xludf.DUMMYFUNCTION("""COMPUTED_VALUE"""),"Cannon Fort - Catapult 5★ #8AE")</f>
        <v>Cannon Fort - Catapult 5★ #8AE</v>
      </c>
      <c r="P646" s="296">
        <f>IFERROR(__xludf.DUMMYFUNCTION("""COMPUTED_VALUE"""),2.0)</f>
        <v>2</v>
      </c>
      <c r="Q646" s="355"/>
    </row>
    <row r="647" ht="12.75" customHeight="1">
      <c r="G647" s="354" t="s">
        <v>1358</v>
      </c>
      <c r="H647" s="296">
        <v>2.0</v>
      </c>
      <c r="I647" s="353">
        <v>9.769441187964049E-5</v>
      </c>
      <c r="K647" s="296"/>
      <c r="L647" s="354"/>
      <c r="M647" s="355"/>
      <c r="O647" s="367" t="str">
        <f>IFERROR(__xludf.DUMMYFUNCTION("""COMPUTED_VALUE"""),"Cannon Fort - Catapult 5★ #363")</f>
        <v>Cannon Fort - Catapult 5★ #363</v>
      </c>
      <c r="P647" s="296">
        <f>IFERROR(__xludf.DUMMYFUNCTION("""COMPUTED_VALUE"""),2.0)</f>
        <v>2</v>
      </c>
      <c r="Q647" s="355"/>
    </row>
    <row r="648" ht="12.75" customHeight="1">
      <c r="G648" s="354" t="s">
        <v>1359</v>
      </c>
      <c r="H648" s="296">
        <v>2.0</v>
      </c>
      <c r="I648" s="353">
        <v>9.769441187964049E-5</v>
      </c>
      <c r="K648" s="296"/>
      <c r="L648" s="354"/>
      <c r="M648" s="355"/>
      <c r="O648" s="367" t="str">
        <f>IFERROR(__xludf.DUMMYFUNCTION("""COMPUTED_VALUE"""),"Cannon Fort - Catapult 5★ #E18")</f>
        <v>Cannon Fort - Catapult 5★ #E18</v>
      </c>
      <c r="P648" s="296">
        <f>IFERROR(__xludf.DUMMYFUNCTION("""COMPUTED_VALUE"""),2.0)</f>
        <v>2</v>
      </c>
      <c r="Q648" s="355"/>
    </row>
    <row r="649" ht="12.75" customHeight="1">
      <c r="G649" s="354" t="s">
        <v>1360</v>
      </c>
      <c r="H649" s="296">
        <v>2.0</v>
      </c>
      <c r="I649" s="353">
        <v>9.769441187964049E-5</v>
      </c>
      <c r="K649" s="296"/>
      <c r="L649" s="354"/>
      <c r="M649" s="355"/>
      <c r="O649" s="367" t="str">
        <f>IFERROR(__xludf.DUMMYFUNCTION("""COMPUTED_VALUE"""),"Cannon Fort - Catapult 5★ #8CD")</f>
        <v>Cannon Fort - Catapult 5★ #8CD</v>
      </c>
      <c r="P649" s="296">
        <f>IFERROR(__xludf.DUMMYFUNCTION("""COMPUTED_VALUE"""),2.0)</f>
        <v>2</v>
      </c>
      <c r="Q649" s="355"/>
    </row>
    <row r="650" ht="12.75" customHeight="1">
      <c r="G650" s="354" t="s">
        <v>1361</v>
      </c>
      <c r="H650" s="296">
        <v>2.0</v>
      </c>
      <c r="I650" s="353">
        <v>9.769441187964049E-5</v>
      </c>
      <c r="K650" s="296"/>
      <c r="L650" s="354"/>
      <c r="M650" s="355"/>
      <c r="O650" s="367" t="str">
        <f>IFERROR(__xludf.DUMMYFUNCTION("""COMPUTED_VALUE"""),"Cannon Fort - Horn 5★ #382")</f>
        <v>Cannon Fort - Horn 5★ #382</v>
      </c>
      <c r="P650" s="296">
        <f>IFERROR(__xludf.DUMMYFUNCTION("""COMPUTED_VALUE"""),2.0)</f>
        <v>2</v>
      </c>
      <c r="Q650" s="355"/>
    </row>
    <row r="651" ht="12.75" customHeight="1">
      <c r="G651" s="354" t="s">
        <v>1362</v>
      </c>
      <c r="H651" s="296">
        <v>2.0</v>
      </c>
      <c r="I651" s="353">
        <v>9.769441187964049E-5</v>
      </c>
      <c r="K651" s="296"/>
      <c r="L651" s="354"/>
      <c r="M651" s="355"/>
      <c r="O651" s="367" t="str">
        <f>IFERROR(__xludf.DUMMYFUNCTION("""COMPUTED_VALUE"""),"Cannon Fort - Horn 5★ #E37")</f>
        <v>Cannon Fort - Horn 5★ #E37</v>
      </c>
      <c r="P651" s="296">
        <f>IFERROR(__xludf.DUMMYFUNCTION("""COMPUTED_VALUE"""),2.0)</f>
        <v>2</v>
      </c>
      <c r="Q651" s="355"/>
    </row>
    <row r="652" ht="12.75" customHeight="1">
      <c r="G652" s="354" t="s">
        <v>1363</v>
      </c>
      <c r="H652" s="296">
        <v>2.0</v>
      </c>
      <c r="I652" s="353">
        <v>9.769441187964049E-5</v>
      </c>
      <c r="K652" s="296"/>
      <c r="L652" s="354"/>
      <c r="M652" s="355"/>
      <c r="O652" s="367" t="str">
        <f>IFERROR(__xludf.DUMMYFUNCTION("""COMPUTED_VALUE"""),"Cannon Fort - Horn 5★ #8EC")</f>
        <v>Cannon Fort - Horn 5★ #8EC</v>
      </c>
      <c r="P652" s="296">
        <f>IFERROR(__xludf.DUMMYFUNCTION("""COMPUTED_VALUE"""),2.0)</f>
        <v>2</v>
      </c>
      <c r="Q652" s="355"/>
    </row>
    <row r="653" ht="12.75" customHeight="1">
      <c r="G653" s="354" t="s">
        <v>1364</v>
      </c>
      <c r="H653" s="296">
        <v>2.0</v>
      </c>
      <c r="I653" s="353">
        <v>9.769441187964049E-5</v>
      </c>
      <c r="K653" s="296"/>
      <c r="L653" s="354"/>
      <c r="M653" s="355"/>
      <c r="O653" s="367" t="str">
        <f>IFERROR(__xludf.DUMMYFUNCTION("""COMPUTED_VALUE"""),"Cannon Fort - Horn 5★ #3A1")</f>
        <v>Cannon Fort - Horn 5★ #3A1</v>
      </c>
      <c r="P653" s="296">
        <f>IFERROR(__xludf.DUMMYFUNCTION("""COMPUTED_VALUE"""),2.0)</f>
        <v>2</v>
      </c>
      <c r="Q653" s="355"/>
    </row>
    <row r="654" ht="12.75" customHeight="1">
      <c r="G654" s="354" t="s">
        <v>1365</v>
      </c>
      <c r="H654" s="296">
        <v>2.0</v>
      </c>
      <c r="I654" s="353">
        <v>9.769441187964049E-5</v>
      </c>
      <c r="K654" s="296"/>
      <c r="L654" s="354"/>
      <c r="M654" s="355"/>
      <c r="O654" s="367" t="str">
        <f>IFERROR(__xludf.DUMMYFUNCTION("""COMPUTED_VALUE"""),"Cannon Fort - Horn 5★ #E56")</f>
        <v>Cannon Fort - Horn 5★ #E56</v>
      </c>
      <c r="P654" s="296">
        <f>IFERROR(__xludf.DUMMYFUNCTION("""COMPUTED_VALUE"""),2.0)</f>
        <v>2</v>
      </c>
      <c r="Q654" s="355"/>
    </row>
    <row r="655" ht="12.75" customHeight="1">
      <c r="G655" s="354" t="s">
        <v>1366</v>
      </c>
      <c r="H655" s="296">
        <v>50.0</v>
      </c>
      <c r="I655" s="353">
        <v>0.0024423602969910123</v>
      </c>
      <c r="K655" s="296"/>
      <c r="L655" s="354"/>
      <c r="M655" s="355"/>
      <c r="O655" s="367" t="str">
        <f>IFERROR(__xludf.DUMMYFUNCTION("""COMPUTED_VALUE"""),"Siren Reef - Harp 1★ #90B")</f>
        <v>Siren Reef - Harp 1★ #90B</v>
      </c>
      <c r="P655" s="296">
        <f>IFERROR(__xludf.DUMMYFUNCTION("""COMPUTED_VALUE"""),50.0)</f>
        <v>50</v>
      </c>
      <c r="Q655" s="355"/>
    </row>
    <row r="656" ht="12.75" customHeight="1">
      <c r="G656" s="354" t="s">
        <v>1367</v>
      </c>
      <c r="H656" s="296">
        <v>50.0</v>
      </c>
      <c r="I656" s="353">
        <v>0.0024423602969910123</v>
      </c>
      <c r="K656" s="296"/>
      <c r="L656" s="354"/>
      <c r="M656" s="355"/>
      <c r="O656" s="367" t="str">
        <f>IFERROR(__xludf.DUMMYFUNCTION("""COMPUTED_VALUE"""),"Siren Reef - Harp 1★ #3C0")</f>
        <v>Siren Reef - Harp 1★ #3C0</v>
      </c>
      <c r="P656" s="296">
        <f>IFERROR(__xludf.DUMMYFUNCTION("""COMPUTED_VALUE"""),50.0)</f>
        <v>50</v>
      </c>
      <c r="Q656" s="355"/>
    </row>
    <row r="657" ht="12.75" customHeight="1">
      <c r="G657" s="354" t="s">
        <v>1368</v>
      </c>
      <c r="H657" s="296">
        <v>50.0</v>
      </c>
      <c r="I657" s="353">
        <v>0.0024423602969910123</v>
      </c>
      <c r="K657" s="296"/>
      <c r="L657" s="354"/>
      <c r="M657" s="355"/>
      <c r="O657" s="367" t="str">
        <f>IFERROR(__xludf.DUMMYFUNCTION("""COMPUTED_VALUE"""),"Siren Reef - Harp 1★ #E75")</f>
        <v>Siren Reef - Harp 1★ #E75</v>
      </c>
      <c r="P657" s="296">
        <f>IFERROR(__xludf.DUMMYFUNCTION("""COMPUTED_VALUE"""),50.0)</f>
        <v>50</v>
      </c>
      <c r="Q657" s="355"/>
    </row>
    <row r="658" ht="12.75" customHeight="1">
      <c r="G658" s="354" t="s">
        <v>1369</v>
      </c>
      <c r="H658" s="296">
        <v>50.0</v>
      </c>
      <c r="I658" s="353">
        <v>0.0024423602969910123</v>
      </c>
      <c r="K658" s="296"/>
      <c r="L658" s="354"/>
      <c r="M658" s="355"/>
      <c r="O658" s="367" t="str">
        <f>IFERROR(__xludf.DUMMYFUNCTION("""COMPUTED_VALUE"""),"Siren Reef - Harp 1★ #92A")</f>
        <v>Siren Reef - Harp 1★ #92A</v>
      </c>
      <c r="P658" s="296">
        <f>IFERROR(__xludf.DUMMYFUNCTION("""COMPUTED_VALUE"""),50.0)</f>
        <v>50</v>
      </c>
      <c r="Q658" s="355"/>
    </row>
    <row r="659" ht="12.75" customHeight="1">
      <c r="G659" s="354" t="s">
        <v>1370</v>
      </c>
      <c r="H659" s="296">
        <v>50.0</v>
      </c>
      <c r="I659" s="353">
        <v>0.0024423602969910123</v>
      </c>
      <c r="K659" s="296"/>
      <c r="L659" s="354"/>
      <c r="M659" s="355"/>
      <c r="O659" s="367" t="str">
        <f>IFERROR(__xludf.DUMMYFUNCTION("""COMPUTED_VALUE"""),"Siren Reef - Harp 1★ #3DF")</f>
        <v>Siren Reef - Harp 1★ #3DF</v>
      </c>
      <c r="P659" s="296">
        <f>IFERROR(__xludf.DUMMYFUNCTION("""COMPUTED_VALUE"""),50.0)</f>
        <v>50</v>
      </c>
      <c r="Q659" s="355"/>
    </row>
    <row r="660" ht="12.75" customHeight="1">
      <c r="G660" s="354" t="s">
        <v>1371</v>
      </c>
      <c r="H660" s="296">
        <v>50.0</v>
      </c>
      <c r="I660" s="353">
        <v>0.0024423602969910123</v>
      </c>
      <c r="K660" s="296"/>
      <c r="L660" s="354"/>
      <c r="M660" s="355"/>
      <c r="O660" s="367" t="str">
        <f>IFERROR(__xludf.DUMMYFUNCTION("""COMPUTED_VALUE"""),"Siren Reef - Harp 1★ #E94")</f>
        <v>Siren Reef - Harp 1★ #E94</v>
      </c>
      <c r="P660" s="296">
        <f>IFERROR(__xludf.DUMMYFUNCTION("""COMPUTED_VALUE"""),50.0)</f>
        <v>50</v>
      </c>
      <c r="Q660" s="355"/>
    </row>
    <row r="661" ht="12.75" customHeight="1">
      <c r="G661" s="354" t="s">
        <v>1372</v>
      </c>
      <c r="H661" s="296">
        <v>50.0</v>
      </c>
      <c r="I661" s="353">
        <v>0.0024423602969910123</v>
      </c>
      <c r="K661" s="296"/>
      <c r="L661" s="354"/>
      <c r="M661" s="355"/>
      <c r="O661" s="367" t="str">
        <f>IFERROR(__xludf.DUMMYFUNCTION("""COMPUTED_VALUE"""),"Siren Reef - Harp 1★ #949")</f>
        <v>Siren Reef - Harp 1★ #949</v>
      </c>
      <c r="P661" s="296">
        <f>IFERROR(__xludf.DUMMYFUNCTION("""COMPUTED_VALUE"""),50.0)</f>
        <v>50</v>
      </c>
      <c r="Q661" s="355"/>
    </row>
    <row r="662" ht="12.75" customHeight="1">
      <c r="G662" s="354" t="s">
        <v>1373</v>
      </c>
      <c r="H662" s="296">
        <v>50.0</v>
      </c>
      <c r="I662" s="353">
        <v>0.0024423602969910123</v>
      </c>
      <c r="K662" s="296"/>
      <c r="L662" s="354"/>
      <c r="M662" s="355"/>
      <c r="O662" s="367" t="str">
        <f>IFERROR(__xludf.DUMMYFUNCTION("""COMPUTED_VALUE"""),"Siren Reef - Harp 1★ #3FE")</f>
        <v>Siren Reef - Harp 1★ #3FE</v>
      </c>
      <c r="P662" s="296">
        <f>IFERROR(__xludf.DUMMYFUNCTION("""COMPUTED_VALUE"""),50.0)</f>
        <v>50</v>
      </c>
      <c r="Q662" s="355"/>
    </row>
    <row r="663" ht="12.75" customHeight="1">
      <c r="G663" s="354" t="s">
        <v>1374</v>
      </c>
      <c r="H663" s="296">
        <v>50.0</v>
      </c>
      <c r="I663" s="353">
        <v>0.0024423602969910123</v>
      </c>
      <c r="K663" s="296"/>
      <c r="L663" s="354"/>
      <c r="M663" s="355"/>
      <c r="O663" s="367" t="str">
        <f>IFERROR(__xludf.DUMMYFUNCTION("""COMPUTED_VALUE"""),"Siren Reef - Harp 1★ #EB3")</f>
        <v>Siren Reef - Harp 1★ #EB3</v>
      </c>
      <c r="P663" s="296">
        <f>IFERROR(__xludf.DUMMYFUNCTION("""COMPUTED_VALUE"""),50.0)</f>
        <v>50</v>
      </c>
      <c r="Q663" s="355"/>
    </row>
    <row r="664" ht="12.75" customHeight="1">
      <c r="G664" s="354" t="s">
        <v>1375</v>
      </c>
      <c r="H664" s="296">
        <v>50.0</v>
      </c>
      <c r="I664" s="353">
        <v>0.0024423602969910123</v>
      </c>
      <c r="K664" s="296"/>
      <c r="L664" s="354"/>
      <c r="M664" s="355"/>
      <c r="O664" s="367" t="str">
        <f>IFERROR(__xludf.DUMMYFUNCTION("""COMPUTED_VALUE"""),"Siren Reef - Harp 1★ #968")</f>
        <v>Siren Reef - Harp 1★ #968</v>
      </c>
      <c r="P664" s="296">
        <f>IFERROR(__xludf.DUMMYFUNCTION("""COMPUTED_VALUE"""),50.0)</f>
        <v>50</v>
      </c>
      <c r="Q664" s="355"/>
    </row>
    <row r="665" ht="12.75" customHeight="1">
      <c r="G665" s="354" t="s">
        <v>1376</v>
      </c>
      <c r="H665" s="296">
        <v>50.0</v>
      </c>
      <c r="I665" s="353">
        <v>0.0024423602969910123</v>
      </c>
      <c r="K665" s="296"/>
      <c r="L665" s="354"/>
      <c r="M665" s="355"/>
      <c r="O665" s="367" t="str">
        <f>IFERROR(__xludf.DUMMYFUNCTION("""COMPUTED_VALUE"""),"Siren Reef - Harp 1★ #41D")</f>
        <v>Siren Reef - Harp 1★ #41D</v>
      </c>
      <c r="P665" s="296">
        <f>IFERROR(__xludf.DUMMYFUNCTION("""COMPUTED_VALUE"""),50.0)</f>
        <v>50</v>
      </c>
      <c r="Q665" s="355"/>
    </row>
    <row r="666" ht="12.75" customHeight="1">
      <c r="G666" s="354" t="s">
        <v>1377</v>
      </c>
      <c r="H666" s="296">
        <v>50.0</v>
      </c>
      <c r="I666" s="353">
        <v>0.0024423602969910123</v>
      </c>
      <c r="K666" s="296"/>
      <c r="L666" s="354"/>
      <c r="M666" s="355"/>
      <c r="O666" s="367" t="str">
        <f>IFERROR(__xludf.DUMMYFUNCTION("""COMPUTED_VALUE"""),"Siren Reef - Harp 1★ #ED2")</f>
        <v>Siren Reef - Harp 1★ #ED2</v>
      </c>
      <c r="P666" s="296">
        <f>IFERROR(__xludf.DUMMYFUNCTION("""COMPUTED_VALUE"""),50.0)</f>
        <v>50</v>
      </c>
      <c r="Q666" s="355"/>
    </row>
    <row r="667" ht="12.75" customHeight="1">
      <c r="G667" s="354" t="s">
        <v>1378</v>
      </c>
      <c r="H667" s="296">
        <v>50.0</v>
      </c>
      <c r="I667" s="353">
        <v>0.0024423602969910123</v>
      </c>
      <c r="K667" s="296"/>
      <c r="L667" s="354"/>
      <c r="M667" s="355"/>
      <c r="O667" s="367" t="str">
        <f>IFERROR(__xludf.DUMMYFUNCTION("""COMPUTED_VALUE"""),"Siren Reef - Harp 1★ #987")</f>
        <v>Siren Reef - Harp 1★ #987</v>
      </c>
      <c r="P667" s="296">
        <f>IFERROR(__xludf.DUMMYFUNCTION("""COMPUTED_VALUE"""),50.0)</f>
        <v>50</v>
      </c>
      <c r="Q667" s="355"/>
    </row>
    <row r="668" ht="12.75" customHeight="1">
      <c r="G668" s="354" t="s">
        <v>1379</v>
      </c>
      <c r="H668" s="296">
        <v>50.0</v>
      </c>
      <c r="I668" s="353">
        <v>0.0024423602969910123</v>
      </c>
      <c r="K668" s="296"/>
      <c r="L668" s="354"/>
      <c r="M668" s="355"/>
      <c r="O668" s="367" t="str">
        <f>IFERROR(__xludf.DUMMYFUNCTION("""COMPUTED_VALUE"""),"Siren Reef - Mirror 1★ #43C")</f>
        <v>Siren Reef - Mirror 1★ #43C</v>
      </c>
      <c r="P668" s="296">
        <f>IFERROR(__xludf.DUMMYFUNCTION("""COMPUTED_VALUE"""),50.0)</f>
        <v>50</v>
      </c>
      <c r="Q668" s="355"/>
    </row>
    <row r="669" ht="12.75" customHeight="1">
      <c r="G669" s="354" t="s">
        <v>1380</v>
      </c>
      <c r="H669" s="296">
        <v>50.0</v>
      </c>
      <c r="I669" s="353">
        <v>0.0024423602969910123</v>
      </c>
      <c r="K669" s="296"/>
      <c r="L669" s="354"/>
      <c r="M669" s="355"/>
      <c r="O669" s="367" t="str">
        <f>IFERROR(__xludf.DUMMYFUNCTION("""COMPUTED_VALUE"""),"Siren Reef - Mirror 1★ #EF1")</f>
        <v>Siren Reef - Mirror 1★ #EF1</v>
      </c>
      <c r="P669" s="296">
        <f>IFERROR(__xludf.DUMMYFUNCTION("""COMPUTED_VALUE"""),50.0)</f>
        <v>50</v>
      </c>
      <c r="Q669" s="355"/>
    </row>
    <row r="670" ht="12.75" customHeight="1">
      <c r="G670" s="354" t="s">
        <v>1381</v>
      </c>
      <c r="H670" s="296">
        <v>50.0</v>
      </c>
      <c r="I670" s="353">
        <v>0.0024423602969910123</v>
      </c>
      <c r="K670" s="296"/>
      <c r="L670" s="354"/>
      <c r="M670" s="355"/>
      <c r="O670" s="367" t="str">
        <f>IFERROR(__xludf.DUMMYFUNCTION("""COMPUTED_VALUE"""),"Siren Reef - Mirror 1★ #9A6")</f>
        <v>Siren Reef - Mirror 1★ #9A6</v>
      </c>
      <c r="P670" s="296">
        <f>IFERROR(__xludf.DUMMYFUNCTION("""COMPUTED_VALUE"""),50.0)</f>
        <v>50</v>
      </c>
      <c r="Q670" s="355"/>
    </row>
    <row r="671" ht="12.75" customHeight="1">
      <c r="G671" s="354" t="s">
        <v>1382</v>
      </c>
      <c r="H671" s="296">
        <v>50.0</v>
      </c>
      <c r="I671" s="353">
        <v>0.0024423602969910123</v>
      </c>
      <c r="K671" s="296"/>
      <c r="L671" s="354"/>
      <c r="M671" s="355"/>
      <c r="O671" s="367" t="str">
        <f>IFERROR(__xludf.DUMMYFUNCTION("""COMPUTED_VALUE"""),"Siren Reef - Mirror 1★ #45B")</f>
        <v>Siren Reef - Mirror 1★ #45B</v>
      </c>
      <c r="P671" s="296">
        <f>IFERROR(__xludf.DUMMYFUNCTION("""COMPUTED_VALUE"""),50.0)</f>
        <v>50</v>
      </c>
      <c r="Q671" s="355"/>
    </row>
    <row r="672" ht="12.75" customHeight="1">
      <c r="G672" s="354" t="s">
        <v>1383</v>
      </c>
      <c r="H672" s="296">
        <v>50.0</v>
      </c>
      <c r="I672" s="353">
        <v>0.0024423602969910123</v>
      </c>
      <c r="K672" s="296"/>
      <c r="L672" s="354"/>
      <c r="M672" s="355"/>
      <c r="O672" s="367" t="str">
        <f>IFERROR(__xludf.DUMMYFUNCTION("""COMPUTED_VALUE"""),"Siren Reef - Mirror 1★ #F10")</f>
        <v>Siren Reef - Mirror 1★ #F10</v>
      </c>
      <c r="P672" s="296">
        <f>IFERROR(__xludf.DUMMYFUNCTION("""COMPUTED_VALUE"""),50.0)</f>
        <v>50</v>
      </c>
      <c r="Q672" s="355"/>
    </row>
    <row r="673" ht="12.75" customHeight="1">
      <c r="G673" s="354" t="s">
        <v>1384</v>
      </c>
      <c r="H673" s="296">
        <v>50.0</v>
      </c>
      <c r="I673" s="353">
        <v>0.0024423602969910123</v>
      </c>
      <c r="K673" s="296"/>
      <c r="L673" s="354"/>
      <c r="M673" s="355"/>
      <c r="O673" s="367" t="str">
        <f>IFERROR(__xludf.DUMMYFUNCTION("""COMPUTED_VALUE"""),"Siren Reef - Mirror 1★ #9C5")</f>
        <v>Siren Reef - Mirror 1★ #9C5</v>
      </c>
      <c r="P673" s="296">
        <f>IFERROR(__xludf.DUMMYFUNCTION("""COMPUTED_VALUE"""),50.0)</f>
        <v>50</v>
      </c>
      <c r="Q673" s="355"/>
    </row>
    <row r="674" ht="12.75" customHeight="1">
      <c r="G674" s="354" t="s">
        <v>1385</v>
      </c>
      <c r="H674" s="296">
        <v>50.0</v>
      </c>
      <c r="I674" s="353">
        <v>0.0024423602969910123</v>
      </c>
      <c r="K674" s="296"/>
      <c r="L674" s="354"/>
      <c r="M674" s="355"/>
      <c r="O674" s="367" t="str">
        <f>IFERROR(__xludf.DUMMYFUNCTION("""COMPUTED_VALUE"""),"Siren Reef - Mirror 1★ #47A")</f>
        <v>Siren Reef - Mirror 1★ #47A</v>
      </c>
      <c r="P674" s="296">
        <f>IFERROR(__xludf.DUMMYFUNCTION("""COMPUTED_VALUE"""),50.0)</f>
        <v>50</v>
      </c>
      <c r="Q674" s="355"/>
    </row>
    <row r="675" ht="12.75" customHeight="1">
      <c r="G675" s="354" t="s">
        <v>1386</v>
      </c>
      <c r="H675" s="296">
        <v>50.0</v>
      </c>
      <c r="I675" s="353">
        <v>0.0024423602969910123</v>
      </c>
      <c r="K675" s="296"/>
      <c r="L675" s="354"/>
      <c r="M675" s="355"/>
      <c r="O675" s="367" t="str">
        <f>IFERROR(__xludf.DUMMYFUNCTION("""COMPUTED_VALUE"""),"Siren Reef - Mirror 1★ #F2F")</f>
        <v>Siren Reef - Mirror 1★ #F2F</v>
      </c>
      <c r="P675" s="296">
        <f>IFERROR(__xludf.DUMMYFUNCTION("""COMPUTED_VALUE"""),50.0)</f>
        <v>50</v>
      </c>
      <c r="Q675" s="355"/>
    </row>
    <row r="676" ht="12.75" customHeight="1">
      <c r="G676" s="354" t="s">
        <v>1387</v>
      </c>
      <c r="H676" s="296">
        <v>50.0</v>
      </c>
      <c r="I676" s="353">
        <v>0.0024423602969910123</v>
      </c>
      <c r="K676" s="296"/>
      <c r="L676" s="354"/>
      <c r="M676" s="355"/>
      <c r="O676" s="367" t="str">
        <f>IFERROR(__xludf.DUMMYFUNCTION("""COMPUTED_VALUE"""),"Siren Reef - Mirror 1★ #9E4")</f>
        <v>Siren Reef - Mirror 1★ #9E4</v>
      </c>
      <c r="P676" s="296">
        <f>IFERROR(__xludf.DUMMYFUNCTION("""COMPUTED_VALUE"""),50.0)</f>
        <v>50</v>
      </c>
      <c r="Q676" s="355"/>
    </row>
    <row r="677" ht="12.75" customHeight="1">
      <c r="G677" s="354" t="s">
        <v>1388</v>
      </c>
      <c r="H677" s="296">
        <v>50.0</v>
      </c>
      <c r="I677" s="353">
        <v>0.0024423602969910123</v>
      </c>
      <c r="K677" s="296"/>
      <c r="L677" s="354"/>
      <c r="M677" s="355"/>
      <c r="O677" s="367" t="str">
        <f>IFERROR(__xludf.DUMMYFUNCTION("""COMPUTED_VALUE"""),"Siren Reef - Mirror 1★ #499")</f>
        <v>Siren Reef - Mirror 1★ #499</v>
      </c>
      <c r="P677" s="296">
        <f>IFERROR(__xludf.DUMMYFUNCTION("""COMPUTED_VALUE"""),50.0)</f>
        <v>50</v>
      </c>
      <c r="Q677" s="355"/>
    </row>
    <row r="678" ht="12.75" customHeight="1">
      <c r="G678" s="354" t="s">
        <v>1389</v>
      </c>
      <c r="H678" s="296">
        <v>50.0</v>
      </c>
      <c r="I678" s="353">
        <v>0.0024423602969910123</v>
      </c>
      <c r="K678" s="296"/>
      <c r="L678" s="354"/>
      <c r="M678" s="355"/>
      <c r="O678" s="367" t="str">
        <f>IFERROR(__xludf.DUMMYFUNCTION("""COMPUTED_VALUE"""),"Siren Reef - Mirror 1★ #F4E")</f>
        <v>Siren Reef - Mirror 1★ #F4E</v>
      </c>
      <c r="P678" s="296">
        <f>IFERROR(__xludf.DUMMYFUNCTION("""COMPUTED_VALUE"""),50.0)</f>
        <v>50</v>
      </c>
      <c r="Q678" s="355"/>
    </row>
    <row r="679" ht="12.75" customHeight="1">
      <c r="G679" s="354" t="s">
        <v>1390</v>
      </c>
      <c r="H679" s="296">
        <v>50.0</v>
      </c>
      <c r="I679" s="353">
        <v>0.0024423602969910123</v>
      </c>
      <c r="K679" s="296"/>
      <c r="L679" s="354"/>
      <c r="M679" s="355"/>
      <c r="O679" s="367" t="str">
        <f>IFERROR(__xludf.DUMMYFUNCTION("""COMPUTED_VALUE"""),"Siren Reef - Mirror 1★ #A03")</f>
        <v>Siren Reef - Mirror 1★ #A03</v>
      </c>
      <c r="P679" s="296">
        <f>IFERROR(__xludf.DUMMYFUNCTION("""COMPUTED_VALUE"""),50.0)</f>
        <v>50</v>
      </c>
      <c r="Q679" s="355"/>
    </row>
    <row r="680" ht="12.75" customHeight="1">
      <c r="G680" s="354" t="s">
        <v>1391</v>
      </c>
      <c r="H680" s="296">
        <v>50.0</v>
      </c>
      <c r="I680" s="353">
        <v>0.0024423602969910123</v>
      </c>
      <c r="K680" s="296"/>
      <c r="L680" s="354"/>
      <c r="M680" s="355"/>
      <c r="O680" s="367" t="str">
        <f>IFERROR(__xludf.DUMMYFUNCTION("""COMPUTED_VALUE"""),"Siren Reef - Mirror 1★ #4B8")</f>
        <v>Siren Reef - Mirror 1★ #4B8</v>
      </c>
      <c r="P680" s="296">
        <f>IFERROR(__xludf.DUMMYFUNCTION("""COMPUTED_VALUE"""),50.0)</f>
        <v>50</v>
      </c>
      <c r="Q680" s="355"/>
    </row>
    <row r="681" ht="12.75" customHeight="1">
      <c r="G681" s="354" t="s">
        <v>1392</v>
      </c>
      <c r="H681" s="296">
        <v>20.0</v>
      </c>
      <c r="I681" s="353">
        <v>9.769441187964048E-4</v>
      </c>
      <c r="K681" s="296"/>
      <c r="L681" s="354"/>
      <c r="M681" s="355"/>
      <c r="O681" s="367" t="str">
        <f>IFERROR(__xludf.DUMMYFUNCTION("""COMPUTED_VALUE"""),"Siren Reef - Comb 2★ #F6D")</f>
        <v>Siren Reef - Comb 2★ #F6D</v>
      </c>
      <c r="P681" s="296">
        <f>IFERROR(__xludf.DUMMYFUNCTION("""COMPUTED_VALUE"""),20.0)</f>
        <v>20</v>
      </c>
      <c r="Q681" s="355"/>
    </row>
    <row r="682" ht="12.75" customHeight="1">
      <c r="G682" s="354" t="s">
        <v>1393</v>
      </c>
      <c r="H682" s="296">
        <v>20.0</v>
      </c>
      <c r="I682" s="353">
        <v>9.769441187964048E-4</v>
      </c>
      <c r="K682" s="296"/>
      <c r="L682" s="354"/>
      <c r="M682" s="355"/>
      <c r="O682" s="367" t="str">
        <f>IFERROR(__xludf.DUMMYFUNCTION("""COMPUTED_VALUE"""),"Siren Reef - Comb 2★ #A22")</f>
        <v>Siren Reef - Comb 2★ #A22</v>
      </c>
      <c r="P682" s="296">
        <f>IFERROR(__xludf.DUMMYFUNCTION("""COMPUTED_VALUE"""),20.0)</f>
        <v>20</v>
      </c>
      <c r="Q682" s="355"/>
    </row>
    <row r="683" ht="12.75" customHeight="1">
      <c r="G683" s="354" t="s">
        <v>1394</v>
      </c>
      <c r="H683" s="296">
        <v>20.0</v>
      </c>
      <c r="I683" s="353">
        <v>9.769441187964048E-4</v>
      </c>
      <c r="K683" s="296"/>
      <c r="L683" s="354"/>
      <c r="M683" s="355"/>
      <c r="O683" s="367" t="str">
        <f>IFERROR(__xludf.DUMMYFUNCTION("""COMPUTED_VALUE"""),"Siren Reef - Comb 2★ #4D7")</f>
        <v>Siren Reef - Comb 2★ #4D7</v>
      </c>
      <c r="P683" s="296">
        <f>IFERROR(__xludf.DUMMYFUNCTION("""COMPUTED_VALUE"""),20.0)</f>
        <v>20</v>
      </c>
      <c r="Q683" s="355"/>
    </row>
    <row r="684" ht="12.75" customHeight="1">
      <c r="G684" s="354" t="s">
        <v>1395</v>
      </c>
      <c r="H684" s="296">
        <v>20.0</v>
      </c>
      <c r="I684" s="353">
        <v>9.769441187964048E-4</v>
      </c>
      <c r="K684" s="296"/>
      <c r="L684" s="354"/>
      <c r="M684" s="355"/>
      <c r="O684" s="367" t="str">
        <f>IFERROR(__xludf.DUMMYFUNCTION("""COMPUTED_VALUE"""),"Siren Reef - Comb 2★ #F8C")</f>
        <v>Siren Reef - Comb 2★ #F8C</v>
      </c>
      <c r="P684" s="296">
        <f>IFERROR(__xludf.DUMMYFUNCTION("""COMPUTED_VALUE"""),20.0)</f>
        <v>20</v>
      </c>
      <c r="Q684" s="355"/>
    </row>
    <row r="685" ht="12.75" customHeight="1">
      <c r="G685" s="354" t="s">
        <v>1396</v>
      </c>
      <c r="H685" s="296">
        <v>20.0</v>
      </c>
      <c r="I685" s="353">
        <v>9.769441187964048E-4</v>
      </c>
      <c r="K685" s="296"/>
      <c r="L685" s="354"/>
      <c r="M685" s="355"/>
      <c r="O685" s="367" t="str">
        <f>IFERROR(__xludf.DUMMYFUNCTION("""COMPUTED_VALUE"""),"Siren Reef - Comb 2★ #A41")</f>
        <v>Siren Reef - Comb 2★ #A41</v>
      </c>
      <c r="P685" s="296">
        <f>IFERROR(__xludf.DUMMYFUNCTION("""COMPUTED_VALUE"""),20.0)</f>
        <v>20</v>
      </c>
      <c r="Q685" s="355"/>
    </row>
    <row r="686" ht="12.75" customHeight="1">
      <c r="G686" s="354" t="s">
        <v>1397</v>
      </c>
      <c r="H686" s="296">
        <v>20.0</v>
      </c>
      <c r="I686" s="353">
        <v>9.769441187964048E-4</v>
      </c>
      <c r="K686" s="296"/>
      <c r="L686" s="354"/>
      <c r="M686" s="355"/>
      <c r="O686" s="367" t="str">
        <f>IFERROR(__xludf.DUMMYFUNCTION("""COMPUTED_VALUE"""),"Siren Reef - Comb 2★ #4F6")</f>
        <v>Siren Reef - Comb 2★ #4F6</v>
      </c>
      <c r="P686" s="296">
        <f>IFERROR(__xludf.DUMMYFUNCTION("""COMPUTED_VALUE"""),20.0)</f>
        <v>20</v>
      </c>
      <c r="Q686" s="355"/>
    </row>
    <row r="687" ht="12.75" customHeight="1">
      <c r="G687" s="354" t="s">
        <v>1398</v>
      </c>
      <c r="H687" s="296">
        <v>20.0</v>
      </c>
      <c r="I687" s="353">
        <v>9.769441187964048E-4</v>
      </c>
      <c r="K687" s="296"/>
      <c r="L687" s="354"/>
      <c r="M687" s="355"/>
      <c r="O687" s="367" t="str">
        <f>IFERROR(__xludf.DUMMYFUNCTION("""COMPUTED_VALUE"""),"Siren Reef - Comb 2★ #FAB")</f>
        <v>Siren Reef - Comb 2★ #FAB</v>
      </c>
      <c r="P687" s="296">
        <f>IFERROR(__xludf.DUMMYFUNCTION("""COMPUTED_VALUE"""),20.0)</f>
        <v>20</v>
      </c>
      <c r="Q687" s="355"/>
    </row>
    <row r="688" ht="12.75" customHeight="1">
      <c r="G688" s="354" t="s">
        <v>1399</v>
      </c>
      <c r="H688" s="296">
        <v>20.0</v>
      </c>
      <c r="I688" s="353">
        <v>9.769441187964048E-4</v>
      </c>
      <c r="K688" s="296"/>
      <c r="L688" s="354"/>
      <c r="M688" s="355"/>
      <c r="O688" s="367" t="str">
        <f>IFERROR(__xludf.DUMMYFUNCTION("""COMPUTED_VALUE"""),"Siren Reef - Comb 2★ #A60")</f>
        <v>Siren Reef - Comb 2★ #A60</v>
      </c>
      <c r="P688" s="296">
        <f>IFERROR(__xludf.DUMMYFUNCTION("""COMPUTED_VALUE"""),20.0)</f>
        <v>20</v>
      </c>
      <c r="Q688" s="355"/>
    </row>
    <row r="689" ht="12.75" customHeight="1">
      <c r="G689" s="354" t="s">
        <v>1400</v>
      </c>
      <c r="H689" s="296">
        <v>20.0</v>
      </c>
      <c r="I689" s="353">
        <v>9.769441187964048E-4</v>
      </c>
      <c r="K689" s="296"/>
      <c r="L689" s="354"/>
      <c r="M689" s="355"/>
      <c r="O689" s="367" t="str">
        <f>IFERROR(__xludf.DUMMYFUNCTION("""COMPUTED_VALUE"""),"Siren Reef - Comb 2★ #515")</f>
        <v>Siren Reef - Comb 2★ #515</v>
      </c>
      <c r="P689" s="296">
        <f>IFERROR(__xludf.DUMMYFUNCTION("""COMPUTED_VALUE"""),20.0)</f>
        <v>20</v>
      </c>
      <c r="Q689" s="355"/>
    </row>
    <row r="690" ht="12.75" customHeight="1">
      <c r="G690" s="354" t="s">
        <v>1401</v>
      </c>
      <c r="H690" s="296">
        <v>20.0</v>
      </c>
      <c r="I690" s="353">
        <v>9.769441187964048E-4</v>
      </c>
      <c r="K690" s="296"/>
      <c r="L690" s="354"/>
      <c r="M690" s="355"/>
      <c r="O690" s="367" t="str">
        <f>IFERROR(__xludf.DUMMYFUNCTION("""COMPUTED_VALUE"""),"Siren Reef - Comb 2★ #FCA")</f>
        <v>Siren Reef - Comb 2★ #FCA</v>
      </c>
      <c r="P690" s="296">
        <f>IFERROR(__xludf.DUMMYFUNCTION("""COMPUTED_VALUE"""),20.0)</f>
        <v>20</v>
      </c>
      <c r="Q690" s="355"/>
    </row>
    <row r="691" ht="12.75" customHeight="1">
      <c r="G691" s="354" t="s">
        <v>1402</v>
      </c>
      <c r="H691" s="296">
        <v>20.0</v>
      </c>
      <c r="I691" s="353">
        <v>9.769441187964048E-4</v>
      </c>
      <c r="K691" s="296"/>
      <c r="L691" s="354"/>
      <c r="M691" s="355"/>
      <c r="O691" s="367" t="str">
        <f>IFERROR(__xludf.DUMMYFUNCTION("""COMPUTED_VALUE"""),"Siren Reef - Comb 2★ #A7F")</f>
        <v>Siren Reef - Comb 2★ #A7F</v>
      </c>
      <c r="P691" s="296">
        <f>IFERROR(__xludf.DUMMYFUNCTION("""COMPUTED_VALUE"""),20.0)</f>
        <v>20</v>
      </c>
      <c r="Q691" s="355"/>
    </row>
    <row r="692" ht="12.75" customHeight="1">
      <c r="G692" s="354" t="s">
        <v>1403</v>
      </c>
      <c r="H692" s="296">
        <v>20.0</v>
      </c>
      <c r="I692" s="353">
        <v>9.769441187964048E-4</v>
      </c>
      <c r="K692" s="296"/>
      <c r="L692" s="354"/>
      <c r="M692" s="355"/>
      <c r="O692" s="367" t="str">
        <f>IFERROR(__xludf.DUMMYFUNCTION("""COMPUTED_VALUE"""),"Siren Reef - Comb 2★ #534")</f>
        <v>Siren Reef - Comb 2★ #534</v>
      </c>
      <c r="P692" s="296">
        <f>IFERROR(__xludf.DUMMYFUNCTION("""COMPUTED_VALUE"""),20.0)</f>
        <v>20</v>
      </c>
      <c r="Q692" s="355"/>
    </row>
    <row r="693" ht="12.75" customHeight="1">
      <c r="G693" s="354" t="s">
        <v>1404</v>
      </c>
      <c r="H693" s="296">
        <v>20.0</v>
      </c>
      <c r="I693" s="353">
        <v>9.769441187964048E-4</v>
      </c>
      <c r="K693" s="296"/>
      <c r="L693" s="354"/>
      <c r="M693" s="355"/>
      <c r="O693" s="367" t="str">
        <f>IFERROR(__xludf.DUMMYFUNCTION("""COMPUTED_VALUE"""),"Siren Reef - Witch 2★ #FE9")</f>
        <v>Siren Reef - Witch 2★ #FE9</v>
      </c>
      <c r="P693" s="296">
        <f>IFERROR(__xludf.DUMMYFUNCTION("""COMPUTED_VALUE"""),20.0)</f>
        <v>20</v>
      </c>
      <c r="Q693" s="355"/>
    </row>
    <row r="694" ht="12.75" customHeight="1">
      <c r="G694" s="354" t="s">
        <v>1405</v>
      </c>
      <c r="H694" s="296">
        <v>20.0</v>
      </c>
      <c r="I694" s="353">
        <v>9.769441187964048E-4</v>
      </c>
      <c r="K694" s="296"/>
      <c r="L694" s="354"/>
      <c r="M694" s="355"/>
      <c r="O694" s="367" t="str">
        <f>IFERROR(__xludf.DUMMYFUNCTION("""COMPUTED_VALUE"""),"Siren Reef - Witch 2★ #A9E")</f>
        <v>Siren Reef - Witch 2★ #A9E</v>
      </c>
      <c r="P694" s="296">
        <f>IFERROR(__xludf.DUMMYFUNCTION("""COMPUTED_VALUE"""),20.0)</f>
        <v>20</v>
      </c>
      <c r="Q694" s="355"/>
    </row>
    <row r="695" ht="12.75" customHeight="1">
      <c r="G695" s="354" t="s">
        <v>1406</v>
      </c>
      <c r="H695" s="296">
        <v>20.0</v>
      </c>
      <c r="I695" s="353">
        <v>9.769441187964048E-4</v>
      </c>
      <c r="K695" s="296"/>
      <c r="L695" s="354"/>
      <c r="M695" s="355"/>
      <c r="O695" s="367" t="str">
        <f>IFERROR(__xludf.DUMMYFUNCTION("""COMPUTED_VALUE"""),"Siren Reef - Witch 2★ #553")</f>
        <v>Siren Reef - Witch 2★ #553</v>
      </c>
      <c r="P695" s="296">
        <f>IFERROR(__xludf.DUMMYFUNCTION("""COMPUTED_VALUE"""),20.0)</f>
        <v>20</v>
      </c>
      <c r="Q695" s="355"/>
    </row>
    <row r="696" ht="12.75" customHeight="1">
      <c r="G696" s="354" t="s">
        <v>1407</v>
      </c>
      <c r="H696" s="296">
        <v>20.0</v>
      </c>
      <c r="I696" s="353">
        <v>9.769441187964048E-4</v>
      </c>
      <c r="K696" s="296"/>
      <c r="L696" s="354"/>
      <c r="M696" s="355"/>
      <c r="O696" s="367" t="str">
        <f>IFERROR(__xludf.DUMMYFUNCTION("""COMPUTED_VALUE"""),"Siren Reef - Witch 2★ #008")</f>
        <v>Siren Reef - Witch 2★ #008</v>
      </c>
      <c r="P696" s="296">
        <f>IFERROR(__xludf.DUMMYFUNCTION("""COMPUTED_VALUE"""),20.0)</f>
        <v>20</v>
      </c>
      <c r="Q696" s="355"/>
    </row>
    <row r="697" ht="12.75" customHeight="1">
      <c r="G697" s="354" t="s">
        <v>1408</v>
      </c>
      <c r="H697" s="296">
        <v>20.0</v>
      </c>
      <c r="I697" s="353">
        <v>9.769441187964048E-4</v>
      </c>
      <c r="K697" s="296"/>
      <c r="L697" s="354"/>
      <c r="M697" s="355"/>
      <c r="O697" s="367" t="str">
        <f>IFERROR(__xludf.DUMMYFUNCTION("""COMPUTED_VALUE"""),"Siren Reef - Witch 2★ #ABD")</f>
        <v>Siren Reef - Witch 2★ #ABD</v>
      </c>
      <c r="P697" s="296">
        <f>IFERROR(__xludf.DUMMYFUNCTION("""COMPUTED_VALUE"""),20.0)</f>
        <v>20</v>
      </c>
      <c r="Q697" s="355"/>
    </row>
    <row r="698" ht="12.75" customHeight="1">
      <c r="G698" s="354" t="s">
        <v>1409</v>
      </c>
      <c r="H698" s="296">
        <v>20.0</v>
      </c>
      <c r="I698" s="353">
        <v>9.769441187964048E-4</v>
      </c>
      <c r="K698" s="296"/>
      <c r="L698" s="354"/>
      <c r="M698" s="355"/>
      <c r="O698" s="367" t="str">
        <f>IFERROR(__xludf.DUMMYFUNCTION("""COMPUTED_VALUE"""),"Siren Reef - Witch 2★ #572")</f>
        <v>Siren Reef - Witch 2★ #572</v>
      </c>
      <c r="P698" s="296">
        <f>IFERROR(__xludf.DUMMYFUNCTION("""COMPUTED_VALUE"""),20.0)</f>
        <v>20</v>
      </c>
      <c r="Q698" s="355"/>
    </row>
    <row r="699" ht="12.75" customHeight="1">
      <c r="G699" s="354" t="s">
        <v>1410</v>
      </c>
      <c r="H699" s="296">
        <v>20.0</v>
      </c>
      <c r="I699" s="353">
        <v>9.769441187964048E-4</v>
      </c>
      <c r="K699" s="296"/>
      <c r="L699" s="354"/>
      <c r="M699" s="355"/>
      <c r="O699" s="367" t="str">
        <f>IFERROR(__xludf.DUMMYFUNCTION("""COMPUTED_VALUE"""),"Siren Reef - Witch 2★ #027")</f>
        <v>Siren Reef - Witch 2★ #027</v>
      </c>
      <c r="P699" s="296">
        <f>IFERROR(__xludf.DUMMYFUNCTION("""COMPUTED_VALUE"""),20.0)</f>
        <v>20</v>
      </c>
      <c r="Q699" s="355"/>
    </row>
    <row r="700" ht="12.75" customHeight="1">
      <c r="G700" s="354" t="s">
        <v>1411</v>
      </c>
      <c r="H700" s="296">
        <v>20.0</v>
      </c>
      <c r="I700" s="353">
        <v>9.769441187964048E-4</v>
      </c>
      <c r="K700" s="296"/>
      <c r="L700" s="354"/>
      <c r="M700" s="355"/>
      <c r="O700" s="367" t="str">
        <f>IFERROR(__xludf.DUMMYFUNCTION("""COMPUTED_VALUE"""),"Siren Reef - Witch 2★ #ADC")</f>
        <v>Siren Reef - Witch 2★ #ADC</v>
      </c>
      <c r="P700" s="296">
        <f>IFERROR(__xludf.DUMMYFUNCTION("""COMPUTED_VALUE"""),20.0)</f>
        <v>20</v>
      </c>
      <c r="Q700" s="355"/>
    </row>
    <row r="701" ht="12.75" customHeight="1">
      <c r="G701" s="354" t="s">
        <v>1412</v>
      </c>
      <c r="H701" s="296">
        <v>20.0</v>
      </c>
      <c r="I701" s="353">
        <v>9.769441187964048E-4</v>
      </c>
      <c r="K701" s="296"/>
      <c r="L701" s="354"/>
      <c r="M701" s="355"/>
      <c r="O701" s="367" t="str">
        <f>IFERROR(__xludf.DUMMYFUNCTION("""COMPUTED_VALUE"""),"Siren Reef - Witch 2★ #591")</f>
        <v>Siren Reef - Witch 2★ #591</v>
      </c>
      <c r="P701" s="296">
        <f>IFERROR(__xludf.DUMMYFUNCTION("""COMPUTED_VALUE"""),20.0)</f>
        <v>20</v>
      </c>
      <c r="Q701" s="355"/>
    </row>
    <row r="702" ht="12.75" customHeight="1">
      <c r="G702" s="354" t="s">
        <v>1413</v>
      </c>
      <c r="H702" s="296">
        <v>20.0</v>
      </c>
      <c r="I702" s="353">
        <v>9.769441187964048E-4</v>
      </c>
      <c r="K702" s="296"/>
      <c r="L702" s="354"/>
      <c r="M702" s="355"/>
      <c r="O702" s="367" t="str">
        <f>IFERROR(__xludf.DUMMYFUNCTION("""COMPUTED_VALUE"""),"Siren Reef - Witch 2★ #046")</f>
        <v>Siren Reef - Witch 2★ #046</v>
      </c>
      <c r="P702" s="296">
        <f>IFERROR(__xludf.DUMMYFUNCTION("""COMPUTED_VALUE"""),20.0)</f>
        <v>20</v>
      </c>
      <c r="Q702" s="355"/>
    </row>
    <row r="703" ht="12.75" customHeight="1">
      <c r="G703" s="354" t="s">
        <v>1414</v>
      </c>
      <c r="H703" s="296">
        <v>20.0</v>
      </c>
      <c r="I703" s="353">
        <v>9.769441187964048E-4</v>
      </c>
      <c r="K703" s="296"/>
      <c r="L703" s="354"/>
      <c r="M703" s="355"/>
      <c r="O703" s="367" t="str">
        <f>IFERROR(__xludf.DUMMYFUNCTION("""COMPUTED_VALUE"""),"Siren Reef - Witch 2★ #AFB")</f>
        <v>Siren Reef - Witch 2★ #AFB</v>
      </c>
      <c r="P703" s="296">
        <f>IFERROR(__xludf.DUMMYFUNCTION("""COMPUTED_VALUE"""),20.0)</f>
        <v>20</v>
      </c>
      <c r="Q703" s="355"/>
    </row>
    <row r="704" ht="12.75" customHeight="1">
      <c r="G704" s="354" t="s">
        <v>1415</v>
      </c>
      <c r="H704" s="296">
        <v>20.0</v>
      </c>
      <c r="I704" s="353">
        <v>9.769441187964048E-4</v>
      </c>
      <c r="K704" s="296"/>
      <c r="L704" s="354"/>
      <c r="M704" s="355"/>
      <c r="O704" s="367" t="str">
        <f>IFERROR(__xludf.DUMMYFUNCTION("""COMPUTED_VALUE"""),"Siren Reef - Witch 2★ #5B0")</f>
        <v>Siren Reef - Witch 2★ #5B0</v>
      </c>
      <c r="P704" s="296">
        <f>IFERROR(__xludf.DUMMYFUNCTION("""COMPUTED_VALUE"""),20.0)</f>
        <v>20</v>
      </c>
      <c r="Q704" s="355"/>
    </row>
    <row r="705" ht="12.75" customHeight="1">
      <c r="G705" s="354" t="s">
        <v>1416</v>
      </c>
      <c r="H705" s="296">
        <v>10.0</v>
      </c>
      <c r="I705" s="353">
        <v>4.884720593982024E-4</v>
      </c>
      <c r="K705" s="296"/>
      <c r="L705" s="354"/>
      <c r="M705" s="355"/>
      <c r="O705" s="367" t="str">
        <f>IFERROR(__xludf.DUMMYFUNCTION("""COMPUTED_VALUE"""),"Siren Reef - Starfish 3★ #065")</f>
        <v>Siren Reef - Starfish 3★ #065</v>
      </c>
      <c r="P705" s="296">
        <f>IFERROR(__xludf.DUMMYFUNCTION("""COMPUTED_VALUE"""),10.0)</f>
        <v>10</v>
      </c>
      <c r="Q705" s="355"/>
    </row>
    <row r="706" ht="12.75" customHeight="1">
      <c r="G706" s="354" t="s">
        <v>1417</v>
      </c>
      <c r="H706" s="296">
        <v>10.0</v>
      </c>
      <c r="I706" s="353">
        <v>4.884720593982024E-4</v>
      </c>
      <c r="K706" s="296"/>
      <c r="L706" s="354"/>
      <c r="M706" s="355"/>
      <c r="O706" s="367" t="str">
        <f>IFERROR(__xludf.DUMMYFUNCTION("""COMPUTED_VALUE"""),"Siren Reef - Starfish 3★ #B1A")</f>
        <v>Siren Reef - Starfish 3★ #B1A</v>
      </c>
      <c r="P706" s="296">
        <f>IFERROR(__xludf.DUMMYFUNCTION("""COMPUTED_VALUE"""),10.0)</f>
        <v>10</v>
      </c>
      <c r="Q706" s="355"/>
    </row>
    <row r="707" ht="12.75" customHeight="1">
      <c r="G707" s="354" t="s">
        <v>1418</v>
      </c>
      <c r="H707" s="296">
        <v>10.0</v>
      </c>
      <c r="I707" s="353">
        <v>4.884720593982024E-4</v>
      </c>
      <c r="K707" s="296"/>
      <c r="L707" s="354"/>
      <c r="M707" s="355"/>
      <c r="O707" s="367" t="str">
        <f>IFERROR(__xludf.DUMMYFUNCTION("""COMPUTED_VALUE"""),"Siren Reef - Starfish 3★ #5CF")</f>
        <v>Siren Reef - Starfish 3★ #5CF</v>
      </c>
      <c r="P707" s="296">
        <f>IFERROR(__xludf.DUMMYFUNCTION("""COMPUTED_VALUE"""),10.0)</f>
        <v>10</v>
      </c>
      <c r="Q707" s="355"/>
    </row>
    <row r="708" ht="12.75" customHeight="1">
      <c r="G708" s="354" t="s">
        <v>1419</v>
      </c>
      <c r="H708" s="296">
        <v>10.0</v>
      </c>
      <c r="I708" s="353">
        <v>4.884720593982024E-4</v>
      </c>
      <c r="K708" s="296"/>
      <c r="L708" s="354"/>
      <c r="M708" s="355"/>
      <c r="O708" s="367" t="str">
        <f>IFERROR(__xludf.DUMMYFUNCTION("""COMPUTED_VALUE"""),"Siren Reef - Starfish 3★ #084")</f>
        <v>Siren Reef - Starfish 3★ #084</v>
      </c>
      <c r="P708" s="296">
        <f>IFERROR(__xludf.DUMMYFUNCTION("""COMPUTED_VALUE"""),10.0)</f>
        <v>10</v>
      </c>
      <c r="Q708" s="355"/>
    </row>
    <row r="709" ht="12.75" customHeight="1">
      <c r="G709" s="354" t="s">
        <v>1420</v>
      </c>
      <c r="H709" s="296">
        <v>10.0</v>
      </c>
      <c r="I709" s="353">
        <v>4.884720593982024E-4</v>
      </c>
      <c r="K709" s="296"/>
      <c r="L709" s="354"/>
      <c r="M709" s="355"/>
      <c r="O709" s="367" t="str">
        <f>IFERROR(__xludf.DUMMYFUNCTION("""COMPUTED_VALUE"""),"Siren Reef - Starfish 3★ #B39")</f>
        <v>Siren Reef - Starfish 3★ #B39</v>
      </c>
      <c r="P709" s="296">
        <f>IFERROR(__xludf.DUMMYFUNCTION("""COMPUTED_VALUE"""),10.0)</f>
        <v>10</v>
      </c>
      <c r="Q709" s="355"/>
    </row>
    <row r="710" ht="12.75" customHeight="1">
      <c r="G710" s="354" t="s">
        <v>1421</v>
      </c>
      <c r="H710" s="296">
        <v>10.0</v>
      </c>
      <c r="I710" s="353">
        <v>4.884720593982024E-4</v>
      </c>
      <c r="K710" s="296"/>
      <c r="L710" s="354"/>
      <c r="M710" s="355"/>
      <c r="O710" s="367" t="str">
        <f>IFERROR(__xludf.DUMMYFUNCTION("""COMPUTED_VALUE"""),"Siren Reef - Starfish 3★ #5EE")</f>
        <v>Siren Reef - Starfish 3★ #5EE</v>
      </c>
      <c r="P710" s="296">
        <f>IFERROR(__xludf.DUMMYFUNCTION("""COMPUTED_VALUE"""),10.0)</f>
        <v>10</v>
      </c>
      <c r="Q710" s="355"/>
    </row>
    <row r="711" ht="12.75" customHeight="1">
      <c r="G711" s="354" t="s">
        <v>1422</v>
      </c>
      <c r="H711" s="296">
        <v>10.0</v>
      </c>
      <c r="I711" s="353">
        <v>4.884720593982024E-4</v>
      </c>
      <c r="K711" s="296"/>
      <c r="L711" s="354"/>
      <c r="M711" s="355"/>
      <c r="O711" s="367" t="str">
        <f>IFERROR(__xludf.DUMMYFUNCTION("""COMPUTED_VALUE"""),"Siren Reef - Starfish 3★ #0A3")</f>
        <v>Siren Reef - Starfish 3★ #0A3</v>
      </c>
      <c r="P711" s="296">
        <f>IFERROR(__xludf.DUMMYFUNCTION("""COMPUTED_VALUE"""),10.0)</f>
        <v>10</v>
      </c>
      <c r="Q711" s="355"/>
    </row>
    <row r="712" ht="12.75" customHeight="1">
      <c r="G712" s="354" t="s">
        <v>1423</v>
      </c>
      <c r="H712" s="296">
        <v>10.0</v>
      </c>
      <c r="I712" s="353">
        <v>4.884720593982024E-4</v>
      </c>
      <c r="K712" s="296"/>
      <c r="L712" s="354"/>
      <c r="M712" s="355"/>
      <c r="O712" s="367" t="str">
        <f>IFERROR(__xludf.DUMMYFUNCTION("""COMPUTED_VALUE"""),"Siren Reef - Starfish 3★ #B58")</f>
        <v>Siren Reef - Starfish 3★ #B58</v>
      </c>
      <c r="P712" s="296">
        <f>IFERROR(__xludf.DUMMYFUNCTION("""COMPUTED_VALUE"""),10.0)</f>
        <v>10</v>
      </c>
      <c r="Q712" s="355"/>
    </row>
    <row r="713" ht="12.75" customHeight="1">
      <c r="G713" s="354" t="s">
        <v>1424</v>
      </c>
      <c r="H713" s="296">
        <v>10.0</v>
      </c>
      <c r="I713" s="353">
        <v>4.884720593982024E-4</v>
      </c>
      <c r="K713" s="296"/>
      <c r="L713" s="354"/>
      <c r="M713" s="355"/>
      <c r="O713" s="367" t="str">
        <f>IFERROR(__xludf.DUMMYFUNCTION("""COMPUTED_VALUE"""),"Siren Reef - Starfish 3★ #60D")</f>
        <v>Siren Reef - Starfish 3★ #60D</v>
      </c>
      <c r="P713" s="296">
        <f>IFERROR(__xludf.DUMMYFUNCTION("""COMPUTED_VALUE"""),10.0)</f>
        <v>10</v>
      </c>
      <c r="Q713" s="355"/>
    </row>
    <row r="714" ht="12.75" customHeight="1">
      <c r="G714" s="354" t="s">
        <v>1425</v>
      </c>
      <c r="H714" s="296">
        <v>10.0</v>
      </c>
      <c r="I714" s="353">
        <v>4.884720593982024E-4</v>
      </c>
      <c r="K714" s="296"/>
      <c r="L714" s="354"/>
      <c r="M714" s="355"/>
      <c r="O714" s="367" t="str">
        <f>IFERROR(__xludf.DUMMYFUNCTION("""COMPUTED_VALUE"""),"Siren Reef - Starfish 3★ #0C2")</f>
        <v>Siren Reef - Starfish 3★ #0C2</v>
      </c>
      <c r="P714" s="296">
        <f>IFERROR(__xludf.DUMMYFUNCTION("""COMPUTED_VALUE"""),10.0)</f>
        <v>10</v>
      </c>
      <c r="Q714" s="355"/>
    </row>
    <row r="715" ht="12.75" customHeight="1">
      <c r="G715" s="354" t="s">
        <v>1426</v>
      </c>
      <c r="H715" s="296">
        <v>10.0</v>
      </c>
      <c r="I715" s="353">
        <v>4.884720593982024E-4</v>
      </c>
      <c r="K715" s="296"/>
      <c r="L715" s="354"/>
      <c r="M715" s="355"/>
      <c r="O715" s="367" t="str">
        <f>IFERROR(__xludf.DUMMYFUNCTION("""COMPUTED_VALUE"""),"Siren Reef - Starfish 3★ #B77")</f>
        <v>Siren Reef - Starfish 3★ #B77</v>
      </c>
      <c r="P715" s="296">
        <f>IFERROR(__xludf.DUMMYFUNCTION("""COMPUTED_VALUE"""),10.0)</f>
        <v>10</v>
      </c>
      <c r="Q715" s="355"/>
    </row>
    <row r="716" ht="12.75" customHeight="1">
      <c r="G716" s="354" t="s">
        <v>1427</v>
      </c>
      <c r="H716" s="296">
        <v>10.0</v>
      </c>
      <c r="I716" s="353">
        <v>4.884720593982024E-4</v>
      </c>
      <c r="K716" s="296"/>
      <c r="L716" s="354"/>
      <c r="M716" s="355"/>
      <c r="O716" s="367" t="str">
        <f>IFERROR(__xludf.DUMMYFUNCTION("""COMPUTED_VALUE"""),"Siren Reef - Starfish 3★ #62C")</f>
        <v>Siren Reef - Starfish 3★ #62C</v>
      </c>
      <c r="P716" s="296">
        <f>IFERROR(__xludf.DUMMYFUNCTION("""COMPUTED_VALUE"""),10.0)</f>
        <v>10</v>
      </c>
      <c r="Q716" s="355"/>
    </row>
    <row r="717" ht="12.75" customHeight="1">
      <c r="G717" s="354" t="s">
        <v>1428</v>
      </c>
      <c r="H717" s="296">
        <v>10.0</v>
      </c>
      <c r="I717" s="353">
        <v>4.884720593982024E-4</v>
      </c>
      <c r="K717" s="296"/>
      <c r="L717" s="354"/>
      <c r="M717" s="355"/>
      <c r="O717" s="367" t="str">
        <f>IFERROR(__xludf.DUMMYFUNCTION("""COMPUTED_VALUE"""),"Siren Reef - Starfish 3★ #0E1")</f>
        <v>Siren Reef - Starfish 3★ #0E1</v>
      </c>
      <c r="P717" s="296">
        <f>IFERROR(__xludf.DUMMYFUNCTION("""COMPUTED_VALUE"""),10.0)</f>
        <v>10</v>
      </c>
      <c r="Q717" s="355"/>
    </row>
    <row r="718" ht="12.75" customHeight="1">
      <c r="G718" s="354" t="s">
        <v>1429</v>
      </c>
      <c r="H718" s="296">
        <v>5.0</v>
      </c>
      <c r="I718" s="353">
        <v>2.442360296991012E-4</v>
      </c>
      <c r="K718" s="296"/>
      <c r="L718" s="354"/>
      <c r="M718" s="355"/>
      <c r="O718" s="367" t="str">
        <f>IFERROR(__xludf.DUMMYFUNCTION("""COMPUTED_VALUE"""),"Siren Reef - Moonstone 4★ #B96")</f>
        <v>Siren Reef - Moonstone 4★ #B96</v>
      </c>
      <c r="P718" s="296">
        <f>IFERROR(__xludf.DUMMYFUNCTION("""COMPUTED_VALUE"""),5.0)</f>
        <v>5</v>
      </c>
      <c r="Q718" s="355"/>
    </row>
    <row r="719" ht="12.75" customHeight="1">
      <c r="G719" s="354" t="s">
        <v>1430</v>
      </c>
      <c r="H719" s="296">
        <v>5.0</v>
      </c>
      <c r="I719" s="353">
        <v>2.442360296991012E-4</v>
      </c>
      <c r="K719" s="296"/>
      <c r="L719" s="354"/>
      <c r="M719" s="355"/>
      <c r="O719" s="367" t="str">
        <f>IFERROR(__xludf.DUMMYFUNCTION("""COMPUTED_VALUE"""),"Siren Reef - Moonstone 4★ #64B")</f>
        <v>Siren Reef - Moonstone 4★ #64B</v>
      </c>
      <c r="P719" s="296">
        <f>IFERROR(__xludf.DUMMYFUNCTION("""COMPUTED_VALUE"""),5.0)</f>
        <v>5</v>
      </c>
      <c r="Q719" s="355"/>
    </row>
    <row r="720" ht="12.75" customHeight="1">
      <c r="G720" s="354" t="s">
        <v>1431</v>
      </c>
      <c r="H720" s="296">
        <v>5.0</v>
      </c>
      <c r="I720" s="353">
        <v>2.442360296991012E-4</v>
      </c>
      <c r="K720" s="296"/>
      <c r="L720" s="354"/>
      <c r="M720" s="355"/>
      <c r="O720" s="367" t="str">
        <f>IFERROR(__xludf.DUMMYFUNCTION("""COMPUTED_VALUE"""),"Siren Reef - Moonstone 4★ #100")</f>
        <v>Siren Reef - Moonstone 4★ #100</v>
      </c>
      <c r="P720" s="296">
        <f>IFERROR(__xludf.DUMMYFUNCTION("""COMPUTED_VALUE"""),5.0)</f>
        <v>5</v>
      </c>
      <c r="Q720" s="355"/>
    </row>
    <row r="721" ht="12.75" customHeight="1">
      <c r="G721" s="354" t="s">
        <v>1432</v>
      </c>
      <c r="H721" s="296">
        <v>5.0</v>
      </c>
      <c r="I721" s="353">
        <v>2.442360296991012E-4</v>
      </c>
      <c r="K721" s="296"/>
      <c r="L721" s="354"/>
      <c r="M721" s="355"/>
      <c r="O721" s="367" t="str">
        <f>IFERROR(__xludf.DUMMYFUNCTION("""COMPUTED_VALUE"""),"Siren Reef - Moonstone 4★ #BB5")</f>
        <v>Siren Reef - Moonstone 4★ #BB5</v>
      </c>
      <c r="P721" s="296">
        <f>IFERROR(__xludf.DUMMYFUNCTION("""COMPUTED_VALUE"""),5.0)</f>
        <v>5</v>
      </c>
      <c r="Q721" s="355"/>
    </row>
    <row r="722" ht="12.75" customHeight="1">
      <c r="G722" s="354" t="s">
        <v>1433</v>
      </c>
      <c r="H722" s="296">
        <v>5.0</v>
      </c>
      <c r="I722" s="353">
        <v>2.442360296991012E-4</v>
      </c>
      <c r="K722" s="296"/>
      <c r="L722" s="354"/>
      <c r="M722" s="355"/>
      <c r="O722" s="367" t="str">
        <f>IFERROR(__xludf.DUMMYFUNCTION("""COMPUTED_VALUE"""),"Siren Reef - Moonstone 4★ #66A")</f>
        <v>Siren Reef - Moonstone 4★ #66A</v>
      </c>
      <c r="P722" s="296">
        <f>IFERROR(__xludf.DUMMYFUNCTION("""COMPUTED_VALUE"""),5.0)</f>
        <v>5</v>
      </c>
      <c r="Q722" s="355"/>
    </row>
    <row r="723" ht="12.75" customHeight="1">
      <c r="G723" s="354" t="s">
        <v>1434</v>
      </c>
      <c r="H723" s="296">
        <v>5.0</v>
      </c>
      <c r="I723" s="353">
        <v>2.442360296991012E-4</v>
      </c>
      <c r="K723" s="296"/>
      <c r="L723" s="354"/>
      <c r="M723" s="355"/>
      <c r="O723" s="367" t="str">
        <f>IFERROR(__xludf.DUMMYFUNCTION("""COMPUTED_VALUE"""),"Siren Reef - Moonstone 4★ #11F")</f>
        <v>Siren Reef - Moonstone 4★ #11F</v>
      </c>
      <c r="P723" s="296">
        <f>IFERROR(__xludf.DUMMYFUNCTION("""COMPUTED_VALUE"""),5.0)</f>
        <v>5</v>
      </c>
      <c r="Q723" s="355"/>
    </row>
    <row r="724" ht="12.75" customHeight="1">
      <c r="G724" s="354" t="s">
        <v>1435</v>
      </c>
      <c r="H724" s="296">
        <v>5.0</v>
      </c>
      <c r="I724" s="353">
        <v>2.442360296991012E-4</v>
      </c>
      <c r="K724" s="296"/>
      <c r="L724" s="354"/>
      <c r="M724" s="355"/>
      <c r="O724" s="367" t="str">
        <f>IFERROR(__xludf.DUMMYFUNCTION("""COMPUTED_VALUE"""),"Siren Reef - Moonstone 4★ #BD4")</f>
        <v>Siren Reef - Moonstone 4★ #BD4</v>
      </c>
      <c r="P724" s="296">
        <f>IFERROR(__xludf.DUMMYFUNCTION("""COMPUTED_VALUE"""),5.0)</f>
        <v>5</v>
      </c>
      <c r="Q724" s="355"/>
    </row>
    <row r="725" ht="12.75" customHeight="1">
      <c r="G725" s="354" t="s">
        <v>1436</v>
      </c>
      <c r="H725" s="296">
        <v>5.0</v>
      </c>
      <c r="I725" s="353">
        <v>2.442360296991012E-4</v>
      </c>
      <c r="K725" s="296"/>
      <c r="L725" s="354"/>
      <c r="M725" s="355"/>
      <c r="O725" s="367" t="str">
        <f>IFERROR(__xludf.DUMMYFUNCTION("""COMPUTED_VALUE"""),"Siren Reef - Moonstone 4★ #689")</f>
        <v>Siren Reef - Moonstone 4★ #689</v>
      </c>
      <c r="P725" s="296">
        <f>IFERROR(__xludf.DUMMYFUNCTION("""COMPUTED_VALUE"""),5.0)</f>
        <v>5</v>
      </c>
      <c r="Q725" s="355"/>
    </row>
    <row r="726" ht="12.75" customHeight="1">
      <c r="G726" s="354" t="s">
        <v>1437</v>
      </c>
      <c r="H726" s="296">
        <v>5.0</v>
      </c>
      <c r="I726" s="353">
        <v>2.442360296991012E-4</v>
      </c>
      <c r="K726" s="296"/>
      <c r="L726" s="354"/>
      <c r="M726" s="355"/>
      <c r="O726" s="367" t="str">
        <f>IFERROR(__xludf.DUMMYFUNCTION("""COMPUTED_VALUE"""),"Siren Reef - Moonstone 4★ #13E")</f>
        <v>Siren Reef - Moonstone 4★ #13E</v>
      </c>
      <c r="P726" s="296">
        <f>IFERROR(__xludf.DUMMYFUNCTION("""COMPUTED_VALUE"""),5.0)</f>
        <v>5</v>
      </c>
      <c r="Q726" s="355"/>
    </row>
    <row r="727" ht="12.75" customHeight="1">
      <c r="G727" s="354" t="s">
        <v>1438</v>
      </c>
      <c r="H727" s="296">
        <v>5.0</v>
      </c>
      <c r="I727" s="353">
        <v>2.442360296991012E-4</v>
      </c>
      <c r="K727" s="296"/>
      <c r="L727" s="354"/>
      <c r="M727" s="355"/>
      <c r="O727" s="367" t="str">
        <f>IFERROR(__xludf.DUMMYFUNCTION("""COMPUTED_VALUE"""),"Siren Reef - Moonstone 4★ #BF3")</f>
        <v>Siren Reef - Moonstone 4★ #BF3</v>
      </c>
      <c r="P727" s="296">
        <f>IFERROR(__xludf.DUMMYFUNCTION("""COMPUTED_VALUE"""),5.0)</f>
        <v>5</v>
      </c>
      <c r="Q727" s="355"/>
    </row>
    <row r="728" ht="12.75" customHeight="1">
      <c r="G728" s="354" t="s">
        <v>1439</v>
      </c>
      <c r="H728" s="296">
        <v>5.0</v>
      </c>
      <c r="I728" s="353">
        <v>2.442360296991012E-4</v>
      </c>
      <c r="K728" s="296"/>
      <c r="L728" s="354"/>
      <c r="M728" s="355"/>
      <c r="O728" s="367" t="str">
        <f>IFERROR(__xludf.DUMMYFUNCTION("""COMPUTED_VALUE"""),"Siren Reef - Moonstone 4★ #6A8")</f>
        <v>Siren Reef - Moonstone 4★ #6A8</v>
      </c>
      <c r="P728" s="296">
        <f>IFERROR(__xludf.DUMMYFUNCTION("""COMPUTED_VALUE"""),5.0)</f>
        <v>5</v>
      </c>
      <c r="Q728" s="355"/>
    </row>
    <row r="729" ht="12.75" customHeight="1">
      <c r="G729" s="354" t="s">
        <v>1440</v>
      </c>
      <c r="H729" s="296">
        <v>2.0</v>
      </c>
      <c r="I729" s="353">
        <v>9.769441187964049E-5</v>
      </c>
      <c r="K729" s="296"/>
      <c r="L729" s="354"/>
      <c r="M729" s="355"/>
      <c r="O729" s="367" t="str">
        <f>IFERROR(__xludf.DUMMYFUNCTION("""COMPUTED_VALUE"""),"Siren Reef - Wave 5★ #15D")</f>
        <v>Siren Reef - Wave 5★ #15D</v>
      </c>
      <c r="P729" s="296">
        <f>IFERROR(__xludf.DUMMYFUNCTION("""COMPUTED_VALUE"""),2.0)</f>
        <v>2</v>
      </c>
      <c r="Q729" s="355"/>
    </row>
    <row r="730" ht="12.75" customHeight="1">
      <c r="G730" s="354" t="s">
        <v>1441</v>
      </c>
      <c r="H730" s="296">
        <v>2.0</v>
      </c>
      <c r="I730" s="353">
        <v>9.769441187964049E-5</v>
      </c>
      <c r="K730" s="296"/>
      <c r="L730" s="354"/>
      <c r="M730" s="355"/>
      <c r="O730" s="367" t="str">
        <f>IFERROR(__xludf.DUMMYFUNCTION("""COMPUTED_VALUE"""),"Siren Reef - Wave 5★ #C12")</f>
        <v>Siren Reef - Wave 5★ #C12</v>
      </c>
      <c r="P730" s="296">
        <f>IFERROR(__xludf.DUMMYFUNCTION("""COMPUTED_VALUE"""),2.0)</f>
        <v>2</v>
      </c>
      <c r="Q730" s="355"/>
    </row>
    <row r="731" ht="12.75" customHeight="1">
      <c r="G731" s="354" t="s">
        <v>1442</v>
      </c>
      <c r="H731" s="296">
        <v>2.0</v>
      </c>
      <c r="I731" s="353">
        <v>9.769441187964049E-5</v>
      </c>
      <c r="K731" s="296"/>
      <c r="L731" s="354"/>
      <c r="M731" s="355"/>
      <c r="O731" s="367" t="str">
        <f>IFERROR(__xludf.DUMMYFUNCTION("""COMPUTED_VALUE"""),"Siren Reef - Wave 5★ #6C7")</f>
        <v>Siren Reef - Wave 5★ #6C7</v>
      </c>
      <c r="P731" s="296">
        <f>IFERROR(__xludf.DUMMYFUNCTION("""COMPUTED_VALUE"""),2.0)</f>
        <v>2</v>
      </c>
      <c r="Q731" s="355"/>
    </row>
    <row r="732" ht="12.75" customHeight="1">
      <c r="G732" s="354" t="s">
        <v>1443</v>
      </c>
      <c r="H732" s="296">
        <v>2.0</v>
      </c>
      <c r="I732" s="353">
        <v>9.769441187964049E-5</v>
      </c>
      <c r="K732" s="296"/>
      <c r="L732" s="354"/>
      <c r="M732" s="355"/>
      <c r="O732" s="367" t="str">
        <f>IFERROR(__xludf.DUMMYFUNCTION("""COMPUTED_VALUE"""),"Siren Reef - Wave 5★ #17C")</f>
        <v>Siren Reef - Wave 5★ #17C</v>
      </c>
      <c r="P732" s="296">
        <f>IFERROR(__xludf.DUMMYFUNCTION("""COMPUTED_VALUE"""),2.0)</f>
        <v>2</v>
      </c>
      <c r="Q732" s="355"/>
    </row>
    <row r="733" ht="12.75" customHeight="1">
      <c r="G733" s="354" t="s">
        <v>1444</v>
      </c>
      <c r="H733" s="296">
        <v>2.0</v>
      </c>
      <c r="I733" s="353">
        <v>9.769441187964049E-5</v>
      </c>
      <c r="K733" s="296"/>
      <c r="L733" s="354"/>
      <c r="M733" s="355"/>
      <c r="O733" s="367" t="str">
        <f>IFERROR(__xludf.DUMMYFUNCTION("""COMPUTED_VALUE"""),"Siren Reef - Wave 5★ #C31")</f>
        <v>Siren Reef - Wave 5★ #C31</v>
      </c>
      <c r="P733" s="296">
        <f>IFERROR(__xludf.DUMMYFUNCTION("""COMPUTED_VALUE"""),2.0)</f>
        <v>2</v>
      </c>
      <c r="Q733" s="355"/>
    </row>
    <row r="734" ht="12.75" customHeight="1">
      <c r="G734" s="354" t="s">
        <v>1445</v>
      </c>
      <c r="H734" s="296">
        <v>2.0</v>
      </c>
      <c r="I734" s="353">
        <v>9.769441187964049E-5</v>
      </c>
      <c r="K734" s="296"/>
      <c r="L734" s="354"/>
      <c r="M734" s="355"/>
      <c r="O734" s="367" t="str">
        <f>IFERROR(__xludf.DUMMYFUNCTION("""COMPUTED_VALUE"""),"Siren Reef - Driftwood 5★ #6E6")</f>
        <v>Siren Reef - Driftwood 5★ #6E6</v>
      </c>
      <c r="P734" s="296">
        <f>IFERROR(__xludf.DUMMYFUNCTION("""COMPUTED_VALUE"""),2.0)</f>
        <v>2</v>
      </c>
      <c r="Q734" s="355"/>
    </row>
    <row r="735" ht="12.75" customHeight="1">
      <c r="G735" s="354" t="s">
        <v>1446</v>
      </c>
      <c r="H735" s="296">
        <v>2.0</v>
      </c>
      <c r="I735" s="353">
        <v>9.769441187964049E-5</v>
      </c>
      <c r="K735" s="296"/>
      <c r="L735" s="354"/>
      <c r="M735" s="355"/>
      <c r="O735" s="367" t="str">
        <f>IFERROR(__xludf.DUMMYFUNCTION("""COMPUTED_VALUE"""),"Siren Reef - Driftwood 5★ #19B")</f>
        <v>Siren Reef - Driftwood 5★ #19B</v>
      </c>
      <c r="P735" s="296">
        <f>IFERROR(__xludf.DUMMYFUNCTION("""COMPUTED_VALUE"""),2.0)</f>
        <v>2</v>
      </c>
      <c r="Q735" s="355"/>
    </row>
    <row r="736" ht="12.75" customHeight="1">
      <c r="G736" s="354" t="s">
        <v>1447</v>
      </c>
      <c r="H736" s="296">
        <v>2.0</v>
      </c>
      <c r="I736" s="353">
        <v>9.769441187964049E-5</v>
      </c>
      <c r="K736" s="296"/>
      <c r="L736" s="354"/>
      <c r="M736" s="355"/>
      <c r="O736" s="367" t="str">
        <f>IFERROR(__xludf.DUMMYFUNCTION("""COMPUTED_VALUE"""),"Siren Reef - Driftwood 5★ #C50")</f>
        <v>Siren Reef - Driftwood 5★ #C50</v>
      </c>
      <c r="P736" s="296">
        <f>IFERROR(__xludf.DUMMYFUNCTION("""COMPUTED_VALUE"""),2.0)</f>
        <v>2</v>
      </c>
      <c r="Q736" s="355"/>
    </row>
    <row r="737" ht="12.75" customHeight="1">
      <c r="G737" s="354" t="s">
        <v>1448</v>
      </c>
      <c r="H737" s="296">
        <v>2.0</v>
      </c>
      <c r="I737" s="353">
        <v>9.769441187964049E-5</v>
      </c>
      <c r="K737" s="296"/>
      <c r="L737" s="354"/>
      <c r="M737" s="355"/>
      <c r="O737" s="367" t="str">
        <f>IFERROR(__xludf.DUMMYFUNCTION("""COMPUTED_VALUE"""),"Siren Reef - Driftwood 5★ #705")</f>
        <v>Siren Reef - Driftwood 5★ #705</v>
      </c>
      <c r="P737" s="296">
        <f>IFERROR(__xludf.DUMMYFUNCTION("""COMPUTED_VALUE"""),2.0)</f>
        <v>2</v>
      </c>
      <c r="Q737" s="355"/>
    </row>
    <row r="738" ht="12.75" customHeight="1">
      <c r="G738" s="354" t="s">
        <v>1449</v>
      </c>
      <c r="H738" s="296">
        <v>2.0</v>
      </c>
      <c r="I738" s="353">
        <v>9.769441187964049E-5</v>
      </c>
      <c r="K738" s="296"/>
      <c r="L738" s="354"/>
      <c r="M738" s="355"/>
      <c r="O738" s="367" t="str">
        <f>IFERROR(__xludf.DUMMYFUNCTION("""COMPUTED_VALUE"""),"Siren Reef - Driftwood 5★ #1BA")</f>
        <v>Siren Reef - Driftwood 5★ #1BA</v>
      </c>
      <c r="P738" s="296">
        <f>IFERROR(__xludf.DUMMYFUNCTION("""COMPUTED_VALUE"""),2.0)</f>
        <v>2</v>
      </c>
      <c r="Q738" s="355"/>
    </row>
    <row r="739" ht="12.75" customHeight="1">
      <c r="G739" s="354" t="s">
        <v>1450</v>
      </c>
      <c r="H739" s="296">
        <v>2.0</v>
      </c>
      <c r="I739" s="353">
        <v>9.769441187964049E-5</v>
      </c>
      <c r="K739" s="296"/>
      <c r="L739" s="354"/>
      <c r="M739" s="355"/>
      <c r="O739" s="367" t="str">
        <f>IFERROR(__xludf.DUMMYFUNCTION("""COMPUTED_VALUE"""),"Siren Reef - Conch 5★ #C6F")</f>
        <v>Siren Reef - Conch 5★ #C6F</v>
      </c>
      <c r="P739" s="296">
        <f>IFERROR(__xludf.DUMMYFUNCTION("""COMPUTED_VALUE"""),2.0)</f>
        <v>2</v>
      </c>
      <c r="Q739" s="355"/>
    </row>
    <row r="740" ht="12.75" customHeight="1">
      <c r="G740" s="354" t="s">
        <v>1451</v>
      </c>
      <c r="H740" s="296">
        <v>2.0</v>
      </c>
      <c r="I740" s="353">
        <v>9.769441187964049E-5</v>
      </c>
      <c r="K740" s="296"/>
      <c r="L740" s="354"/>
      <c r="M740" s="355"/>
      <c r="O740" s="367" t="str">
        <f>IFERROR(__xludf.DUMMYFUNCTION("""COMPUTED_VALUE"""),"Siren Reef - Conch 5★ #724")</f>
        <v>Siren Reef - Conch 5★ #724</v>
      </c>
      <c r="P740" s="296">
        <f>IFERROR(__xludf.DUMMYFUNCTION("""COMPUTED_VALUE"""),2.0)</f>
        <v>2</v>
      </c>
      <c r="Q740" s="355"/>
    </row>
    <row r="741" ht="12.75" customHeight="1">
      <c r="G741" s="354" t="s">
        <v>1452</v>
      </c>
      <c r="H741" s="296">
        <v>2.0</v>
      </c>
      <c r="I741" s="353">
        <v>9.769441187964049E-5</v>
      </c>
      <c r="K741" s="296"/>
      <c r="L741" s="354"/>
      <c r="M741" s="355"/>
      <c r="O741" s="367" t="str">
        <f>IFERROR(__xludf.DUMMYFUNCTION("""COMPUTED_VALUE"""),"Siren Reef - Conch 5★ #1D9")</f>
        <v>Siren Reef - Conch 5★ #1D9</v>
      </c>
      <c r="P741" s="296">
        <f>IFERROR(__xludf.DUMMYFUNCTION("""COMPUTED_VALUE"""),2.0)</f>
        <v>2</v>
      </c>
      <c r="Q741" s="355"/>
    </row>
    <row r="742" ht="12.75" customHeight="1">
      <c r="G742" s="354" t="s">
        <v>1453</v>
      </c>
      <c r="H742" s="296">
        <v>2.0</v>
      </c>
      <c r="I742" s="353">
        <v>9.769441187964049E-5</v>
      </c>
      <c r="K742" s="296"/>
      <c r="L742" s="354"/>
      <c r="M742" s="355"/>
      <c r="O742" s="367" t="str">
        <f>IFERROR(__xludf.DUMMYFUNCTION("""COMPUTED_VALUE"""),"Siren Reef - Conch 5★ #C8E")</f>
        <v>Siren Reef - Conch 5★ #C8E</v>
      </c>
      <c r="P742" s="296">
        <f>IFERROR(__xludf.DUMMYFUNCTION("""COMPUTED_VALUE"""),2.0)</f>
        <v>2</v>
      </c>
      <c r="Q742" s="355"/>
    </row>
    <row r="743" ht="12.75" customHeight="1">
      <c r="G743" s="354" t="s">
        <v>1454</v>
      </c>
      <c r="H743" s="296">
        <v>2.0</v>
      </c>
      <c r="I743" s="353">
        <v>9.769441187964049E-5</v>
      </c>
      <c r="K743" s="296"/>
      <c r="L743" s="354"/>
      <c r="M743" s="355"/>
      <c r="O743" s="367" t="str">
        <f>IFERROR(__xludf.DUMMYFUNCTION("""COMPUTED_VALUE"""),"Siren Reef - Conch 5★ #743")</f>
        <v>Siren Reef - Conch 5★ #743</v>
      </c>
      <c r="P743" s="296">
        <f>IFERROR(__xludf.DUMMYFUNCTION("""COMPUTED_VALUE"""),2.0)</f>
        <v>2</v>
      </c>
      <c r="Q743" s="355"/>
    </row>
    <row r="744" ht="12.75" customHeight="1">
      <c r="G744" s="354" t="s">
        <v>1455</v>
      </c>
      <c r="H744" s="296">
        <v>50.0</v>
      </c>
      <c r="I744" s="353">
        <v>0.0024423602969910123</v>
      </c>
      <c r="K744" s="296"/>
      <c r="L744" s="354"/>
      <c r="M744" s="355"/>
      <c r="O744" s="367" t="str">
        <f>IFERROR(__xludf.DUMMYFUNCTION("""COMPUTED_VALUE"""),"Dead Man Bay - Pistol 1★ #1F8")</f>
        <v>Dead Man Bay - Pistol 1★ #1F8</v>
      </c>
      <c r="P744" s="296">
        <f>IFERROR(__xludf.DUMMYFUNCTION("""COMPUTED_VALUE"""),50.0)</f>
        <v>50</v>
      </c>
      <c r="Q744" s="355"/>
    </row>
    <row r="745" ht="12.75" customHeight="1">
      <c r="G745" s="354" t="s">
        <v>1456</v>
      </c>
      <c r="H745" s="296">
        <v>50.0</v>
      </c>
      <c r="I745" s="353">
        <v>0.0024423602969910123</v>
      </c>
      <c r="K745" s="296"/>
      <c r="L745" s="354"/>
      <c r="M745" s="355"/>
      <c r="O745" s="367" t="str">
        <f>IFERROR(__xludf.DUMMYFUNCTION("""COMPUTED_VALUE"""),"Dead Man Bay - Pistol 1★ #CAD")</f>
        <v>Dead Man Bay - Pistol 1★ #CAD</v>
      </c>
      <c r="P745" s="296">
        <f>IFERROR(__xludf.DUMMYFUNCTION("""COMPUTED_VALUE"""),50.0)</f>
        <v>50</v>
      </c>
      <c r="Q745" s="355"/>
    </row>
    <row r="746" ht="12.75" customHeight="1">
      <c r="G746" s="354" t="s">
        <v>1457</v>
      </c>
      <c r="H746" s="296">
        <v>50.0</v>
      </c>
      <c r="I746" s="353">
        <v>0.0024423602969910123</v>
      </c>
      <c r="K746" s="296"/>
      <c r="L746" s="354"/>
      <c r="M746" s="355"/>
      <c r="O746" s="367" t="str">
        <f>IFERROR(__xludf.DUMMYFUNCTION("""COMPUTED_VALUE"""),"Dead Man Bay - Pistol 1★ #762")</f>
        <v>Dead Man Bay - Pistol 1★ #762</v>
      </c>
      <c r="P746" s="296">
        <f>IFERROR(__xludf.DUMMYFUNCTION("""COMPUTED_VALUE"""),50.0)</f>
        <v>50</v>
      </c>
      <c r="Q746" s="355"/>
    </row>
    <row r="747" ht="12.75" customHeight="1">
      <c r="G747" s="354" t="s">
        <v>1458</v>
      </c>
      <c r="H747" s="296">
        <v>50.0</v>
      </c>
      <c r="I747" s="353">
        <v>0.0024423602969910123</v>
      </c>
      <c r="K747" s="296"/>
      <c r="L747" s="354"/>
      <c r="M747" s="355"/>
      <c r="O747" s="367" t="str">
        <f>IFERROR(__xludf.DUMMYFUNCTION("""COMPUTED_VALUE"""),"Dead Man Bay - Pistol 1★ #217")</f>
        <v>Dead Man Bay - Pistol 1★ #217</v>
      </c>
      <c r="P747" s="296">
        <f>IFERROR(__xludf.DUMMYFUNCTION("""COMPUTED_VALUE"""),50.0)</f>
        <v>50</v>
      </c>
      <c r="Q747" s="355"/>
    </row>
    <row r="748" ht="12.75" customHeight="1">
      <c r="G748" s="354" t="s">
        <v>1459</v>
      </c>
      <c r="H748" s="296">
        <v>50.0</v>
      </c>
      <c r="I748" s="353">
        <v>0.0024423602969910123</v>
      </c>
      <c r="K748" s="296"/>
      <c r="L748" s="354"/>
      <c r="M748" s="355"/>
      <c r="O748" s="367" t="str">
        <f>IFERROR(__xludf.DUMMYFUNCTION("""COMPUTED_VALUE"""),"Dead Man Bay - Pistol 1★ #CCC")</f>
        <v>Dead Man Bay - Pistol 1★ #CCC</v>
      </c>
      <c r="P748" s="296">
        <f>IFERROR(__xludf.DUMMYFUNCTION("""COMPUTED_VALUE"""),50.0)</f>
        <v>50</v>
      </c>
      <c r="Q748" s="355"/>
    </row>
    <row r="749" ht="12.75" customHeight="1">
      <c r="G749" s="354" t="s">
        <v>1460</v>
      </c>
      <c r="H749" s="296">
        <v>50.0</v>
      </c>
      <c r="I749" s="353">
        <v>0.0024423602969910123</v>
      </c>
      <c r="K749" s="296"/>
      <c r="L749" s="354"/>
      <c r="M749" s="355"/>
      <c r="O749" s="367" t="str">
        <f>IFERROR(__xludf.DUMMYFUNCTION("""COMPUTED_VALUE"""),"Dead Man Bay - Pistol 1★ #781")</f>
        <v>Dead Man Bay - Pistol 1★ #781</v>
      </c>
      <c r="P749" s="296">
        <f>IFERROR(__xludf.DUMMYFUNCTION("""COMPUTED_VALUE"""),50.0)</f>
        <v>50</v>
      </c>
      <c r="Q749" s="355"/>
    </row>
    <row r="750" ht="12.75" customHeight="1">
      <c r="G750" s="354" t="s">
        <v>1461</v>
      </c>
      <c r="H750" s="296">
        <v>50.0</v>
      </c>
      <c r="I750" s="353">
        <v>0.0024423602969910123</v>
      </c>
      <c r="K750" s="296"/>
      <c r="L750" s="354"/>
      <c r="M750" s="355"/>
      <c r="O750" s="367" t="str">
        <f>IFERROR(__xludf.DUMMYFUNCTION("""COMPUTED_VALUE"""),"Dead Man Bay - Pistol 1★ #236")</f>
        <v>Dead Man Bay - Pistol 1★ #236</v>
      </c>
      <c r="P750" s="296">
        <f>IFERROR(__xludf.DUMMYFUNCTION("""COMPUTED_VALUE"""),50.0)</f>
        <v>50</v>
      </c>
      <c r="Q750" s="355"/>
    </row>
    <row r="751" ht="12.75" customHeight="1">
      <c r="G751" s="354" t="s">
        <v>1462</v>
      </c>
      <c r="H751" s="296">
        <v>50.0</v>
      </c>
      <c r="I751" s="353">
        <v>0.0024423602969910123</v>
      </c>
      <c r="K751" s="296"/>
      <c r="L751" s="354"/>
      <c r="M751" s="355"/>
      <c r="O751" s="367" t="str">
        <f>IFERROR(__xludf.DUMMYFUNCTION("""COMPUTED_VALUE"""),"Dead Man Bay - Pistol 1★ #CEB")</f>
        <v>Dead Man Bay - Pistol 1★ #CEB</v>
      </c>
      <c r="P751" s="296">
        <f>IFERROR(__xludf.DUMMYFUNCTION("""COMPUTED_VALUE"""),50.0)</f>
        <v>50</v>
      </c>
      <c r="Q751" s="355"/>
    </row>
    <row r="752" ht="12.75" customHeight="1">
      <c r="G752" s="354" t="s">
        <v>1463</v>
      </c>
      <c r="H752" s="296">
        <v>50.0</v>
      </c>
      <c r="I752" s="353">
        <v>0.0024423602969910123</v>
      </c>
      <c r="K752" s="296"/>
      <c r="L752" s="354"/>
      <c r="M752" s="355"/>
      <c r="O752" s="367" t="str">
        <f>IFERROR(__xludf.DUMMYFUNCTION("""COMPUTED_VALUE"""),"Dead Man Bay - Pistol 1★ #7A0")</f>
        <v>Dead Man Bay - Pistol 1★ #7A0</v>
      </c>
      <c r="P752" s="296">
        <f>IFERROR(__xludf.DUMMYFUNCTION("""COMPUTED_VALUE"""),50.0)</f>
        <v>50</v>
      </c>
      <c r="Q752" s="355"/>
    </row>
    <row r="753" ht="12.75" customHeight="1">
      <c r="G753" s="354" t="s">
        <v>1464</v>
      </c>
      <c r="H753" s="296">
        <v>50.0</v>
      </c>
      <c r="I753" s="353">
        <v>0.0024423602969910123</v>
      </c>
      <c r="K753" s="296"/>
      <c r="L753" s="354"/>
      <c r="M753" s="355"/>
      <c r="O753" s="367" t="str">
        <f>IFERROR(__xludf.DUMMYFUNCTION("""COMPUTED_VALUE"""),"Dead Man Bay - Pistol 1★ #255")</f>
        <v>Dead Man Bay - Pistol 1★ #255</v>
      </c>
      <c r="P753" s="296">
        <f>IFERROR(__xludf.DUMMYFUNCTION("""COMPUTED_VALUE"""),50.0)</f>
        <v>50</v>
      </c>
      <c r="Q753" s="355"/>
    </row>
    <row r="754" ht="12.75" customHeight="1">
      <c r="G754" s="354" t="s">
        <v>1465</v>
      </c>
      <c r="H754" s="296">
        <v>50.0</v>
      </c>
      <c r="I754" s="353">
        <v>0.0024423602969910123</v>
      </c>
      <c r="K754" s="296"/>
      <c r="L754" s="354"/>
      <c r="M754" s="355"/>
      <c r="O754" s="367" t="str">
        <f>IFERROR(__xludf.DUMMYFUNCTION("""COMPUTED_VALUE"""),"Dead Man Bay - Pistol 1★ #D0A")</f>
        <v>Dead Man Bay - Pistol 1★ #D0A</v>
      </c>
      <c r="P754" s="296">
        <f>IFERROR(__xludf.DUMMYFUNCTION("""COMPUTED_VALUE"""),50.0)</f>
        <v>50</v>
      </c>
      <c r="Q754" s="355"/>
    </row>
    <row r="755" ht="12.75" customHeight="1">
      <c r="G755" s="354" t="s">
        <v>1466</v>
      </c>
      <c r="H755" s="296">
        <v>50.0</v>
      </c>
      <c r="I755" s="353">
        <v>0.0024423602969910123</v>
      </c>
      <c r="K755" s="296"/>
      <c r="L755" s="354"/>
      <c r="M755" s="355"/>
      <c r="O755" s="367" t="str">
        <f>IFERROR(__xludf.DUMMYFUNCTION("""COMPUTED_VALUE"""),"Dead Man Bay - Pistol 1★ #7BF")</f>
        <v>Dead Man Bay - Pistol 1★ #7BF</v>
      </c>
      <c r="P755" s="296">
        <f>IFERROR(__xludf.DUMMYFUNCTION("""COMPUTED_VALUE"""),50.0)</f>
        <v>50</v>
      </c>
      <c r="Q755" s="355"/>
    </row>
    <row r="756" ht="12.75" customHeight="1">
      <c r="G756" s="354" t="s">
        <v>1467</v>
      </c>
      <c r="H756" s="296">
        <v>50.0</v>
      </c>
      <c r="I756" s="353">
        <v>0.0024423602969910123</v>
      </c>
      <c r="K756" s="296"/>
      <c r="L756" s="354"/>
      <c r="M756" s="355"/>
      <c r="O756" s="367" t="str">
        <f>IFERROR(__xludf.DUMMYFUNCTION("""COMPUTED_VALUE"""),"Dead Man Bay - Pistol 1★ #274")</f>
        <v>Dead Man Bay - Pistol 1★ #274</v>
      </c>
      <c r="P756" s="296">
        <f>IFERROR(__xludf.DUMMYFUNCTION("""COMPUTED_VALUE"""),50.0)</f>
        <v>50</v>
      </c>
      <c r="Q756" s="355"/>
    </row>
    <row r="757" ht="12.75" customHeight="1">
      <c r="G757" s="354" t="s">
        <v>1468</v>
      </c>
      <c r="H757" s="296">
        <v>50.0</v>
      </c>
      <c r="I757" s="353">
        <v>0.0024423602969910123</v>
      </c>
      <c r="K757" s="296"/>
      <c r="L757" s="354"/>
      <c r="M757" s="355"/>
      <c r="O757" s="367" t="str">
        <f>IFERROR(__xludf.DUMMYFUNCTION("""COMPUTED_VALUE"""),"Dead Man Bay - Rum 1★ #D29")</f>
        <v>Dead Man Bay - Rum 1★ #D29</v>
      </c>
      <c r="P757" s="296">
        <f>IFERROR(__xludf.DUMMYFUNCTION("""COMPUTED_VALUE"""),50.0)</f>
        <v>50</v>
      </c>
      <c r="Q757" s="355"/>
    </row>
    <row r="758" ht="12.75" customHeight="1">
      <c r="G758" s="354" t="s">
        <v>1469</v>
      </c>
      <c r="H758" s="296">
        <v>50.0</v>
      </c>
      <c r="I758" s="353">
        <v>0.0024423602969910123</v>
      </c>
      <c r="K758" s="296"/>
      <c r="L758" s="354"/>
      <c r="M758" s="355"/>
      <c r="O758" s="367" t="str">
        <f>IFERROR(__xludf.DUMMYFUNCTION("""COMPUTED_VALUE"""),"Dead Man Bay - Rum 1★ #7DE")</f>
        <v>Dead Man Bay - Rum 1★ #7DE</v>
      </c>
      <c r="P758" s="296">
        <f>IFERROR(__xludf.DUMMYFUNCTION("""COMPUTED_VALUE"""),50.0)</f>
        <v>50</v>
      </c>
      <c r="Q758" s="355"/>
    </row>
    <row r="759" ht="12.75" customHeight="1">
      <c r="G759" s="354" t="s">
        <v>1470</v>
      </c>
      <c r="H759" s="296">
        <v>50.0</v>
      </c>
      <c r="I759" s="353">
        <v>0.0024423602969910123</v>
      </c>
      <c r="K759" s="296"/>
      <c r="L759" s="354"/>
      <c r="M759" s="355"/>
      <c r="O759" s="367" t="str">
        <f>IFERROR(__xludf.DUMMYFUNCTION("""COMPUTED_VALUE"""),"Dead Man Bay - Rum 1★ #293")</f>
        <v>Dead Man Bay - Rum 1★ #293</v>
      </c>
      <c r="P759" s="296">
        <f>IFERROR(__xludf.DUMMYFUNCTION("""COMPUTED_VALUE"""),50.0)</f>
        <v>50</v>
      </c>
      <c r="Q759" s="355"/>
    </row>
    <row r="760" ht="12.75" customHeight="1">
      <c r="G760" s="354" t="s">
        <v>1471</v>
      </c>
      <c r="H760" s="296">
        <v>50.0</v>
      </c>
      <c r="I760" s="353">
        <v>0.0024423602969910123</v>
      </c>
      <c r="K760" s="296"/>
      <c r="L760" s="354"/>
      <c r="M760" s="355"/>
      <c r="O760" s="367" t="str">
        <f>IFERROR(__xludf.DUMMYFUNCTION("""COMPUTED_VALUE"""),"Dead Man Bay - Rum 1★ #D48")</f>
        <v>Dead Man Bay - Rum 1★ #D48</v>
      </c>
      <c r="P760" s="296">
        <f>IFERROR(__xludf.DUMMYFUNCTION("""COMPUTED_VALUE"""),50.0)</f>
        <v>50</v>
      </c>
      <c r="Q760" s="355"/>
    </row>
    <row r="761" ht="12.75" customHeight="1">
      <c r="G761" s="354" t="s">
        <v>1472</v>
      </c>
      <c r="H761" s="296">
        <v>50.0</v>
      </c>
      <c r="I761" s="353">
        <v>0.0024423602969910123</v>
      </c>
      <c r="K761" s="296"/>
      <c r="L761" s="354"/>
      <c r="M761" s="355"/>
      <c r="O761" s="367" t="str">
        <f>IFERROR(__xludf.DUMMYFUNCTION("""COMPUTED_VALUE"""),"Dead Man Bay - Rum 1★ #7FD")</f>
        <v>Dead Man Bay - Rum 1★ #7FD</v>
      </c>
      <c r="P761" s="296">
        <f>IFERROR(__xludf.DUMMYFUNCTION("""COMPUTED_VALUE"""),50.0)</f>
        <v>50</v>
      </c>
      <c r="Q761" s="355"/>
    </row>
    <row r="762" ht="12.75" customHeight="1">
      <c r="G762" s="354" t="s">
        <v>1473</v>
      </c>
      <c r="H762" s="296">
        <v>50.0</v>
      </c>
      <c r="I762" s="353">
        <v>0.0024423602969910123</v>
      </c>
      <c r="K762" s="296"/>
      <c r="L762" s="354"/>
      <c r="M762" s="355"/>
      <c r="O762" s="367" t="str">
        <f>IFERROR(__xludf.DUMMYFUNCTION("""COMPUTED_VALUE"""),"Dead Man Bay - Rum 1★ #2B2")</f>
        <v>Dead Man Bay - Rum 1★ #2B2</v>
      </c>
      <c r="P762" s="296">
        <f>IFERROR(__xludf.DUMMYFUNCTION("""COMPUTED_VALUE"""),50.0)</f>
        <v>50</v>
      </c>
      <c r="Q762" s="355"/>
    </row>
    <row r="763" ht="12.75" customHeight="1">
      <c r="G763" s="354" t="s">
        <v>1474</v>
      </c>
      <c r="H763" s="296">
        <v>50.0</v>
      </c>
      <c r="I763" s="353">
        <v>0.0024423602969910123</v>
      </c>
      <c r="K763" s="296"/>
      <c r="L763" s="354"/>
      <c r="M763" s="355"/>
      <c r="O763" s="367" t="str">
        <f>IFERROR(__xludf.DUMMYFUNCTION("""COMPUTED_VALUE"""),"Dead Man Bay - Rum 1★ #D67")</f>
        <v>Dead Man Bay - Rum 1★ #D67</v>
      </c>
      <c r="P763" s="296">
        <f>IFERROR(__xludf.DUMMYFUNCTION("""COMPUTED_VALUE"""),50.0)</f>
        <v>50</v>
      </c>
      <c r="Q763" s="355"/>
    </row>
    <row r="764" ht="12.75" customHeight="1">
      <c r="G764" s="354" t="s">
        <v>1475</v>
      </c>
      <c r="H764" s="296">
        <v>50.0</v>
      </c>
      <c r="I764" s="353">
        <v>0.0024423602969910123</v>
      </c>
      <c r="K764" s="296"/>
      <c r="L764" s="354"/>
      <c r="M764" s="355"/>
      <c r="O764" s="367" t="str">
        <f>IFERROR(__xludf.DUMMYFUNCTION("""COMPUTED_VALUE"""),"Dead Man Bay - Rum 1★ #81C")</f>
        <v>Dead Man Bay - Rum 1★ #81C</v>
      </c>
      <c r="P764" s="296">
        <f>IFERROR(__xludf.DUMMYFUNCTION("""COMPUTED_VALUE"""),50.0)</f>
        <v>50</v>
      </c>
      <c r="Q764" s="355"/>
    </row>
    <row r="765" ht="12.75" customHeight="1">
      <c r="G765" s="354" t="s">
        <v>1476</v>
      </c>
      <c r="H765" s="296">
        <v>50.0</v>
      </c>
      <c r="I765" s="353">
        <v>0.0024423602969910123</v>
      </c>
      <c r="K765" s="296"/>
      <c r="L765" s="354"/>
      <c r="M765" s="355"/>
      <c r="O765" s="367" t="str">
        <f>IFERROR(__xludf.DUMMYFUNCTION("""COMPUTED_VALUE"""),"Dead Man Bay - Rum 1★ #2D1")</f>
        <v>Dead Man Bay - Rum 1★ #2D1</v>
      </c>
      <c r="P765" s="296">
        <f>IFERROR(__xludf.DUMMYFUNCTION("""COMPUTED_VALUE"""),50.0)</f>
        <v>50</v>
      </c>
      <c r="Q765" s="355"/>
    </row>
    <row r="766" ht="12.75" customHeight="1">
      <c r="G766" s="354" t="s">
        <v>1477</v>
      </c>
      <c r="H766" s="296">
        <v>50.0</v>
      </c>
      <c r="I766" s="353">
        <v>0.0024423602969910123</v>
      </c>
      <c r="K766" s="296"/>
      <c r="L766" s="354"/>
      <c r="M766" s="355"/>
      <c r="O766" s="367" t="str">
        <f>IFERROR(__xludf.DUMMYFUNCTION("""COMPUTED_VALUE"""),"Dead Man Bay - Rum 1★ #D86")</f>
        <v>Dead Man Bay - Rum 1★ #D86</v>
      </c>
      <c r="P766" s="296">
        <f>IFERROR(__xludf.DUMMYFUNCTION("""COMPUTED_VALUE"""),50.0)</f>
        <v>50</v>
      </c>
      <c r="Q766" s="355"/>
    </row>
    <row r="767" ht="12.75" customHeight="1">
      <c r="G767" s="354" t="s">
        <v>1478</v>
      </c>
      <c r="H767" s="296">
        <v>50.0</v>
      </c>
      <c r="I767" s="353">
        <v>0.0024423602969910123</v>
      </c>
      <c r="K767" s="296"/>
      <c r="L767" s="354"/>
      <c r="M767" s="355"/>
      <c r="O767" s="367" t="str">
        <f>IFERROR(__xludf.DUMMYFUNCTION("""COMPUTED_VALUE"""),"Dead Man Bay - Rum 1★ #83B")</f>
        <v>Dead Man Bay - Rum 1★ #83B</v>
      </c>
      <c r="P767" s="296">
        <f>IFERROR(__xludf.DUMMYFUNCTION("""COMPUTED_VALUE"""),50.0)</f>
        <v>50</v>
      </c>
      <c r="Q767" s="355"/>
    </row>
    <row r="768" ht="12.75" customHeight="1">
      <c r="G768" s="354" t="s">
        <v>1479</v>
      </c>
      <c r="H768" s="296">
        <v>50.0</v>
      </c>
      <c r="I768" s="353">
        <v>0.0024423602969910123</v>
      </c>
      <c r="K768" s="296"/>
      <c r="L768" s="354"/>
      <c r="M768" s="355"/>
      <c r="O768" s="367" t="str">
        <f>IFERROR(__xludf.DUMMYFUNCTION("""COMPUTED_VALUE"""),"Dead Man Bay - Rum 1★ #2F0")</f>
        <v>Dead Man Bay - Rum 1★ #2F0</v>
      </c>
      <c r="P768" s="296">
        <f>IFERROR(__xludf.DUMMYFUNCTION("""COMPUTED_VALUE"""),50.0)</f>
        <v>50</v>
      </c>
      <c r="Q768" s="355"/>
    </row>
    <row r="769" ht="12.75" customHeight="1">
      <c r="G769" s="354" t="s">
        <v>1480</v>
      </c>
      <c r="H769" s="296">
        <v>50.0</v>
      </c>
      <c r="I769" s="353">
        <v>0.0024423602969910123</v>
      </c>
      <c r="K769" s="296"/>
      <c r="L769" s="354"/>
      <c r="M769" s="355"/>
      <c r="O769" s="367" t="str">
        <f>IFERROR(__xludf.DUMMYFUNCTION("""COMPUTED_VALUE"""),"Dead Man Bay - Rum 1★ #DA5")</f>
        <v>Dead Man Bay - Rum 1★ #DA5</v>
      </c>
      <c r="P769" s="296">
        <f>IFERROR(__xludf.DUMMYFUNCTION("""COMPUTED_VALUE"""),50.0)</f>
        <v>50</v>
      </c>
      <c r="Q769" s="355"/>
    </row>
    <row r="770" ht="12.75" customHeight="1">
      <c r="G770" s="354" t="s">
        <v>1481</v>
      </c>
      <c r="H770" s="296">
        <v>20.0</v>
      </c>
      <c r="I770" s="353">
        <v>9.769441187964048E-4</v>
      </c>
      <c r="K770" s="296"/>
      <c r="L770" s="354"/>
      <c r="M770" s="355"/>
      <c r="O770" s="367" t="str">
        <f>IFERROR(__xludf.DUMMYFUNCTION("""COMPUTED_VALUE"""),"Dead Man Bay - Treasure Map 2★ #85A")</f>
        <v>Dead Man Bay - Treasure Map 2★ #85A</v>
      </c>
      <c r="P770" s="296">
        <f>IFERROR(__xludf.DUMMYFUNCTION("""COMPUTED_VALUE"""),20.0)</f>
        <v>20</v>
      </c>
      <c r="Q770" s="355"/>
    </row>
    <row r="771" ht="12.75" customHeight="1">
      <c r="G771" s="354" t="s">
        <v>1482</v>
      </c>
      <c r="H771" s="296">
        <v>20.0</v>
      </c>
      <c r="I771" s="353">
        <v>9.769441187964048E-4</v>
      </c>
      <c r="K771" s="296"/>
      <c r="L771" s="354"/>
      <c r="M771" s="355"/>
      <c r="O771" s="367" t="str">
        <f>IFERROR(__xludf.DUMMYFUNCTION("""COMPUTED_VALUE"""),"Dead Man Bay - Treasure Map 2★ #30F")</f>
        <v>Dead Man Bay - Treasure Map 2★ #30F</v>
      </c>
      <c r="P771" s="296">
        <f>IFERROR(__xludf.DUMMYFUNCTION("""COMPUTED_VALUE"""),20.0)</f>
        <v>20</v>
      </c>
      <c r="Q771" s="355"/>
    </row>
    <row r="772" ht="12.75" customHeight="1">
      <c r="G772" s="354" t="s">
        <v>1483</v>
      </c>
      <c r="H772" s="296">
        <v>20.0</v>
      </c>
      <c r="I772" s="353">
        <v>9.769441187964048E-4</v>
      </c>
      <c r="K772" s="296"/>
      <c r="L772" s="354"/>
      <c r="M772" s="355"/>
      <c r="O772" s="367" t="str">
        <f>IFERROR(__xludf.DUMMYFUNCTION("""COMPUTED_VALUE"""),"Dead Man Bay - Treasure Map 2★ #DC4")</f>
        <v>Dead Man Bay - Treasure Map 2★ #DC4</v>
      </c>
      <c r="P772" s="296">
        <f>IFERROR(__xludf.DUMMYFUNCTION("""COMPUTED_VALUE"""),20.0)</f>
        <v>20</v>
      </c>
      <c r="Q772" s="355"/>
    </row>
    <row r="773" ht="12.75" customHeight="1">
      <c r="G773" s="354" t="s">
        <v>1484</v>
      </c>
      <c r="H773" s="296">
        <v>20.0</v>
      </c>
      <c r="I773" s="353">
        <v>9.769441187964048E-4</v>
      </c>
      <c r="K773" s="296"/>
      <c r="L773" s="354"/>
      <c r="M773" s="355"/>
      <c r="O773" s="367" t="str">
        <f>IFERROR(__xludf.DUMMYFUNCTION("""COMPUTED_VALUE"""),"Dead Man Bay - Treasure Map 2★ #879")</f>
        <v>Dead Man Bay - Treasure Map 2★ #879</v>
      </c>
      <c r="P773" s="296">
        <f>IFERROR(__xludf.DUMMYFUNCTION("""COMPUTED_VALUE"""),20.0)</f>
        <v>20</v>
      </c>
      <c r="Q773" s="355"/>
    </row>
    <row r="774" ht="12.75" customHeight="1">
      <c r="G774" s="354" t="s">
        <v>1485</v>
      </c>
      <c r="H774" s="296">
        <v>20.0</v>
      </c>
      <c r="I774" s="353">
        <v>9.769441187964048E-4</v>
      </c>
      <c r="K774" s="296"/>
      <c r="L774" s="354"/>
      <c r="M774" s="355"/>
      <c r="O774" s="367" t="str">
        <f>IFERROR(__xludf.DUMMYFUNCTION("""COMPUTED_VALUE"""),"Dead Man Bay - Treasure Map 2★ #32E")</f>
        <v>Dead Man Bay - Treasure Map 2★ #32E</v>
      </c>
      <c r="P774" s="296">
        <f>IFERROR(__xludf.DUMMYFUNCTION("""COMPUTED_VALUE"""),20.0)</f>
        <v>20</v>
      </c>
      <c r="Q774" s="355"/>
    </row>
    <row r="775" ht="12.75" customHeight="1">
      <c r="G775" s="354" t="s">
        <v>1486</v>
      </c>
      <c r="H775" s="296">
        <v>20.0</v>
      </c>
      <c r="I775" s="353">
        <v>9.769441187964048E-4</v>
      </c>
      <c r="K775" s="296"/>
      <c r="L775" s="354"/>
      <c r="M775" s="355"/>
      <c r="O775" s="367" t="str">
        <f>IFERROR(__xludf.DUMMYFUNCTION("""COMPUTED_VALUE"""),"Dead Man Bay - Treasure Map 2★ #DE3")</f>
        <v>Dead Man Bay - Treasure Map 2★ #DE3</v>
      </c>
      <c r="P775" s="296">
        <f>IFERROR(__xludf.DUMMYFUNCTION("""COMPUTED_VALUE"""),20.0)</f>
        <v>20</v>
      </c>
      <c r="Q775" s="355"/>
    </row>
    <row r="776" ht="12.75" customHeight="1">
      <c r="G776" s="354" t="s">
        <v>1487</v>
      </c>
      <c r="H776" s="296">
        <v>20.0</v>
      </c>
      <c r="I776" s="353">
        <v>9.769441187964048E-4</v>
      </c>
      <c r="K776" s="296"/>
      <c r="L776" s="354"/>
      <c r="M776" s="355"/>
      <c r="O776" s="367" t="str">
        <f>IFERROR(__xludf.DUMMYFUNCTION("""COMPUTED_VALUE"""),"Dead Man Bay - Treasure Map 2★ #898")</f>
        <v>Dead Man Bay - Treasure Map 2★ #898</v>
      </c>
      <c r="P776" s="296">
        <f>IFERROR(__xludf.DUMMYFUNCTION("""COMPUTED_VALUE"""),20.0)</f>
        <v>20</v>
      </c>
      <c r="Q776" s="355"/>
    </row>
    <row r="777" ht="12.75" customHeight="1">
      <c r="G777" s="354" t="s">
        <v>1488</v>
      </c>
      <c r="H777" s="296">
        <v>20.0</v>
      </c>
      <c r="I777" s="353">
        <v>9.769441187964048E-4</v>
      </c>
      <c r="K777" s="296"/>
      <c r="L777" s="354"/>
      <c r="M777" s="355"/>
      <c r="O777" s="367" t="str">
        <f>IFERROR(__xludf.DUMMYFUNCTION("""COMPUTED_VALUE"""),"Dead Man Bay - Treasure Map 2★ #34D")</f>
        <v>Dead Man Bay - Treasure Map 2★ #34D</v>
      </c>
      <c r="P777" s="296">
        <f>IFERROR(__xludf.DUMMYFUNCTION("""COMPUTED_VALUE"""),20.0)</f>
        <v>20</v>
      </c>
      <c r="Q777" s="355"/>
    </row>
    <row r="778" ht="12.75" customHeight="1">
      <c r="G778" s="354" t="s">
        <v>1489</v>
      </c>
      <c r="H778" s="296">
        <v>20.0</v>
      </c>
      <c r="I778" s="353">
        <v>9.769441187964048E-4</v>
      </c>
      <c r="K778" s="296"/>
      <c r="L778" s="354"/>
      <c r="M778" s="355"/>
      <c r="O778" s="367" t="str">
        <f>IFERROR(__xludf.DUMMYFUNCTION("""COMPUTED_VALUE"""),"Dead Man Bay - Treasure Map 2★ #E02")</f>
        <v>Dead Man Bay - Treasure Map 2★ #E02</v>
      </c>
      <c r="P778" s="296">
        <f>IFERROR(__xludf.DUMMYFUNCTION("""COMPUTED_VALUE"""),20.0)</f>
        <v>20</v>
      </c>
      <c r="Q778" s="355"/>
    </row>
    <row r="779" ht="12.75" customHeight="1">
      <c r="G779" s="354" t="s">
        <v>1490</v>
      </c>
      <c r="H779" s="296">
        <v>20.0</v>
      </c>
      <c r="I779" s="353">
        <v>9.769441187964048E-4</v>
      </c>
      <c r="K779" s="296"/>
      <c r="L779" s="354"/>
      <c r="M779" s="355"/>
      <c r="O779" s="367" t="str">
        <f>IFERROR(__xludf.DUMMYFUNCTION("""COMPUTED_VALUE"""),"Dead Man Bay - Treasure Map 2★ #8B7")</f>
        <v>Dead Man Bay - Treasure Map 2★ #8B7</v>
      </c>
      <c r="P779" s="296">
        <f>IFERROR(__xludf.DUMMYFUNCTION("""COMPUTED_VALUE"""),20.0)</f>
        <v>20</v>
      </c>
      <c r="Q779" s="355"/>
    </row>
    <row r="780" ht="12.75" customHeight="1">
      <c r="G780" s="354" t="s">
        <v>1491</v>
      </c>
      <c r="H780" s="296">
        <v>20.0</v>
      </c>
      <c r="I780" s="353">
        <v>9.769441187964048E-4</v>
      </c>
      <c r="K780" s="296"/>
      <c r="L780" s="354"/>
      <c r="M780" s="355"/>
      <c r="O780" s="367" t="str">
        <f>IFERROR(__xludf.DUMMYFUNCTION("""COMPUTED_VALUE"""),"Dead Man Bay - Treasure Map 2★ #36C")</f>
        <v>Dead Man Bay - Treasure Map 2★ #36C</v>
      </c>
      <c r="P780" s="296">
        <f>IFERROR(__xludf.DUMMYFUNCTION("""COMPUTED_VALUE"""),20.0)</f>
        <v>20</v>
      </c>
      <c r="Q780" s="355"/>
    </row>
    <row r="781" ht="12.75" customHeight="1">
      <c r="G781" s="354" t="s">
        <v>1492</v>
      </c>
      <c r="H781" s="296">
        <v>20.0</v>
      </c>
      <c r="I781" s="353">
        <v>9.769441187964048E-4</v>
      </c>
      <c r="K781" s="296"/>
      <c r="L781" s="354"/>
      <c r="M781" s="355"/>
      <c r="O781" s="367" t="str">
        <f>IFERROR(__xludf.DUMMYFUNCTION("""COMPUTED_VALUE"""),"Dead Man Bay - Treasure Map 2★ #E21")</f>
        <v>Dead Man Bay - Treasure Map 2★ #E21</v>
      </c>
      <c r="P781" s="296">
        <f>IFERROR(__xludf.DUMMYFUNCTION("""COMPUTED_VALUE"""),20.0)</f>
        <v>20</v>
      </c>
      <c r="Q781" s="355"/>
    </row>
    <row r="782" ht="12.75" customHeight="1">
      <c r="G782" s="354" t="s">
        <v>1493</v>
      </c>
      <c r="H782" s="296">
        <v>20.0</v>
      </c>
      <c r="I782" s="353">
        <v>9.769441187964048E-4</v>
      </c>
      <c r="K782" s="296"/>
      <c r="L782" s="354"/>
      <c r="M782" s="355"/>
      <c r="O782" s="367" t="str">
        <f>IFERROR(__xludf.DUMMYFUNCTION("""COMPUTED_VALUE"""),"Dead Man Bay - Jolly Roger 2★ #8D6")</f>
        <v>Dead Man Bay - Jolly Roger 2★ #8D6</v>
      </c>
      <c r="P782" s="296">
        <f>IFERROR(__xludf.DUMMYFUNCTION("""COMPUTED_VALUE"""),20.0)</f>
        <v>20</v>
      </c>
      <c r="Q782" s="355"/>
    </row>
    <row r="783" ht="12.75" customHeight="1">
      <c r="G783" s="354" t="s">
        <v>1494</v>
      </c>
      <c r="H783" s="296">
        <v>20.0</v>
      </c>
      <c r="I783" s="353">
        <v>9.769441187964048E-4</v>
      </c>
      <c r="K783" s="296"/>
      <c r="L783" s="354"/>
      <c r="M783" s="355"/>
      <c r="O783" s="367" t="str">
        <f>IFERROR(__xludf.DUMMYFUNCTION("""COMPUTED_VALUE"""),"Dead Man Bay - Jolly Roger 2★ #38B")</f>
        <v>Dead Man Bay - Jolly Roger 2★ #38B</v>
      </c>
      <c r="P783" s="296">
        <f>IFERROR(__xludf.DUMMYFUNCTION("""COMPUTED_VALUE"""),20.0)</f>
        <v>20</v>
      </c>
      <c r="Q783" s="355"/>
    </row>
    <row r="784" ht="12.75" customHeight="1">
      <c r="G784" s="354" t="s">
        <v>1495</v>
      </c>
      <c r="H784" s="296">
        <v>20.0</v>
      </c>
      <c r="I784" s="353">
        <v>9.769441187964048E-4</v>
      </c>
      <c r="K784" s="296"/>
      <c r="L784" s="354"/>
      <c r="M784" s="355"/>
      <c r="O784" s="367" t="str">
        <f>IFERROR(__xludf.DUMMYFUNCTION("""COMPUTED_VALUE"""),"Dead Man Bay - Jolly Roger 2★ #E40")</f>
        <v>Dead Man Bay - Jolly Roger 2★ #E40</v>
      </c>
      <c r="P784" s="296">
        <f>IFERROR(__xludf.DUMMYFUNCTION("""COMPUTED_VALUE"""),20.0)</f>
        <v>20</v>
      </c>
      <c r="Q784" s="355"/>
    </row>
    <row r="785" ht="12.75" customHeight="1">
      <c r="G785" s="354" t="s">
        <v>1496</v>
      </c>
      <c r="H785" s="296">
        <v>20.0</v>
      </c>
      <c r="I785" s="353">
        <v>9.769441187964048E-4</v>
      </c>
      <c r="K785" s="296"/>
      <c r="L785" s="354"/>
      <c r="M785" s="355"/>
      <c r="O785" s="367" t="str">
        <f>IFERROR(__xludf.DUMMYFUNCTION("""COMPUTED_VALUE"""),"Dead Man Bay - Jolly Roger 2★ #8F5")</f>
        <v>Dead Man Bay - Jolly Roger 2★ #8F5</v>
      </c>
      <c r="P785" s="296">
        <f>IFERROR(__xludf.DUMMYFUNCTION("""COMPUTED_VALUE"""),20.0)</f>
        <v>20</v>
      </c>
      <c r="Q785" s="355"/>
    </row>
    <row r="786" ht="12.75" customHeight="1">
      <c r="G786" s="354" t="s">
        <v>1497</v>
      </c>
      <c r="H786" s="296">
        <v>20.0</v>
      </c>
      <c r="I786" s="353">
        <v>9.769441187964048E-4</v>
      </c>
      <c r="K786" s="296"/>
      <c r="L786" s="354"/>
      <c r="M786" s="355"/>
      <c r="O786" s="367" t="str">
        <f>IFERROR(__xludf.DUMMYFUNCTION("""COMPUTED_VALUE"""),"Dead Man Bay - Jolly Roger 2★ #3AA")</f>
        <v>Dead Man Bay - Jolly Roger 2★ #3AA</v>
      </c>
      <c r="P786" s="296">
        <f>IFERROR(__xludf.DUMMYFUNCTION("""COMPUTED_VALUE"""),20.0)</f>
        <v>20</v>
      </c>
      <c r="Q786" s="355"/>
    </row>
    <row r="787" ht="12.75" customHeight="1">
      <c r="G787" s="354" t="s">
        <v>1498</v>
      </c>
      <c r="H787" s="296">
        <v>20.0</v>
      </c>
      <c r="I787" s="353">
        <v>9.769441187964048E-4</v>
      </c>
      <c r="K787" s="296"/>
      <c r="L787" s="354"/>
      <c r="M787" s="355"/>
      <c r="O787" s="367" t="str">
        <f>IFERROR(__xludf.DUMMYFUNCTION("""COMPUTED_VALUE"""),"Dead Man Bay - Jolly Roger 2★ #E5F")</f>
        <v>Dead Man Bay - Jolly Roger 2★ #E5F</v>
      </c>
      <c r="P787" s="296">
        <f>IFERROR(__xludf.DUMMYFUNCTION("""COMPUTED_VALUE"""),20.0)</f>
        <v>20</v>
      </c>
      <c r="Q787" s="355"/>
    </row>
    <row r="788" ht="12.75" customHeight="1">
      <c r="G788" s="354" t="s">
        <v>1499</v>
      </c>
      <c r="H788" s="296">
        <v>20.0</v>
      </c>
      <c r="I788" s="353">
        <v>9.769441187964048E-4</v>
      </c>
      <c r="K788" s="296"/>
      <c r="L788" s="354"/>
      <c r="M788" s="355"/>
      <c r="O788" s="367" t="str">
        <f>IFERROR(__xludf.DUMMYFUNCTION("""COMPUTED_VALUE"""),"Dead Man Bay - Jolly Roger 2★ #914")</f>
        <v>Dead Man Bay - Jolly Roger 2★ #914</v>
      </c>
      <c r="P788" s="296">
        <f>IFERROR(__xludf.DUMMYFUNCTION("""COMPUTED_VALUE"""),20.0)</f>
        <v>20</v>
      </c>
      <c r="Q788" s="355"/>
    </row>
    <row r="789" ht="12.75" customHeight="1">
      <c r="G789" s="354" t="s">
        <v>1500</v>
      </c>
      <c r="H789" s="296">
        <v>20.0</v>
      </c>
      <c r="I789" s="353">
        <v>9.769441187964048E-4</v>
      </c>
      <c r="K789" s="296"/>
      <c r="L789" s="354"/>
      <c r="M789" s="355"/>
      <c r="O789" s="367" t="str">
        <f>IFERROR(__xludf.DUMMYFUNCTION("""COMPUTED_VALUE"""),"Dead Man Bay - Jolly Roger 2★ #3C9")</f>
        <v>Dead Man Bay - Jolly Roger 2★ #3C9</v>
      </c>
      <c r="P789" s="296">
        <f>IFERROR(__xludf.DUMMYFUNCTION("""COMPUTED_VALUE"""),20.0)</f>
        <v>20</v>
      </c>
      <c r="Q789" s="355"/>
    </row>
    <row r="790" ht="12.75" customHeight="1">
      <c r="G790" s="354" t="s">
        <v>1501</v>
      </c>
      <c r="H790" s="296">
        <v>20.0</v>
      </c>
      <c r="I790" s="353">
        <v>9.769441187964048E-4</v>
      </c>
      <c r="K790" s="296"/>
      <c r="L790" s="354"/>
      <c r="M790" s="355"/>
      <c r="O790" s="367" t="str">
        <f>IFERROR(__xludf.DUMMYFUNCTION("""COMPUTED_VALUE"""),"Dead Man Bay - Jolly Roger 2★ #E7E")</f>
        <v>Dead Man Bay - Jolly Roger 2★ #E7E</v>
      </c>
      <c r="P790" s="296">
        <f>IFERROR(__xludf.DUMMYFUNCTION("""COMPUTED_VALUE"""),20.0)</f>
        <v>20</v>
      </c>
      <c r="Q790" s="355"/>
    </row>
    <row r="791" ht="12.75" customHeight="1">
      <c r="G791" s="354" t="s">
        <v>1502</v>
      </c>
      <c r="H791" s="296">
        <v>20.0</v>
      </c>
      <c r="I791" s="353">
        <v>9.769441187964048E-4</v>
      </c>
      <c r="K791" s="296"/>
      <c r="L791" s="354"/>
      <c r="M791" s="355"/>
      <c r="O791" s="367" t="str">
        <f>IFERROR(__xludf.DUMMYFUNCTION("""COMPUTED_VALUE"""),"Dead Man Bay - Jolly Roger 2★ #933")</f>
        <v>Dead Man Bay - Jolly Roger 2★ #933</v>
      </c>
      <c r="P791" s="296">
        <f>IFERROR(__xludf.DUMMYFUNCTION("""COMPUTED_VALUE"""),20.0)</f>
        <v>20</v>
      </c>
      <c r="Q791" s="355"/>
    </row>
    <row r="792" ht="12.75" customHeight="1">
      <c r="G792" s="354" t="s">
        <v>1503</v>
      </c>
      <c r="H792" s="296">
        <v>20.0</v>
      </c>
      <c r="I792" s="353">
        <v>9.769441187964048E-4</v>
      </c>
      <c r="K792" s="296"/>
      <c r="L792" s="354"/>
      <c r="M792" s="355"/>
      <c r="O792" s="367" t="str">
        <f>IFERROR(__xludf.DUMMYFUNCTION("""COMPUTED_VALUE"""),"Dead Man Bay - Jolly Roger 2★ #3E8")</f>
        <v>Dead Man Bay - Jolly Roger 2★ #3E8</v>
      </c>
      <c r="P792" s="296">
        <f>IFERROR(__xludf.DUMMYFUNCTION("""COMPUTED_VALUE"""),20.0)</f>
        <v>20</v>
      </c>
      <c r="Q792" s="355"/>
    </row>
    <row r="793" ht="12.75" customHeight="1">
      <c r="G793" s="354" t="s">
        <v>1504</v>
      </c>
      <c r="H793" s="296">
        <v>20.0</v>
      </c>
      <c r="I793" s="353">
        <v>9.769441187964048E-4</v>
      </c>
      <c r="K793" s="296"/>
      <c r="L793" s="354"/>
      <c r="M793" s="355"/>
      <c r="O793" s="367" t="str">
        <f>IFERROR(__xludf.DUMMYFUNCTION("""COMPUTED_VALUE"""),"Dead Man Bay - Jolly Roger 2★ #E9D")</f>
        <v>Dead Man Bay - Jolly Roger 2★ #E9D</v>
      </c>
      <c r="P793" s="296">
        <f>IFERROR(__xludf.DUMMYFUNCTION("""COMPUTED_VALUE"""),20.0)</f>
        <v>20</v>
      </c>
      <c r="Q793" s="355"/>
    </row>
    <row r="794" ht="12.75" customHeight="1">
      <c r="G794" s="354" t="s">
        <v>1505</v>
      </c>
      <c r="H794" s="296">
        <v>10.0</v>
      </c>
      <c r="I794" s="353">
        <v>4.884720593982024E-4</v>
      </c>
      <c r="K794" s="296"/>
      <c r="L794" s="354"/>
      <c r="M794" s="355"/>
      <c r="O794" s="367" t="str">
        <f>IFERROR(__xludf.DUMMYFUNCTION("""COMPUTED_VALUE"""),"Dead Man Bay - Gold Tooth 3★ #952")</f>
        <v>Dead Man Bay - Gold Tooth 3★ #952</v>
      </c>
      <c r="P794" s="296">
        <f>IFERROR(__xludf.DUMMYFUNCTION("""COMPUTED_VALUE"""),10.0)</f>
        <v>10</v>
      </c>
      <c r="Q794" s="355"/>
    </row>
    <row r="795" ht="12.75" customHeight="1">
      <c r="G795" s="354" t="s">
        <v>1506</v>
      </c>
      <c r="H795" s="296">
        <v>10.0</v>
      </c>
      <c r="I795" s="353">
        <v>4.884720593982024E-4</v>
      </c>
      <c r="K795" s="296"/>
      <c r="L795" s="354"/>
      <c r="M795" s="355"/>
      <c r="O795" s="367" t="str">
        <f>IFERROR(__xludf.DUMMYFUNCTION("""COMPUTED_VALUE"""),"Dead Man Bay - Gold Tooth 3★ #407")</f>
        <v>Dead Man Bay - Gold Tooth 3★ #407</v>
      </c>
      <c r="P795" s="296">
        <f>IFERROR(__xludf.DUMMYFUNCTION("""COMPUTED_VALUE"""),10.0)</f>
        <v>10</v>
      </c>
      <c r="Q795" s="355"/>
    </row>
    <row r="796" ht="12.75" customHeight="1">
      <c r="G796" s="354" t="s">
        <v>1507</v>
      </c>
      <c r="H796" s="296">
        <v>10.0</v>
      </c>
      <c r="I796" s="353">
        <v>4.884720593982024E-4</v>
      </c>
      <c r="K796" s="296"/>
      <c r="L796" s="354"/>
      <c r="M796" s="355"/>
      <c r="O796" s="367" t="str">
        <f>IFERROR(__xludf.DUMMYFUNCTION("""COMPUTED_VALUE"""),"Dead Man Bay - Gold Tooth 3★ #EBC")</f>
        <v>Dead Man Bay - Gold Tooth 3★ #EBC</v>
      </c>
      <c r="P796" s="296">
        <f>IFERROR(__xludf.DUMMYFUNCTION("""COMPUTED_VALUE"""),10.0)</f>
        <v>10</v>
      </c>
      <c r="Q796" s="355"/>
    </row>
    <row r="797" ht="12.75" customHeight="1">
      <c r="G797" s="354" t="s">
        <v>1508</v>
      </c>
      <c r="H797" s="296">
        <v>10.0</v>
      </c>
      <c r="I797" s="353">
        <v>4.884720593982024E-4</v>
      </c>
      <c r="K797" s="296"/>
      <c r="L797" s="354"/>
      <c r="M797" s="355"/>
      <c r="O797" s="367" t="str">
        <f>IFERROR(__xludf.DUMMYFUNCTION("""COMPUTED_VALUE"""),"Dead Man Bay - Gold Tooth 3★ #971")</f>
        <v>Dead Man Bay - Gold Tooth 3★ #971</v>
      </c>
      <c r="P797" s="296">
        <f>IFERROR(__xludf.DUMMYFUNCTION("""COMPUTED_VALUE"""),10.0)</f>
        <v>10</v>
      </c>
      <c r="Q797" s="355"/>
    </row>
    <row r="798" ht="12.75" customHeight="1">
      <c r="G798" s="354" t="s">
        <v>1509</v>
      </c>
      <c r="H798" s="296">
        <v>10.0</v>
      </c>
      <c r="I798" s="353">
        <v>4.884720593982024E-4</v>
      </c>
      <c r="K798" s="296"/>
      <c r="L798" s="354"/>
      <c r="M798" s="355"/>
      <c r="O798" s="367" t="str">
        <f>IFERROR(__xludf.DUMMYFUNCTION("""COMPUTED_VALUE"""),"Dead Man Bay - Gold Tooth 3★ #426")</f>
        <v>Dead Man Bay - Gold Tooth 3★ #426</v>
      </c>
      <c r="P798" s="296">
        <f>IFERROR(__xludf.DUMMYFUNCTION("""COMPUTED_VALUE"""),10.0)</f>
        <v>10</v>
      </c>
      <c r="Q798" s="355"/>
    </row>
    <row r="799" ht="12.75" customHeight="1">
      <c r="G799" s="354" t="s">
        <v>1510</v>
      </c>
      <c r="H799" s="296">
        <v>10.0</v>
      </c>
      <c r="I799" s="353">
        <v>4.884720593982024E-4</v>
      </c>
      <c r="K799" s="296"/>
      <c r="L799" s="354"/>
      <c r="M799" s="355"/>
      <c r="O799" s="367" t="str">
        <f>IFERROR(__xludf.DUMMYFUNCTION("""COMPUTED_VALUE"""),"Dead Man Bay - Gold Tooth 3★ #EDB")</f>
        <v>Dead Man Bay - Gold Tooth 3★ #EDB</v>
      </c>
      <c r="P799" s="296">
        <f>IFERROR(__xludf.DUMMYFUNCTION("""COMPUTED_VALUE"""),10.0)</f>
        <v>10</v>
      </c>
      <c r="Q799" s="355"/>
    </row>
    <row r="800" ht="12.75" customHeight="1">
      <c r="G800" s="354" t="s">
        <v>1511</v>
      </c>
      <c r="H800" s="296">
        <v>10.0</v>
      </c>
      <c r="I800" s="353">
        <v>4.884720593982024E-4</v>
      </c>
      <c r="K800" s="296"/>
      <c r="L800" s="354"/>
      <c r="M800" s="355"/>
      <c r="O800" s="367" t="str">
        <f>IFERROR(__xludf.DUMMYFUNCTION("""COMPUTED_VALUE"""),"Dead Man Bay - Gold Tooth 3★ #990")</f>
        <v>Dead Man Bay - Gold Tooth 3★ #990</v>
      </c>
      <c r="P800" s="296">
        <f>IFERROR(__xludf.DUMMYFUNCTION("""COMPUTED_VALUE"""),10.0)</f>
        <v>10</v>
      </c>
      <c r="Q800" s="355"/>
    </row>
    <row r="801" ht="12.75" customHeight="1">
      <c r="G801" s="354" t="s">
        <v>1512</v>
      </c>
      <c r="H801" s="296">
        <v>10.0</v>
      </c>
      <c r="I801" s="353">
        <v>4.884720593982024E-4</v>
      </c>
      <c r="K801" s="296"/>
      <c r="L801" s="354"/>
      <c r="M801" s="355"/>
      <c r="O801" s="367" t="str">
        <f>IFERROR(__xludf.DUMMYFUNCTION("""COMPUTED_VALUE"""),"Dead Man Bay - Gold Tooth 3★ #445")</f>
        <v>Dead Man Bay - Gold Tooth 3★ #445</v>
      </c>
      <c r="P801" s="296">
        <f>IFERROR(__xludf.DUMMYFUNCTION("""COMPUTED_VALUE"""),10.0)</f>
        <v>10</v>
      </c>
      <c r="Q801" s="355"/>
    </row>
    <row r="802" ht="12.75" customHeight="1">
      <c r="G802" s="354" t="s">
        <v>1513</v>
      </c>
      <c r="H802" s="296">
        <v>10.0</v>
      </c>
      <c r="I802" s="353">
        <v>4.884720593982024E-4</v>
      </c>
      <c r="K802" s="296"/>
      <c r="L802" s="354"/>
      <c r="M802" s="355"/>
      <c r="O802" s="367" t="str">
        <f>IFERROR(__xludf.DUMMYFUNCTION("""COMPUTED_VALUE"""),"Dead Man Bay - Gold Tooth 3★ #EFA")</f>
        <v>Dead Man Bay - Gold Tooth 3★ #EFA</v>
      </c>
      <c r="P802" s="296">
        <f>IFERROR(__xludf.DUMMYFUNCTION("""COMPUTED_VALUE"""),10.0)</f>
        <v>10</v>
      </c>
      <c r="Q802" s="355"/>
    </row>
    <row r="803" ht="12.75" customHeight="1">
      <c r="G803" s="354" t="s">
        <v>1514</v>
      </c>
      <c r="H803" s="296">
        <v>10.0</v>
      </c>
      <c r="I803" s="353">
        <v>4.884720593982024E-4</v>
      </c>
      <c r="K803" s="296"/>
      <c r="L803" s="354"/>
      <c r="M803" s="355"/>
      <c r="O803" s="367" t="str">
        <f>IFERROR(__xludf.DUMMYFUNCTION("""COMPUTED_VALUE"""),"Dead Man Bay - Gold Tooth 3★ #9AF")</f>
        <v>Dead Man Bay - Gold Tooth 3★ #9AF</v>
      </c>
      <c r="P803" s="296">
        <f>IFERROR(__xludf.DUMMYFUNCTION("""COMPUTED_VALUE"""),10.0)</f>
        <v>10</v>
      </c>
      <c r="Q803" s="355"/>
    </row>
    <row r="804" ht="12.75" customHeight="1">
      <c r="G804" s="354" t="s">
        <v>1515</v>
      </c>
      <c r="H804" s="296">
        <v>10.0</v>
      </c>
      <c r="I804" s="353">
        <v>4.884720593982024E-4</v>
      </c>
      <c r="K804" s="296"/>
      <c r="L804" s="354"/>
      <c r="M804" s="355"/>
      <c r="O804" s="367" t="str">
        <f>IFERROR(__xludf.DUMMYFUNCTION("""COMPUTED_VALUE"""),"Dead Man Bay - Gold Tooth 3★ #464")</f>
        <v>Dead Man Bay - Gold Tooth 3★ #464</v>
      </c>
      <c r="P804" s="296">
        <f>IFERROR(__xludf.DUMMYFUNCTION("""COMPUTED_VALUE"""),10.0)</f>
        <v>10</v>
      </c>
      <c r="Q804" s="355"/>
    </row>
    <row r="805" ht="12.75" customHeight="1">
      <c r="G805" s="354" t="s">
        <v>1516</v>
      </c>
      <c r="H805" s="296">
        <v>10.0</v>
      </c>
      <c r="I805" s="353">
        <v>4.884720593982024E-4</v>
      </c>
      <c r="K805" s="296"/>
      <c r="L805" s="354"/>
      <c r="M805" s="355"/>
      <c r="O805" s="367" t="str">
        <f>IFERROR(__xludf.DUMMYFUNCTION("""COMPUTED_VALUE"""),"Dead Man Bay - Gold Tooth 3★ #F19")</f>
        <v>Dead Man Bay - Gold Tooth 3★ #F19</v>
      </c>
      <c r="P805" s="296">
        <f>IFERROR(__xludf.DUMMYFUNCTION("""COMPUTED_VALUE"""),10.0)</f>
        <v>10</v>
      </c>
      <c r="Q805" s="355"/>
    </row>
    <row r="806" ht="12.75" customHeight="1">
      <c r="G806" s="354" t="s">
        <v>1517</v>
      </c>
      <c r="H806" s="296">
        <v>10.0</v>
      </c>
      <c r="I806" s="353">
        <v>4.884720593982024E-4</v>
      </c>
      <c r="K806" s="296"/>
      <c r="L806" s="354"/>
      <c r="M806" s="355"/>
      <c r="O806" s="367" t="str">
        <f>IFERROR(__xludf.DUMMYFUNCTION("""COMPUTED_VALUE"""),"Dead Man Bay - Gold Tooth 3★ #9CE")</f>
        <v>Dead Man Bay - Gold Tooth 3★ #9CE</v>
      </c>
      <c r="P806" s="296">
        <f>IFERROR(__xludf.DUMMYFUNCTION("""COMPUTED_VALUE"""),10.0)</f>
        <v>10</v>
      </c>
      <c r="Q806" s="355"/>
    </row>
    <row r="807" ht="12.75" customHeight="1">
      <c r="G807" s="354" t="s">
        <v>1518</v>
      </c>
      <c r="H807" s="296">
        <v>5.0</v>
      </c>
      <c r="I807" s="353">
        <v>2.442360296991012E-4</v>
      </c>
      <c r="K807" s="296"/>
      <c r="L807" s="354"/>
      <c r="M807" s="355"/>
      <c r="O807" s="367" t="str">
        <f>IFERROR(__xludf.DUMMYFUNCTION("""COMPUTED_VALUE"""),"Dead Man Bay - Dagger 4★ #483")</f>
        <v>Dead Man Bay - Dagger 4★ #483</v>
      </c>
      <c r="P807" s="296">
        <f>IFERROR(__xludf.DUMMYFUNCTION("""COMPUTED_VALUE"""),5.0)</f>
        <v>5</v>
      </c>
      <c r="Q807" s="355"/>
    </row>
    <row r="808" ht="12.75" customHeight="1">
      <c r="G808" s="354" t="s">
        <v>1519</v>
      </c>
      <c r="H808" s="296">
        <v>5.0</v>
      </c>
      <c r="I808" s="353">
        <v>2.442360296991012E-4</v>
      </c>
      <c r="K808" s="296"/>
      <c r="L808" s="354"/>
      <c r="M808" s="355"/>
      <c r="O808" s="367" t="str">
        <f>IFERROR(__xludf.DUMMYFUNCTION("""COMPUTED_VALUE"""),"Dead Man Bay - Dagger 4★ #F38")</f>
        <v>Dead Man Bay - Dagger 4★ #F38</v>
      </c>
      <c r="P808" s="296">
        <f>IFERROR(__xludf.DUMMYFUNCTION("""COMPUTED_VALUE"""),5.0)</f>
        <v>5</v>
      </c>
      <c r="Q808" s="355"/>
    </row>
    <row r="809" ht="12.75" customHeight="1">
      <c r="G809" s="354" t="s">
        <v>1520</v>
      </c>
      <c r="H809" s="296">
        <v>5.0</v>
      </c>
      <c r="I809" s="353">
        <v>2.442360296991012E-4</v>
      </c>
      <c r="K809" s="296"/>
      <c r="L809" s="354"/>
      <c r="M809" s="355"/>
      <c r="O809" s="367" t="str">
        <f>IFERROR(__xludf.DUMMYFUNCTION("""COMPUTED_VALUE"""),"Dead Man Bay - Dagger 4★ #9ED")</f>
        <v>Dead Man Bay - Dagger 4★ #9ED</v>
      </c>
      <c r="P809" s="296">
        <f>IFERROR(__xludf.DUMMYFUNCTION("""COMPUTED_VALUE"""),5.0)</f>
        <v>5</v>
      </c>
      <c r="Q809" s="355"/>
    </row>
    <row r="810" ht="12.75" customHeight="1">
      <c r="G810" s="354" t="s">
        <v>1521</v>
      </c>
      <c r="H810" s="296">
        <v>5.0</v>
      </c>
      <c r="I810" s="353">
        <v>2.442360296991012E-4</v>
      </c>
      <c r="K810" s="296"/>
      <c r="L810" s="354"/>
      <c r="M810" s="355"/>
      <c r="O810" s="367" t="str">
        <f>IFERROR(__xludf.DUMMYFUNCTION("""COMPUTED_VALUE"""),"Dead Man Bay - Dagger 4★ #4A2")</f>
        <v>Dead Man Bay - Dagger 4★ #4A2</v>
      </c>
      <c r="P810" s="296">
        <f>IFERROR(__xludf.DUMMYFUNCTION("""COMPUTED_VALUE"""),5.0)</f>
        <v>5</v>
      </c>
      <c r="Q810" s="355"/>
    </row>
    <row r="811" ht="12.75" customHeight="1">
      <c r="G811" s="354" t="s">
        <v>1522</v>
      </c>
      <c r="H811" s="296">
        <v>5.0</v>
      </c>
      <c r="I811" s="353">
        <v>2.442360296991012E-4</v>
      </c>
      <c r="K811" s="296"/>
      <c r="L811" s="354"/>
      <c r="M811" s="355"/>
      <c r="O811" s="367" t="str">
        <f>IFERROR(__xludf.DUMMYFUNCTION("""COMPUTED_VALUE"""),"Dead Man Bay - Dagger 4★ #F57")</f>
        <v>Dead Man Bay - Dagger 4★ #F57</v>
      </c>
      <c r="P811" s="296">
        <f>IFERROR(__xludf.DUMMYFUNCTION("""COMPUTED_VALUE"""),5.0)</f>
        <v>5</v>
      </c>
      <c r="Q811" s="355"/>
    </row>
    <row r="812" ht="12.75" customHeight="1">
      <c r="G812" s="354" t="s">
        <v>1523</v>
      </c>
      <c r="H812" s="296">
        <v>5.0</v>
      </c>
      <c r="I812" s="353">
        <v>2.442360296991012E-4</v>
      </c>
      <c r="K812" s="296"/>
      <c r="L812" s="354"/>
      <c r="M812" s="355"/>
      <c r="O812" s="367" t="str">
        <f>IFERROR(__xludf.DUMMYFUNCTION("""COMPUTED_VALUE"""),"Dead Man Bay - Dagger 4★ #A0C")</f>
        <v>Dead Man Bay - Dagger 4★ #A0C</v>
      </c>
      <c r="P812" s="296">
        <f>IFERROR(__xludf.DUMMYFUNCTION("""COMPUTED_VALUE"""),5.0)</f>
        <v>5</v>
      </c>
      <c r="Q812" s="355"/>
    </row>
    <row r="813" ht="12.75" customHeight="1">
      <c r="G813" s="354" t="s">
        <v>1524</v>
      </c>
      <c r="H813" s="296">
        <v>5.0</v>
      </c>
      <c r="I813" s="353">
        <v>2.442360296991012E-4</v>
      </c>
      <c r="K813" s="296"/>
      <c r="L813" s="354"/>
      <c r="M813" s="355"/>
      <c r="O813" s="367" t="str">
        <f>IFERROR(__xludf.DUMMYFUNCTION("""COMPUTED_VALUE"""),"Dead Man Bay - Dagger 4★ #4C1")</f>
        <v>Dead Man Bay - Dagger 4★ #4C1</v>
      </c>
      <c r="P813" s="296">
        <f>IFERROR(__xludf.DUMMYFUNCTION("""COMPUTED_VALUE"""),5.0)</f>
        <v>5</v>
      </c>
      <c r="Q813" s="355"/>
    </row>
    <row r="814" ht="12.75" customHeight="1">
      <c r="G814" s="354" t="s">
        <v>1525</v>
      </c>
      <c r="H814" s="296">
        <v>5.0</v>
      </c>
      <c r="I814" s="353">
        <v>2.442360296991012E-4</v>
      </c>
      <c r="K814" s="296"/>
      <c r="L814" s="354"/>
      <c r="M814" s="355"/>
      <c r="O814" s="367" t="str">
        <f>IFERROR(__xludf.DUMMYFUNCTION("""COMPUTED_VALUE"""),"Dead Man Bay - Dagger 4★ #F76")</f>
        <v>Dead Man Bay - Dagger 4★ #F76</v>
      </c>
      <c r="P814" s="296">
        <f>IFERROR(__xludf.DUMMYFUNCTION("""COMPUTED_VALUE"""),5.0)</f>
        <v>5</v>
      </c>
      <c r="Q814" s="355"/>
    </row>
    <row r="815" ht="12.75" customHeight="1">
      <c r="G815" s="354" t="s">
        <v>1526</v>
      </c>
      <c r="H815" s="296">
        <v>5.0</v>
      </c>
      <c r="I815" s="353">
        <v>2.442360296991012E-4</v>
      </c>
      <c r="K815" s="296"/>
      <c r="L815" s="354"/>
      <c r="M815" s="355"/>
      <c r="O815" s="367" t="str">
        <f>IFERROR(__xludf.DUMMYFUNCTION("""COMPUTED_VALUE"""),"Dead Man Bay - Dagger 4★ #A2B")</f>
        <v>Dead Man Bay - Dagger 4★ #A2B</v>
      </c>
      <c r="P815" s="296">
        <f>IFERROR(__xludf.DUMMYFUNCTION("""COMPUTED_VALUE"""),5.0)</f>
        <v>5</v>
      </c>
      <c r="Q815" s="355"/>
    </row>
    <row r="816" ht="12.75" customHeight="1">
      <c r="G816" s="354" t="s">
        <v>1527</v>
      </c>
      <c r="H816" s="296">
        <v>5.0</v>
      </c>
      <c r="I816" s="353">
        <v>2.442360296991012E-4</v>
      </c>
      <c r="K816" s="296"/>
      <c r="L816" s="354"/>
      <c r="M816" s="355"/>
      <c r="O816" s="367" t="str">
        <f>IFERROR(__xludf.DUMMYFUNCTION("""COMPUTED_VALUE"""),"Dead Man Bay - Dagger 4★ #4E0")</f>
        <v>Dead Man Bay - Dagger 4★ #4E0</v>
      </c>
      <c r="P816" s="296">
        <f>IFERROR(__xludf.DUMMYFUNCTION("""COMPUTED_VALUE"""),5.0)</f>
        <v>5</v>
      </c>
      <c r="Q816" s="355"/>
    </row>
    <row r="817" ht="12.75" customHeight="1">
      <c r="G817" s="354" t="s">
        <v>1528</v>
      </c>
      <c r="H817" s="296">
        <v>5.0</v>
      </c>
      <c r="I817" s="353">
        <v>2.442360296991012E-4</v>
      </c>
      <c r="K817" s="296"/>
      <c r="L817" s="354"/>
      <c r="M817" s="355"/>
      <c r="O817" s="367" t="str">
        <f>IFERROR(__xludf.DUMMYFUNCTION("""COMPUTED_VALUE"""),"Dead Man Bay - Dagger 4★ #F95")</f>
        <v>Dead Man Bay - Dagger 4★ #F95</v>
      </c>
      <c r="P817" s="296">
        <f>IFERROR(__xludf.DUMMYFUNCTION("""COMPUTED_VALUE"""),5.0)</f>
        <v>5</v>
      </c>
      <c r="Q817" s="355"/>
    </row>
    <row r="818" ht="12.75" customHeight="1">
      <c r="G818" s="354" t="s">
        <v>1529</v>
      </c>
      <c r="H818" s="296">
        <v>2.0</v>
      </c>
      <c r="I818" s="353">
        <v>9.769441187964049E-5</v>
      </c>
      <c r="K818" s="296"/>
      <c r="L818" s="354"/>
      <c r="M818" s="355"/>
      <c r="O818" s="367" t="str">
        <f>IFERROR(__xludf.DUMMYFUNCTION("""COMPUTED_VALUE"""),"Dead Man Bay - Bandana 5★ #A4A")</f>
        <v>Dead Man Bay - Bandana 5★ #A4A</v>
      </c>
      <c r="P818" s="296">
        <f>IFERROR(__xludf.DUMMYFUNCTION("""COMPUTED_VALUE"""),2.0)</f>
        <v>2</v>
      </c>
      <c r="Q818" s="355"/>
    </row>
    <row r="819" ht="12.75" customHeight="1">
      <c r="G819" s="354" t="s">
        <v>1530</v>
      </c>
      <c r="H819" s="296">
        <v>2.0</v>
      </c>
      <c r="I819" s="353">
        <v>9.769441187964049E-5</v>
      </c>
      <c r="K819" s="296"/>
      <c r="L819" s="354"/>
      <c r="M819" s="355"/>
      <c r="O819" s="367" t="str">
        <f>IFERROR(__xludf.DUMMYFUNCTION("""COMPUTED_VALUE"""),"Dead Man Bay - Bandana 5★ #4FF")</f>
        <v>Dead Man Bay - Bandana 5★ #4FF</v>
      </c>
      <c r="P819" s="296">
        <f>IFERROR(__xludf.DUMMYFUNCTION("""COMPUTED_VALUE"""),2.0)</f>
        <v>2</v>
      </c>
      <c r="Q819" s="355"/>
    </row>
    <row r="820" ht="12.75" customHeight="1">
      <c r="G820" s="354" t="s">
        <v>1531</v>
      </c>
      <c r="H820" s="296">
        <v>2.0</v>
      </c>
      <c r="I820" s="353">
        <v>9.769441187964049E-5</v>
      </c>
      <c r="K820" s="296"/>
      <c r="L820" s="354"/>
      <c r="M820" s="355"/>
      <c r="O820" s="367" t="str">
        <f>IFERROR(__xludf.DUMMYFUNCTION("""COMPUTED_VALUE"""),"Dead Man Bay - Bandana 5★ #FB4")</f>
        <v>Dead Man Bay - Bandana 5★ #FB4</v>
      </c>
      <c r="P820" s="296">
        <f>IFERROR(__xludf.DUMMYFUNCTION("""COMPUTED_VALUE"""),2.0)</f>
        <v>2</v>
      </c>
      <c r="Q820" s="355"/>
    </row>
    <row r="821" ht="12.75" customHeight="1">
      <c r="G821" s="354" t="s">
        <v>1532</v>
      </c>
      <c r="H821" s="296">
        <v>2.0</v>
      </c>
      <c r="I821" s="353">
        <v>9.769441187964049E-5</v>
      </c>
      <c r="K821" s="296"/>
      <c r="L821" s="354"/>
      <c r="M821" s="355"/>
      <c r="O821" s="367" t="str">
        <f>IFERROR(__xludf.DUMMYFUNCTION("""COMPUTED_VALUE"""),"Dead Man Bay - Bandana 5★ #A69")</f>
        <v>Dead Man Bay - Bandana 5★ #A69</v>
      </c>
      <c r="P821" s="296">
        <f>IFERROR(__xludf.DUMMYFUNCTION("""COMPUTED_VALUE"""),2.0)</f>
        <v>2</v>
      </c>
      <c r="Q821" s="355"/>
    </row>
    <row r="822" ht="12.75" customHeight="1">
      <c r="G822" s="354" t="s">
        <v>1533</v>
      </c>
      <c r="H822" s="296">
        <v>2.0</v>
      </c>
      <c r="I822" s="353">
        <v>9.769441187964049E-5</v>
      </c>
      <c r="K822" s="296"/>
      <c r="L822" s="354"/>
      <c r="M822" s="355"/>
      <c r="O822" s="367" t="str">
        <f>IFERROR(__xludf.DUMMYFUNCTION("""COMPUTED_VALUE"""),"Dead Man Bay - Bandana 5★ #51E")</f>
        <v>Dead Man Bay - Bandana 5★ #51E</v>
      </c>
      <c r="P822" s="296">
        <f>IFERROR(__xludf.DUMMYFUNCTION("""COMPUTED_VALUE"""),2.0)</f>
        <v>2</v>
      </c>
      <c r="Q822" s="355"/>
    </row>
    <row r="823" ht="12.75" customHeight="1">
      <c r="G823" s="354" t="s">
        <v>1534</v>
      </c>
      <c r="H823" s="296">
        <v>2.0</v>
      </c>
      <c r="I823" s="353">
        <v>9.769441187964049E-5</v>
      </c>
      <c r="K823" s="296"/>
      <c r="L823" s="354"/>
      <c r="M823" s="355"/>
      <c r="O823" s="367" t="str">
        <f>IFERROR(__xludf.DUMMYFUNCTION("""COMPUTED_VALUE"""),"Dead Man Bay - Boots 5★ #FD3")</f>
        <v>Dead Man Bay - Boots 5★ #FD3</v>
      </c>
      <c r="P823" s="296">
        <f>IFERROR(__xludf.DUMMYFUNCTION("""COMPUTED_VALUE"""),2.0)</f>
        <v>2</v>
      </c>
      <c r="Q823" s="355"/>
    </row>
    <row r="824" ht="12.75" customHeight="1">
      <c r="G824" s="354" t="s">
        <v>1535</v>
      </c>
      <c r="H824" s="296">
        <v>2.0</v>
      </c>
      <c r="I824" s="353">
        <v>9.769441187964049E-5</v>
      </c>
      <c r="K824" s="296"/>
      <c r="L824" s="354"/>
      <c r="M824" s="355"/>
      <c r="O824" s="367" t="str">
        <f>IFERROR(__xludf.DUMMYFUNCTION("""COMPUTED_VALUE"""),"Dead Man Bay - Boots 5★ #A88")</f>
        <v>Dead Man Bay - Boots 5★ #A88</v>
      </c>
      <c r="P824" s="296">
        <f>IFERROR(__xludf.DUMMYFUNCTION("""COMPUTED_VALUE"""),2.0)</f>
        <v>2</v>
      </c>
      <c r="Q824" s="355"/>
    </row>
    <row r="825" ht="12.75" customHeight="1">
      <c r="G825" s="354" t="s">
        <v>1536</v>
      </c>
      <c r="H825" s="296">
        <v>2.0</v>
      </c>
      <c r="I825" s="353">
        <v>9.769441187964049E-5</v>
      </c>
      <c r="K825" s="296"/>
      <c r="L825" s="354"/>
      <c r="M825" s="355"/>
      <c r="O825" s="367" t="str">
        <f>IFERROR(__xludf.DUMMYFUNCTION("""COMPUTED_VALUE"""),"Dead Man Bay - Boots 5★ #53D")</f>
        <v>Dead Man Bay - Boots 5★ #53D</v>
      </c>
      <c r="P825" s="296">
        <f>IFERROR(__xludf.DUMMYFUNCTION("""COMPUTED_VALUE"""),2.0)</f>
        <v>2</v>
      </c>
      <c r="Q825" s="355"/>
    </row>
    <row r="826" ht="12.75" customHeight="1">
      <c r="G826" s="354" t="s">
        <v>1537</v>
      </c>
      <c r="H826" s="296">
        <v>2.0</v>
      </c>
      <c r="I826" s="353">
        <v>9.769441187964049E-5</v>
      </c>
      <c r="K826" s="296"/>
      <c r="L826" s="354"/>
      <c r="M826" s="355"/>
      <c r="O826" s="367" t="str">
        <f>IFERROR(__xludf.DUMMYFUNCTION("""COMPUTED_VALUE"""),"Dead Man Bay - Boots 5★ #FF2")</f>
        <v>Dead Man Bay - Boots 5★ #FF2</v>
      </c>
      <c r="P826" s="296">
        <f>IFERROR(__xludf.DUMMYFUNCTION("""COMPUTED_VALUE"""),2.0)</f>
        <v>2</v>
      </c>
      <c r="Q826" s="355"/>
    </row>
    <row r="827" ht="12.75" customHeight="1">
      <c r="G827" s="354" t="s">
        <v>1538</v>
      </c>
      <c r="H827" s="296">
        <v>2.0</v>
      </c>
      <c r="I827" s="353">
        <v>9.769441187964049E-5</v>
      </c>
      <c r="K827" s="296"/>
      <c r="L827" s="354"/>
      <c r="M827" s="355"/>
      <c r="O827" s="367" t="str">
        <f>IFERROR(__xludf.DUMMYFUNCTION("""COMPUTED_VALUE"""),"Dead Man Bay - Boots 5★ #AA7")</f>
        <v>Dead Man Bay - Boots 5★ #AA7</v>
      </c>
      <c r="P827" s="296">
        <f>IFERROR(__xludf.DUMMYFUNCTION("""COMPUTED_VALUE"""),2.0)</f>
        <v>2</v>
      </c>
      <c r="Q827" s="355"/>
    </row>
    <row r="828" ht="12.75" customHeight="1">
      <c r="G828" s="354" t="s">
        <v>1539</v>
      </c>
      <c r="H828" s="296">
        <v>2.0</v>
      </c>
      <c r="I828" s="353">
        <v>9.769441187964049E-5</v>
      </c>
      <c r="K828" s="296"/>
      <c r="L828" s="354"/>
      <c r="M828" s="355"/>
      <c r="O828" s="367" t="str">
        <f>IFERROR(__xludf.DUMMYFUNCTION("""COMPUTED_VALUE"""),"Dead Man Bay - Beard 5★ #55C")</f>
        <v>Dead Man Bay - Beard 5★ #55C</v>
      </c>
      <c r="P828" s="296">
        <f>IFERROR(__xludf.DUMMYFUNCTION("""COMPUTED_VALUE"""),2.0)</f>
        <v>2</v>
      </c>
      <c r="Q828" s="355"/>
    </row>
    <row r="829" ht="12.75" customHeight="1">
      <c r="G829" s="354" t="s">
        <v>1540</v>
      </c>
      <c r="H829" s="296">
        <v>2.0</v>
      </c>
      <c r="I829" s="353">
        <v>9.769441187964049E-5</v>
      </c>
      <c r="K829" s="296"/>
      <c r="L829" s="354"/>
      <c r="M829" s="355"/>
      <c r="O829" s="367" t="str">
        <f>IFERROR(__xludf.DUMMYFUNCTION("""COMPUTED_VALUE"""),"Dead Man Bay - Beard 5★ #011")</f>
        <v>Dead Man Bay - Beard 5★ #011</v>
      </c>
      <c r="P829" s="296">
        <f>IFERROR(__xludf.DUMMYFUNCTION("""COMPUTED_VALUE"""),2.0)</f>
        <v>2</v>
      </c>
      <c r="Q829" s="355"/>
    </row>
    <row r="830" ht="12.75" customHeight="1">
      <c r="G830" s="354" t="s">
        <v>1541</v>
      </c>
      <c r="H830" s="296">
        <v>2.0</v>
      </c>
      <c r="I830" s="353">
        <v>9.769441187964049E-5</v>
      </c>
      <c r="K830" s="296"/>
      <c r="L830" s="354"/>
      <c r="M830" s="355"/>
      <c r="O830" s="367" t="str">
        <f>IFERROR(__xludf.DUMMYFUNCTION("""COMPUTED_VALUE"""),"Dead Man Bay - Beard 5★ #AC6")</f>
        <v>Dead Man Bay - Beard 5★ #AC6</v>
      </c>
      <c r="P830" s="296">
        <f>IFERROR(__xludf.DUMMYFUNCTION("""COMPUTED_VALUE"""),2.0)</f>
        <v>2</v>
      </c>
      <c r="Q830" s="355"/>
    </row>
    <row r="831" ht="12.75" customHeight="1">
      <c r="G831" s="354" t="s">
        <v>1542</v>
      </c>
      <c r="H831" s="296">
        <v>2.0</v>
      </c>
      <c r="I831" s="353">
        <v>9.769441187964049E-5</v>
      </c>
      <c r="K831" s="296"/>
      <c r="L831" s="354"/>
      <c r="M831" s="355"/>
      <c r="O831" s="367" t="str">
        <f>IFERROR(__xludf.DUMMYFUNCTION("""COMPUTED_VALUE"""),"Dead Man Bay - Beard 5★ #57B")</f>
        <v>Dead Man Bay - Beard 5★ #57B</v>
      </c>
      <c r="P831" s="296">
        <f>IFERROR(__xludf.DUMMYFUNCTION("""COMPUTED_VALUE"""),2.0)</f>
        <v>2</v>
      </c>
      <c r="Q831" s="355"/>
    </row>
    <row r="832" ht="12.75" customHeight="1">
      <c r="G832" s="354" t="s">
        <v>1543</v>
      </c>
      <c r="H832" s="296">
        <v>2.0</v>
      </c>
      <c r="I832" s="353">
        <v>9.769441187964049E-5</v>
      </c>
      <c r="K832" s="296"/>
      <c r="L832" s="354"/>
      <c r="M832" s="355"/>
      <c r="O832" s="367" t="str">
        <f>IFERROR(__xludf.DUMMYFUNCTION("""COMPUTED_VALUE"""),"Dead Man Bay - Beard 5★ #030")</f>
        <v>Dead Man Bay - Beard 5★ #030</v>
      </c>
      <c r="P832" s="296">
        <f>IFERROR(__xludf.DUMMYFUNCTION("""COMPUTED_VALUE"""),2.0)</f>
        <v>2</v>
      </c>
      <c r="Q832" s="355"/>
    </row>
    <row r="833" ht="12.75" customHeight="1">
      <c r="G833" s="354"/>
      <c r="H833" s="296"/>
      <c r="I833" s="353"/>
      <c r="K833" s="296"/>
      <c r="L833" s="354"/>
      <c r="M833" s="355"/>
      <c r="O833" s="367"/>
      <c r="P833" s="296"/>
      <c r="Q833" s="355"/>
    </row>
    <row r="834" ht="12.75" customHeight="1">
      <c r="G834" s="354"/>
      <c r="H834" s="296"/>
      <c r="I834" s="353"/>
      <c r="K834" s="296"/>
      <c r="L834" s="354"/>
      <c r="M834" s="355"/>
      <c r="O834" s="367"/>
      <c r="P834" s="296"/>
      <c r="Q834" s="355"/>
    </row>
    <row r="835" ht="12.75" customHeight="1">
      <c r="G835" s="354"/>
      <c r="H835" s="296"/>
      <c r="I835" s="353"/>
      <c r="K835" s="296"/>
      <c r="L835" s="354"/>
      <c r="M835" s="355"/>
      <c r="O835" s="367"/>
      <c r="P835" s="296"/>
      <c r="Q835" s="355"/>
    </row>
    <row r="836" ht="12.75" customHeight="1">
      <c r="G836" s="354"/>
      <c r="H836" s="296"/>
      <c r="I836" s="353"/>
      <c r="K836" s="296"/>
      <c r="L836" s="354"/>
      <c r="M836" s="355"/>
      <c r="O836" s="367"/>
      <c r="P836" s="296"/>
      <c r="Q836" s="355"/>
    </row>
    <row r="837" ht="12.75" customHeight="1">
      <c r="G837" s="354"/>
      <c r="H837" s="296"/>
      <c r="I837" s="353"/>
      <c r="K837" s="296"/>
      <c r="L837" s="354"/>
      <c r="M837" s="355"/>
      <c r="O837" s="367"/>
      <c r="P837" s="296"/>
      <c r="Q837" s="355"/>
    </row>
    <row r="838" ht="12.75" customHeight="1">
      <c r="G838" s="354"/>
      <c r="H838" s="296"/>
      <c r="I838" s="353"/>
      <c r="K838" s="296"/>
      <c r="L838" s="354"/>
      <c r="M838" s="355"/>
      <c r="O838" s="367"/>
      <c r="P838" s="296"/>
      <c r="Q838" s="355"/>
    </row>
    <row r="839" ht="12.75" customHeight="1">
      <c r="G839" s="354"/>
      <c r="H839" s="296"/>
      <c r="I839" s="353"/>
      <c r="K839" s="296"/>
      <c r="L839" s="354"/>
      <c r="M839" s="355"/>
      <c r="O839" s="367"/>
      <c r="P839" s="296"/>
      <c r="Q839" s="355"/>
    </row>
    <row r="840" ht="12.75" customHeight="1">
      <c r="G840" s="354"/>
      <c r="H840" s="296"/>
      <c r="I840" s="353"/>
      <c r="K840" s="296"/>
      <c r="L840" s="354"/>
      <c r="M840" s="355"/>
      <c r="O840" s="367"/>
      <c r="P840" s="296"/>
      <c r="Q840" s="355"/>
    </row>
    <row r="841" ht="12.75" customHeight="1">
      <c r="G841" s="354"/>
      <c r="H841" s="296"/>
      <c r="I841" s="353"/>
      <c r="K841" s="296"/>
      <c r="L841" s="354"/>
      <c r="M841" s="355"/>
      <c r="O841" s="367"/>
      <c r="P841" s="296"/>
      <c r="Q841" s="355"/>
    </row>
    <row r="842" ht="12.75" customHeight="1">
      <c r="G842" s="354"/>
      <c r="H842" s="296"/>
      <c r="I842" s="353"/>
      <c r="K842" s="296"/>
      <c r="L842" s="354"/>
      <c r="M842" s="355"/>
      <c r="O842" s="367"/>
      <c r="P842" s="296"/>
      <c r="Q842" s="355"/>
    </row>
    <row r="843" ht="12.75" customHeight="1">
      <c r="G843" s="354"/>
      <c r="H843" s="296"/>
      <c r="I843" s="353"/>
      <c r="K843" s="296"/>
      <c r="L843" s="354"/>
      <c r="M843" s="355"/>
      <c r="O843" s="367"/>
      <c r="P843" s="296"/>
      <c r="Q843" s="355"/>
    </row>
    <row r="844" ht="12.75" customHeight="1">
      <c r="G844" s="354"/>
      <c r="H844" s="296"/>
      <c r="I844" s="353"/>
      <c r="K844" s="296"/>
      <c r="L844" s="354"/>
      <c r="M844" s="355"/>
      <c r="O844" s="367"/>
      <c r="P844" s="296"/>
      <c r="Q844" s="355"/>
    </row>
    <row r="845" ht="12.75" customHeight="1">
      <c r="G845" s="354"/>
      <c r="H845" s="296"/>
      <c r="I845" s="353"/>
      <c r="K845" s="296"/>
      <c r="L845" s="354"/>
      <c r="M845" s="355"/>
      <c r="O845" s="367"/>
      <c r="P845" s="296"/>
      <c r="Q845" s="355"/>
    </row>
    <row r="846" ht="12.75" customHeight="1">
      <c r="G846" s="354"/>
      <c r="H846" s="296"/>
      <c r="I846" s="353"/>
      <c r="K846" s="296"/>
      <c r="L846" s="354"/>
      <c r="M846" s="355"/>
      <c r="O846" s="367"/>
      <c r="P846" s="296"/>
      <c r="Q846" s="355"/>
    </row>
    <row r="847" ht="12.75" customHeight="1">
      <c r="G847" s="354"/>
      <c r="H847" s="296"/>
      <c r="I847" s="353"/>
      <c r="K847" s="296"/>
      <c r="L847" s="354"/>
      <c r="M847" s="355"/>
      <c r="O847" s="367"/>
      <c r="P847" s="296"/>
      <c r="Q847" s="355"/>
    </row>
    <row r="848" ht="12.75" customHeight="1">
      <c r="G848" s="354"/>
      <c r="H848" s="296"/>
      <c r="I848" s="353"/>
      <c r="K848" s="296"/>
      <c r="L848" s="354"/>
      <c r="M848" s="355"/>
      <c r="O848" s="367"/>
      <c r="P848" s="296"/>
      <c r="Q848" s="355"/>
    </row>
    <row r="849" ht="12.75" customHeight="1">
      <c r="G849" s="354"/>
      <c r="H849" s="296"/>
      <c r="I849" s="353"/>
      <c r="K849" s="296"/>
      <c r="L849" s="354"/>
      <c r="M849" s="355"/>
      <c r="O849" s="367"/>
      <c r="P849" s="296"/>
      <c r="Q849" s="355"/>
    </row>
    <row r="850" ht="12.75" customHeight="1">
      <c r="G850" s="354"/>
      <c r="H850" s="296"/>
      <c r="I850" s="353"/>
      <c r="K850" s="296"/>
      <c r="L850" s="354"/>
      <c r="M850" s="355"/>
      <c r="O850" s="367"/>
      <c r="P850" s="296"/>
      <c r="Q850" s="355"/>
    </row>
    <row r="851" ht="12.75" customHeight="1">
      <c r="G851" s="354"/>
      <c r="H851" s="296"/>
      <c r="I851" s="353"/>
      <c r="K851" s="296"/>
      <c r="L851" s="354"/>
      <c r="M851" s="355"/>
      <c r="O851" s="367"/>
      <c r="P851" s="296"/>
      <c r="Q851" s="355"/>
    </row>
    <row r="852" ht="12.75" customHeight="1">
      <c r="G852" s="354"/>
      <c r="H852" s="296"/>
      <c r="I852" s="353"/>
      <c r="K852" s="296"/>
      <c r="L852" s="354"/>
      <c r="M852" s="355"/>
      <c r="O852" s="367"/>
      <c r="P852" s="296"/>
      <c r="Q852" s="355"/>
    </row>
    <row r="853" ht="12.75" customHeight="1">
      <c r="G853" s="354"/>
      <c r="H853" s="296"/>
      <c r="I853" s="353"/>
      <c r="K853" s="296"/>
      <c r="L853" s="354"/>
      <c r="M853" s="355"/>
      <c r="O853" s="367"/>
      <c r="P853" s="296"/>
      <c r="Q853" s="355"/>
    </row>
    <row r="854" ht="12.75" customHeight="1">
      <c r="G854" s="354"/>
      <c r="H854" s="296"/>
      <c r="I854" s="353"/>
      <c r="K854" s="296"/>
      <c r="L854" s="354"/>
      <c r="M854" s="355"/>
      <c r="O854" s="367"/>
      <c r="P854" s="296"/>
      <c r="Q854" s="355"/>
    </row>
    <row r="855" ht="12.75" customHeight="1">
      <c r="G855" s="354"/>
      <c r="H855" s="296"/>
      <c r="I855" s="353"/>
      <c r="K855" s="296"/>
      <c r="L855" s="354"/>
      <c r="M855" s="355"/>
      <c r="O855" s="367"/>
      <c r="P855" s="296"/>
      <c r="Q855" s="355"/>
    </row>
    <row r="856" ht="12.75" customHeight="1">
      <c r="G856" s="354"/>
      <c r="H856" s="296"/>
      <c r="I856" s="353"/>
      <c r="K856" s="296"/>
      <c r="L856" s="354"/>
      <c r="M856" s="355"/>
      <c r="O856" s="367"/>
      <c r="P856" s="296"/>
      <c r="Q856" s="355"/>
    </row>
    <row r="857" ht="12.75" customHeight="1">
      <c r="G857" s="354"/>
      <c r="H857" s="296"/>
      <c r="I857" s="353"/>
      <c r="K857" s="296"/>
      <c r="L857" s="354"/>
      <c r="M857" s="355"/>
      <c r="O857" s="367"/>
      <c r="P857" s="296"/>
      <c r="Q857" s="355"/>
    </row>
    <row r="858" ht="12.75" customHeight="1">
      <c r="G858" s="354"/>
      <c r="H858" s="296"/>
      <c r="I858" s="353"/>
      <c r="K858" s="296"/>
      <c r="L858" s="354"/>
      <c r="M858" s="355"/>
      <c r="O858" s="367"/>
      <c r="P858" s="296"/>
      <c r="Q858" s="355"/>
    </row>
    <row r="859" ht="12.75" customHeight="1">
      <c r="G859" s="354"/>
      <c r="H859" s="296"/>
      <c r="I859" s="353"/>
      <c r="K859" s="296"/>
      <c r="L859" s="354"/>
      <c r="M859" s="355"/>
      <c r="O859" s="367"/>
      <c r="P859" s="296"/>
      <c r="Q859" s="355"/>
    </row>
    <row r="860" ht="12.75" customHeight="1">
      <c r="G860" s="354"/>
      <c r="H860" s="296"/>
      <c r="I860" s="353"/>
      <c r="K860" s="296"/>
      <c r="L860" s="354"/>
      <c r="M860" s="355"/>
      <c r="O860" s="367"/>
      <c r="P860" s="296"/>
      <c r="Q860" s="355"/>
    </row>
    <row r="861" ht="12.75" customHeight="1">
      <c r="G861" s="354"/>
      <c r="H861" s="296"/>
      <c r="I861" s="353"/>
      <c r="K861" s="296"/>
      <c r="L861" s="354"/>
      <c r="M861" s="355"/>
      <c r="O861" s="367"/>
      <c r="P861" s="296"/>
      <c r="Q861" s="355"/>
    </row>
    <row r="862" ht="12.75" customHeight="1">
      <c r="G862" s="354"/>
      <c r="H862" s="296"/>
      <c r="I862" s="353"/>
      <c r="K862" s="296"/>
      <c r="L862" s="354"/>
      <c r="M862" s="355"/>
      <c r="O862" s="367"/>
      <c r="P862" s="296"/>
      <c r="Q862" s="355"/>
    </row>
    <row r="863" ht="12.75" customHeight="1">
      <c r="G863" s="354"/>
      <c r="H863" s="296"/>
      <c r="I863" s="353"/>
      <c r="K863" s="296"/>
      <c r="L863" s="354"/>
      <c r="M863" s="355"/>
      <c r="O863" s="367"/>
      <c r="P863" s="296"/>
      <c r="Q863" s="355"/>
    </row>
    <row r="864" ht="12.75" customHeight="1">
      <c r="G864" s="354"/>
      <c r="H864" s="296"/>
      <c r="I864" s="353"/>
      <c r="K864" s="296"/>
      <c r="L864" s="354"/>
      <c r="M864" s="355"/>
      <c r="O864" s="367"/>
      <c r="P864" s="296"/>
      <c r="Q864" s="355"/>
    </row>
    <row r="865" ht="12.75" customHeight="1">
      <c r="G865" s="354"/>
      <c r="H865" s="296"/>
      <c r="I865" s="353"/>
      <c r="K865" s="296"/>
      <c r="L865" s="354"/>
      <c r="M865" s="355"/>
      <c r="O865" s="367"/>
      <c r="P865" s="296"/>
      <c r="Q865" s="355"/>
    </row>
    <row r="866" ht="12.75" customHeight="1">
      <c r="G866" s="354"/>
      <c r="H866" s="296"/>
      <c r="I866" s="353"/>
      <c r="K866" s="296"/>
      <c r="L866" s="354"/>
      <c r="M866" s="355"/>
      <c r="O866" s="367"/>
      <c r="P866" s="296"/>
      <c r="Q866" s="355"/>
    </row>
    <row r="867" ht="12.75" customHeight="1">
      <c r="G867" s="354"/>
      <c r="H867" s="296"/>
      <c r="I867" s="353"/>
      <c r="K867" s="296"/>
      <c r="L867" s="354"/>
      <c r="M867" s="355"/>
      <c r="O867" s="367"/>
      <c r="P867" s="296"/>
      <c r="Q867" s="355"/>
    </row>
    <row r="868" ht="12.75" customHeight="1">
      <c r="G868" s="354"/>
      <c r="H868" s="296"/>
      <c r="I868" s="353"/>
      <c r="K868" s="296"/>
      <c r="L868" s="354"/>
      <c r="M868" s="355"/>
      <c r="O868" s="367"/>
      <c r="P868" s="296"/>
      <c r="Q868" s="355"/>
    </row>
    <row r="869" ht="12.75" customHeight="1">
      <c r="G869" s="354"/>
      <c r="H869" s="296"/>
      <c r="I869" s="353"/>
      <c r="K869" s="296"/>
      <c r="L869" s="354"/>
      <c r="M869" s="355"/>
      <c r="O869" s="367"/>
      <c r="P869" s="296"/>
      <c r="Q869" s="355"/>
    </row>
    <row r="870" ht="12.75" customHeight="1">
      <c r="G870" s="354"/>
      <c r="H870" s="296"/>
      <c r="I870" s="353"/>
      <c r="K870" s="296"/>
      <c r="L870" s="354"/>
      <c r="M870" s="355"/>
      <c r="O870" s="367"/>
      <c r="P870" s="296"/>
      <c r="Q870" s="355"/>
    </row>
    <row r="871" ht="12.75" customHeight="1">
      <c r="G871" s="354"/>
      <c r="H871" s="296"/>
      <c r="I871" s="353"/>
      <c r="K871" s="296"/>
      <c r="L871" s="354"/>
      <c r="M871" s="355"/>
      <c r="O871" s="367"/>
      <c r="P871" s="296"/>
      <c r="Q871" s="355"/>
    </row>
    <row r="872" ht="12.75" customHeight="1">
      <c r="G872" s="354"/>
      <c r="H872" s="296"/>
      <c r="I872" s="353"/>
      <c r="K872" s="296"/>
      <c r="L872" s="354"/>
      <c r="M872" s="355"/>
      <c r="O872" s="367"/>
      <c r="P872" s="296"/>
      <c r="Q872" s="355"/>
    </row>
    <row r="873" ht="12.75" customHeight="1">
      <c r="G873" s="354"/>
      <c r="H873" s="296"/>
      <c r="I873" s="353"/>
      <c r="K873" s="296"/>
      <c r="L873" s="354"/>
      <c r="M873" s="355"/>
      <c r="O873" s="367"/>
      <c r="P873" s="296"/>
      <c r="Q873" s="355"/>
    </row>
    <row r="874" ht="12.75" customHeight="1">
      <c r="G874" s="354"/>
      <c r="H874" s="296"/>
      <c r="I874" s="353"/>
      <c r="K874" s="296"/>
      <c r="L874" s="354"/>
      <c r="M874" s="355"/>
      <c r="O874" s="367"/>
      <c r="P874" s="296"/>
      <c r="Q874" s="355"/>
    </row>
    <row r="875" ht="12.75" customHeight="1">
      <c r="G875" s="354"/>
      <c r="H875" s="296"/>
      <c r="I875" s="353"/>
      <c r="K875" s="296"/>
      <c r="L875" s="354"/>
      <c r="M875" s="355"/>
      <c r="O875" s="367"/>
      <c r="P875" s="296"/>
      <c r="Q875" s="355"/>
    </row>
    <row r="876" ht="12.75" customHeight="1">
      <c r="G876" s="354"/>
      <c r="H876" s="296"/>
      <c r="I876" s="353"/>
      <c r="K876" s="296"/>
      <c r="L876" s="354"/>
      <c r="M876" s="355"/>
      <c r="O876" s="367"/>
      <c r="P876" s="296"/>
      <c r="Q876" s="355"/>
    </row>
    <row r="877" ht="12.75" customHeight="1">
      <c r="G877" s="354"/>
      <c r="H877" s="296"/>
      <c r="I877" s="353"/>
      <c r="K877" s="296"/>
      <c r="L877" s="354"/>
      <c r="M877" s="355"/>
      <c r="O877" s="367"/>
      <c r="P877" s="296"/>
      <c r="Q877" s="355"/>
    </row>
    <row r="878" ht="12.75" customHeight="1">
      <c r="G878" s="354"/>
      <c r="H878" s="296"/>
      <c r="I878" s="353"/>
      <c r="K878" s="296"/>
      <c r="L878" s="354"/>
      <c r="M878" s="355"/>
      <c r="O878" s="367"/>
      <c r="P878" s="296"/>
      <c r="Q878" s="355"/>
    </row>
    <row r="879" ht="12.75" customHeight="1">
      <c r="G879" s="354"/>
      <c r="H879" s="296"/>
      <c r="I879" s="353"/>
      <c r="K879" s="296"/>
      <c r="L879" s="354"/>
      <c r="M879" s="355"/>
      <c r="O879" s="367"/>
      <c r="P879" s="296"/>
      <c r="Q879" s="355"/>
    </row>
    <row r="880" ht="12.75" customHeight="1">
      <c r="G880" s="354"/>
      <c r="H880" s="296"/>
      <c r="I880" s="353"/>
      <c r="K880" s="296"/>
      <c r="L880" s="354"/>
      <c r="M880" s="355"/>
      <c r="O880" s="367"/>
      <c r="P880" s="296"/>
      <c r="Q880" s="355"/>
    </row>
    <row r="881" ht="12.75" customHeight="1">
      <c r="G881" s="354"/>
      <c r="H881" s="296"/>
      <c r="I881" s="353"/>
      <c r="K881" s="296"/>
      <c r="L881" s="354"/>
      <c r="M881" s="355"/>
      <c r="O881" s="367"/>
      <c r="P881" s="296"/>
      <c r="Q881" s="355"/>
    </row>
    <row r="882" ht="12.75" customHeight="1">
      <c r="G882" s="354"/>
      <c r="H882" s="296"/>
      <c r="I882" s="353"/>
      <c r="K882" s="296"/>
      <c r="L882" s="354"/>
      <c r="M882" s="355"/>
      <c r="O882" s="367"/>
      <c r="P882" s="296"/>
      <c r="Q882" s="355"/>
    </row>
    <row r="883" ht="12.75" customHeight="1">
      <c r="G883" s="354"/>
      <c r="H883" s="296"/>
      <c r="I883" s="353"/>
      <c r="K883" s="296"/>
      <c r="L883" s="354"/>
      <c r="M883" s="355"/>
      <c r="O883" s="367"/>
      <c r="P883" s="296"/>
      <c r="Q883" s="355"/>
    </row>
    <row r="884" ht="12.75" customHeight="1">
      <c r="G884" s="354"/>
      <c r="H884" s="296"/>
      <c r="I884" s="353"/>
      <c r="K884" s="296"/>
      <c r="L884" s="354"/>
      <c r="M884" s="355"/>
      <c r="O884" s="367"/>
      <c r="P884" s="296"/>
      <c r="Q884" s="355"/>
    </row>
    <row r="885" ht="12.75" customHeight="1">
      <c r="G885" s="354"/>
      <c r="H885" s="296"/>
      <c r="I885" s="353"/>
      <c r="K885" s="296"/>
      <c r="L885" s="354"/>
      <c r="M885" s="355"/>
      <c r="O885" s="367"/>
      <c r="P885" s="296"/>
      <c r="Q885" s="355"/>
    </row>
    <row r="886" ht="12.75" customHeight="1">
      <c r="G886" s="354"/>
      <c r="H886" s="296"/>
      <c r="I886" s="353"/>
      <c r="K886" s="296"/>
      <c r="L886" s="354"/>
      <c r="M886" s="355"/>
      <c r="O886" s="367"/>
      <c r="P886" s="296"/>
      <c r="Q886" s="355"/>
    </row>
    <row r="887" ht="12.75" customHeight="1">
      <c r="G887" s="354"/>
      <c r="H887" s="296"/>
      <c r="I887" s="353"/>
      <c r="K887" s="296"/>
      <c r="L887" s="354"/>
      <c r="M887" s="355"/>
      <c r="O887" s="367"/>
      <c r="P887" s="296"/>
      <c r="Q887" s="355"/>
    </row>
    <row r="888" ht="12.75" customHeight="1">
      <c r="G888" s="354"/>
      <c r="H888" s="296"/>
      <c r="I888" s="353"/>
      <c r="K888" s="296"/>
      <c r="L888" s="354"/>
      <c r="M888" s="355"/>
      <c r="O888" s="367"/>
      <c r="P888" s="296"/>
      <c r="Q888" s="355"/>
    </row>
    <row r="889" ht="12.75" customHeight="1">
      <c r="G889" s="354"/>
      <c r="H889" s="296"/>
      <c r="I889" s="353"/>
      <c r="K889" s="296"/>
      <c r="L889" s="354"/>
      <c r="M889" s="355"/>
      <c r="O889" s="367"/>
      <c r="P889" s="296"/>
      <c r="Q889" s="355"/>
    </row>
    <row r="890" ht="12.75" customHeight="1">
      <c r="G890" s="354"/>
      <c r="H890" s="296"/>
      <c r="I890" s="353"/>
      <c r="K890" s="296"/>
      <c r="L890" s="354"/>
      <c r="M890" s="355"/>
      <c r="O890" s="367"/>
      <c r="P890" s="296"/>
      <c r="Q890" s="355"/>
    </row>
    <row r="891" ht="12.75" customHeight="1">
      <c r="G891" s="354"/>
      <c r="H891" s="296"/>
      <c r="I891" s="353"/>
      <c r="K891" s="296"/>
      <c r="L891" s="354"/>
      <c r="M891" s="355"/>
      <c r="O891" s="367"/>
      <c r="P891" s="296"/>
      <c r="Q891" s="355"/>
    </row>
    <row r="892" ht="12.75" customHeight="1">
      <c r="G892" s="354"/>
      <c r="H892" s="296"/>
      <c r="I892" s="353"/>
      <c r="K892" s="296"/>
      <c r="L892" s="354"/>
      <c r="M892" s="355"/>
      <c r="O892" s="367"/>
      <c r="P892" s="296"/>
      <c r="Q892" s="355"/>
    </row>
    <row r="893" ht="12.75" customHeight="1">
      <c r="G893" s="354"/>
      <c r="H893" s="296"/>
      <c r="I893" s="353"/>
      <c r="K893" s="296"/>
      <c r="L893" s="354"/>
      <c r="M893" s="355"/>
      <c r="O893" s="367"/>
      <c r="P893" s="296"/>
      <c r="Q893" s="355"/>
    </row>
    <row r="894" ht="12.75" customHeight="1">
      <c r="G894" s="354"/>
      <c r="H894" s="296"/>
      <c r="I894" s="353"/>
      <c r="K894" s="296"/>
      <c r="L894" s="354"/>
      <c r="M894" s="355"/>
      <c r="O894" s="367"/>
      <c r="P894" s="296"/>
      <c r="Q894" s="355"/>
    </row>
    <row r="895" ht="12.75" customHeight="1">
      <c r="G895" s="354"/>
      <c r="H895" s="296"/>
      <c r="I895" s="353"/>
      <c r="K895" s="296"/>
      <c r="L895" s="354"/>
      <c r="M895" s="355"/>
      <c r="O895" s="367"/>
      <c r="P895" s="296"/>
      <c r="Q895" s="355"/>
    </row>
    <row r="896" ht="12.75" customHeight="1">
      <c r="G896" s="354"/>
      <c r="H896" s="296"/>
      <c r="I896" s="353"/>
      <c r="K896" s="296"/>
      <c r="L896" s="354"/>
      <c r="M896" s="355"/>
      <c r="O896" s="367"/>
      <c r="P896" s="296"/>
      <c r="Q896" s="355"/>
    </row>
    <row r="897" ht="12.75" customHeight="1">
      <c r="G897" s="354"/>
      <c r="H897" s="296"/>
      <c r="I897" s="353"/>
      <c r="K897" s="296"/>
      <c r="L897" s="354"/>
      <c r="M897" s="355"/>
      <c r="O897" s="367"/>
      <c r="P897" s="296"/>
      <c r="Q897" s="355"/>
    </row>
    <row r="898" ht="12.75" customHeight="1">
      <c r="G898" s="354"/>
      <c r="H898" s="296"/>
      <c r="I898" s="353"/>
      <c r="K898" s="296"/>
      <c r="L898" s="354"/>
      <c r="M898" s="355"/>
      <c r="O898" s="367"/>
      <c r="P898" s="296"/>
      <c r="Q898" s="355"/>
    </row>
    <row r="899" ht="12.75" customHeight="1">
      <c r="G899" s="354"/>
      <c r="H899" s="296"/>
      <c r="I899" s="353"/>
      <c r="K899" s="296"/>
      <c r="L899" s="354"/>
      <c r="M899" s="355"/>
      <c r="O899" s="367"/>
      <c r="P899" s="296"/>
      <c r="Q899" s="355"/>
    </row>
    <row r="900" ht="12.75" customHeight="1">
      <c r="G900" s="354"/>
      <c r="H900" s="296"/>
      <c r="I900" s="353"/>
      <c r="K900" s="296"/>
      <c r="L900" s="354"/>
      <c r="M900" s="355"/>
      <c r="O900" s="367"/>
      <c r="P900" s="296"/>
      <c r="Q900" s="355"/>
    </row>
    <row r="901" ht="12.75" customHeight="1">
      <c r="G901" s="354"/>
      <c r="H901" s="296"/>
      <c r="I901" s="353"/>
      <c r="K901" s="296"/>
      <c r="L901" s="354"/>
      <c r="M901" s="355"/>
      <c r="O901" s="367"/>
      <c r="P901" s="296"/>
      <c r="Q901" s="355"/>
    </row>
    <row r="902" ht="12.75" customHeight="1">
      <c r="G902" s="354"/>
      <c r="H902" s="296"/>
      <c r="I902" s="353"/>
      <c r="K902" s="296"/>
      <c r="L902" s="354"/>
      <c r="M902" s="355"/>
      <c r="O902" s="367"/>
      <c r="P902" s="296"/>
      <c r="Q902" s="355"/>
    </row>
    <row r="903" ht="12.75" customHeight="1">
      <c r="G903" s="354"/>
      <c r="H903" s="296"/>
      <c r="I903" s="353"/>
      <c r="K903" s="296"/>
      <c r="L903" s="354"/>
      <c r="M903" s="355"/>
      <c r="O903" s="367"/>
      <c r="P903" s="296"/>
      <c r="Q903" s="355"/>
    </row>
    <row r="904" ht="12.75" customHeight="1">
      <c r="G904" s="354"/>
      <c r="H904" s="296"/>
      <c r="I904" s="353"/>
      <c r="K904" s="296"/>
      <c r="L904" s="354"/>
      <c r="M904" s="355"/>
      <c r="O904" s="367"/>
      <c r="P904" s="296"/>
      <c r="Q904" s="355"/>
    </row>
    <row r="905" ht="12.75" customHeight="1">
      <c r="G905" s="354"/>
      <c r="H905" s="296"/>
      <c r="I905" s="353"/>
      <c r="K905" s="296"/>
      <c r="L905" s="354"/>
      <c r="M905" s="355"/>
      <c r="O905" s="367"/>
      <c r="P905" s="296"/>
      <c r="Q905" s="355"/>
    </row>
    <row r="906" ht="12.75" customHeight="1">
      <c r="G906" s="354"/>
      <c r="H906" s="296"/>
      <c r="I906" s="353"/>
      <c r="K906" s="296"/>
      <c r="L906" s="354"/>
      <c r="M906" s="355"/>
      <c r="O906" s="367"/>
      <c r="P906" s="296"/>
      <c r="Q906" s="355"/>
    </row>
    <row r="907" ht="12.75" customHeight="1">
      <c r="G907" s="354"/>
      <c r="H907" s="296"/>
      <c r="I907" s="353"/>
      <c r="K907" s="296"/>
      <c r="L907" s="354"/>
      <c r="M907" s="355"/>
      <c r="O907" s="367"/>
      <c r="P907" s="296"/>
      <c r="Q907" s="355"/>
    </row>
    <row r="908" ht="12.75" customHeight="1">
      <c r="G908" s="354"/>
      <c r="H908" s="296"/>
      <c r="I908" s="353"/>
      <c r="K908" s="296"/>
      <c r="L908" s="354"/>
      <c r="M908" s="355"/>
      <c r="O908" s="367"/>
      <c r="P908" s="296"/>
      <c r="Q908" s="355"/>
    </row>
    <row r="909" ht="12.75" customHeight="1">
      <c r="G909" s="354"/>
      <c r="H909" s="296"/>
      <c r="I909" s="353"/>
      <c r="K909" s="296"/>
      <c r="L909" s="354"/>
      <c r="M909" s="355"/>
      <c r="O909" s="367"/>
      <c r="P909" s="296"/>
      <c r="Q909" s="355"/>
    </row>
    <row r="910" ht="12.75" customHeight="1">
      <c r="G910" s="354"/>
      <c r="H910" s="296"/>
      <c r="I910" s="353"/>
      <c r="K910" s="296"/>
      <c r="L910" s="354"/>
      <c r="M910" s="355"/>
      <c r="O910" s="367"/>
      <c r="P910" s="296"/>
      <c r="Q910" s="355"/>
    </row>
    <row r="911" ht="12.75" customHeight="1">
      <c r="G911" s="354"/>
      <c r="H911" s="296"/>
      <c r="I911" s="353"/>
      <c r="K911" s="296"/>
      <c r="L911" s="354"/>
      <c r="M911" s="355"/>
      <c r="O911" s="367"/>
      <c r="P911" s="296"/>
      <c r="Q911" s="355"/>
    </row>
    <row r="912" ht="12.75" customHeight="1">
      <c r="G912" s="354"/>
      <c r="H912" s="296"/>
      <c r="I912" s="353"/>
      <c r="K912" s="296"/>
      <c r="L912" s="354"/>
      <c r="M912" s="355"/>
      <c r="O912" s="367"/>
      <c r="P912" s="296"/>
      <c r="Q912" s="355"/>
    </row>
    <row r="913" ht="12.75" customHeight="1">
      <c r="G913" s="354"/>
      <c r="H913" s="296"/>
      <c r="I913" s="353"/>
      <c r="K913" s="296"/>
      <c r="L913" s="354"/>
      <c r="M913" s="355"/>
      <c r="O913" s="367"/>
      <c r="P913" s="296"/>
      <c r="Q913" s="355"/>
    </row>
    <row r="914" ht="12.75" customHeight="1">
      <c r="G914" s="354"/>
      <c r="H914" s="296"/>
      <c r="I914" s="353"/>
      <c r="K914" s="296"/>
      <c r="L914" s="354"/>
      <c r="M914" s="355"/>
      <c r="O914" s="367"/>
      <c r="P914" s="296"/>
      <c r="Q914" s="355"/>
    </row>
    <row r="915" ht="12.75" customHeight="1">
      <c r="G915" s="354"/>
      <c r="H915" s="296"/>
      <c r="I915" s="353"/>
      <c r="K915" s="296"/>
      <c r="L915" s="354"/>
      <c r="M915" s="355"/>
      <c r="O915" s="367"/>
      <c r="P915" s="296"/>
      <c r="Q915" s="355"/>
    </row>
    <row r="916" ht="12.75" customHeight="1">
      <c r="G916" s="354"/>
      <c r="H916" s="296"/>
      <c r="I916" s="353"/>
      <c r="K916" s="296"/>
      <c r="L916" s="354"/>
      <c r="M916" s="355"/>
      <c r="O916" s="367"/>
      <c r="P916" s="296"/>
      <c r="Q916" s="355"/>
    </row>
    <row r="917" ht="12.75" customHeight="1">
      <c r="G917" s="354"/>
      <c r="H917" s="296"/>
      <c r="I917" s="353"/>
      <c r="K917" s="296"/>
      <c r="L917" s="354"/>
      <c r="M917" s="355"/>
      <c r="O917" s="367"/>
      <c r="P917" s="296"/>
      <c r="Q917" s="355"/>
    </row>
    <row r="918" ht="12.75" customHeight="1">
      <c r="G918" s="354"/>
      <c r="H918" s="296"/>
      <c r="I918" s="353"/>
      <c r="K918" s="296"/>
      <c r="L918" s="354"/>
      <c r="M918" s="355"/>
      <c r="O918" s="367"/>
      <c r="P918" s="296"/>
      <c r="Q918" s="355"/>
    </row>
    <row r="919" ht="12.75" customHeight="1">
      <c r="G919" s="354"/>
      <c r="H919" s="296"/>
      <c r="I919" s="353"/>
      <c r="K919" s="296"/>
      <c r="L919" s="354"/>
      <c r="M919" s="355"/>
      <c r="O919" s="367"/>
      <c r="P919" s="296"/>
      <c r="Q919" s="355"/>
    </row>
    <row r="920" ht="12.75" customHeight="1">
      <c r="G920" s="354"/>
      <c r="H920" s="296"/>
      <c r="I920" s="353"/>
      <c r="K920" s="296"/>
      <c r="L920" s="354"/>
      <c r="M920" s="355"/>
      <c r="O920" s="367"/>
      <c r="P920" s="296"/>
      <c r="Q920" s="355"/>
    </row>
    <row r="921" ht="12.75" customHeight="1">
      <c r="G921" s="354"/>
      <c r="H921" s="296"/>
      <c r="I921" s="353"/>
      <c r="K921" s="296"/>
      <c r="L921" s="354"/>
      <c r="M921" s="355"/>
      <c r="O921" s="367"/>
      <c r="P921" s="296"/>
      <c r="Q921" s="355"/>
    </row>
    <row r="922" ht="12.75" customHeight="1">
      <c r="G922" s="354"/>
      <c r="H922" s="296"/>
      <c r="I922" s="353"/>
      <c r="K922" s="296"/>
      <c r="L922" s="354"/>
      <c r="M922" s="355"/>
      <c r="O922" s="367"/>
      <c r="P922" s="296"/>
      <c r="Q922" s="355"/>
    </row>
    <row r="923" ht="12.75" customHeight="1">
      <c r="G923" s="354"/>
      <c r="H923" s="296"/>
      <c r="I923" s="353"/>
      <c r="K923" s="296"/>
      <c r="L923" s="354"/>
      <c r="M923" s="355"/>
      <c r="O923" s="367"/>
      <c r="P923" s="296"/>
      <c r="Q923" s="355"/>
    </row>
    <row r="924" ht="12.75" customHeight="1">
      <c r="G924" s="354"/>
      <c r="H924" s="296"/>
      <c r="I924" s="353"/>
      <c r="K924" s="296"/>
      <c r="L924" s="354"/>
      <c r="M924" s="355"/>
      <c r="O924" s="367"/>
      <c r="P924" s="296"/>
      <c r="Q924" s="355"/>
    </row>
    <row r="925" ht="12.75" customHeight="1">
      <c r="G925" s="354"/>
      <c r="H925" s="296"/>
      <c r="I925" s="353"/>
      <c r="K925" s="296"/>
      <c r="L925" s="354"/>
      <c r="M925" s="355"/>
      <c r="O925" s="367"/>
      <c r="P925" s="296"/>
      <c r="Q925" s="355"/>
    </row>
    <row r="926" ht="12.75" customHeight="1">
      <c r="G926" s="354"/>
      <c r="H926" s="296"/>
      <c r="I926" s="353"/>
      <c r="K926" s="296"/>
      <c r="L926" s="354"/>
      <c r="M926" s="355"/>
      <c r="O926" s="367"/>
      <c r="P926" s="296"/>
      <c r="Q926" s="355"/>
    </row>
    <row r="927" ht="12.75" customHeight="1">
      <c r="G927" s="354"/>
      <c r="H927" s="296"/>
      <c r="I927" s="353"/>
      <c r="K927" s="296"/>
      <c r="L927" s="354"/>
      <c r="M927" s="355"/>
      <c r="O927" s="367"/>
      <c r="P927" s="296"/>
      <c r="Q927" s="355"/>
    </row>
    <row r="928" ht="12.75" customHeight="1">
      <c r="G928" s="354"/>
      <c r="H928" s="296"/>
      <c r="I928" s="353"/>
      <c r="K928" s="296"/>
      <c r="L928" s="354"/>
      <c r="M928" s="355"/>
      <c r="O928" s="367"/>
      <c r="P928" s="296"/>
      <c r="Q928" s="355"/>
    </row>
    <row r="929" ht="12.75" customHeight="1">
      <c r="G929" s="354"/>
      <c r="H929" s="296"/>
      <c r="I929" s="353"/>
      <c r="K929" s="296"/>
      <c r="L929" s="354"/>
      <c r="M929" s="355"/>
      <c r="O929" s="367"/>
      <c r="P929" s="296"/>
      <c r="Q929" s="355"/>
    </row>
    <row r="930" ht="12.75" customHeight="1">
      <c r="G930" s="354"/>
      <c r="H930" s="296"/>
      <c r="I930" s="353"/>
      <c r="K930" s="296"/>
      <c r="L930" s="354"/>
      <c r="M930" s="355"/>
      <c r="O930" s="367"/>
      <c r="P930" s="296"/>
      <c r="Q930" s="355"/>
    </row>
    <row r="931" ht="12.75" customHeight="1">
      <c r="G931" s="354"/>
      <c r="H931" s="296"/>
      <c r="I931" s="353"/>
      <c r="K931" s="296"/>
      <c r="L931" s="354"/>
      <c r="M931" s="355"/>
      <c r="O931" s="367"/>
      <c r="P931" s="296"/>
      <c r="Q931" s="355"/>
    </row>
    <row r="932" ht="12.75" customHeight="1">
      <c r="G932" s="354"/>
      <c r="H932" s="296"/>
      <c r="I932" s="353"/>
      <c r="K932" s="296"/>
      <c r="L932" s="354"/>
      <c r="M932" s="355"/>
      <c r="O932" s="367"/>
      <c r="P932" s="296"/>
      <c r="Q932" s="355"/>
    </row>
    <row r="933" ht="12.75" customHeight="1">
      <c r="G933" s="354"/>
      <c r="H933" s="296"/>
      <c r="I933" s="353"/>
      <c r="K933" s="296"/>
      <c r="L933" s="354"/>
      <c r="M933" s="355"/>
      <c r="O933" s="367"/>
      <c r="P933" s="296"/>
      <c r="Q933" s="355"/>
    </row>
    <row r="934" ht="12.75" customHeight="1">
      <c r="G934" s="354"/>
      <c r="H934" s="296"/>
      <c r="I934" s="353"/>
      <c r="K934" s="296"/>
      <c r="L934" s="354"/>
      <c r="M934" s="355"/>
      <c r="O934" s="367"/>
      <c r="P934" s="296"/>
      <c r="Q934" s="355"/>
    </row>
    <row r="935" ht="12.75" customHeight="1">
      <c r="G935" s="354"/>
      <c r="H935" s="296"/>
      <c r="I935" s="353"/>
      <c r="K935" s="296"/>
      <c r="L935" s="354"/>
      <c r="M935" s="355"/>
      <c r="O935" s="367"/>
      <c r="P935" s="296"/>
      <c r="Q935" s="355"/>
    </row>
    <row r="936" ht="12.75" customHeight="1">
      <c r="G936" s="354"/>
      <c r="H936" s="296"/>
      <c r="I936" s="353"/>
      <c r="K936" s="296"/>
      <c r="L936" s="354"/>
      <c r="M936" s="355"/>
      <c r="O936" s="367"/>
      <c r="P936" s="296"/>
      <c r="Q936" s="355"/>
    </row>
    <row r="937" ht="12.75" customHeight="1">
      <c r="G937" s="354"/>
      <c r="H937" s="296"/>
      <c r="I937" s="353"/>
      <c r="K937" s="296"/>
      <c r="L937" s="354"/>
      <c r="M937" s="355"/>
      <c r="O937" s="367"/>
      <c r="P937" s="296"/>
      <c r="Q937" s="355"/>
    </row>
    <row r="938" ht="12.75" customHeight="1">
      <c r="G938" s="354"/>
      <c r="H938" s="296"/>
      <c r="I938" s="353"/>
      <c r="K938" s="296"/>
      <c r="L938" s="354"/>
      <c r="M938" s="355"/>
      <c r="O938" s="367"/>
      <c r="P938" s="296"/>
      <c r="Q938" s="355"/>
    </row>
    <row r="939" ht="12.75" customHeight="1">
      <c r="G939" s="354"/>
      <c r="H939" s="296"/>
      <c r="I939" s="353"/>
      <c r="K939" s="296"/>
      <c r="L939" s="354"/>
      <c r="M939" s="355"/>
      <c r="O939" s="367"/>
      <c r="P939" s="296"/>
      <c r="Q939" s="355"/>
    </row>
    <row r="940" ht="12.75" customHeight="1">
      <c r="G940" s="354"/>
      <c r="H940" s="296"/>
      <c r="I940" s="353"/>
      <c r="K940" s="296"/>
      <c r="L940" s="354"/>
      <c r="M940" s="355"/>
      <c r="O940" s="367"/>
      <c r="P940" s="296"/>
      <c r="Q940" s="355"/>
    </row>
    <row r="941" ht="12.75" customHeight="1">
      <c r="G941" s="354"/>
      <c r="H941" s="296"/>
      <c r="I941" s="353"/>
      <c r="K941" s="296"/>
      <c r="L941" s="354"/>
      <c r="M941" s="355"/>
      <c r="O941" s="367"/>
      <c r="P941" s="296"/>
      <c r="Q941" s="355"/>
    </row>
    <row r="942" ht="12.75" customHeight="1">
      <c r="G942" s="354"/>
      <c r="H942" s="296"/>
      <c r="I942" s="353"/>
      <c r="K942" s="296"/>
      <c r="L942" s="354"/>
      <c r="M942" s="355"/>
      <c r="O942" s="367"/>
      <c r="P942" s="296"/>
      <c r="Q942" s="355"/>
    </row>
    <row r="943" ht="12.75" customHeight="1">
      <c r="G943" s="354"/>
      <c r="H943" s="296"/>
      <c r="I943" s="353"/>
      <c r="K943" s="296"/>
      <c r="L943" s="354"/>
      <c r="M943" s="355"/>
      <c r="O943" s="367"/>
      <c r="P943" s="296"/>
      <c r="Q943" s="355"/>
    </row>
    <row r="944" ht="12.75" customHeight="1">
      <c r="G944" s="354"/>
      <c r="H944" s="296"/>
      <c r="I944" s="353"/>
      <c r="K944" s="296"/>
      <c r="L944" s="354"/>
      <c r="M944" s="355"/>
      <c r="O944" s="367"/>
      <c r="P944" s="296"/>
      <c r="Q944" s="355"/>
    </row>
    <row r="945" ht="12.75" customHeight="1">
      <c r="G945" s="354"/>
      <c r="H945" s="296"/>
      <c r="I945" s="353"/>
      <c r="K945" s="296"/>
      <c r="L945" s="354"/>
      <c r="M945" s="355"/>
      <c r="O945" s="367"/>
      <c r="P945" s="296"/>
      <c r="Q945" s="355"/>
    </row>
    <row r="946" ht="12.75" customHeight="1">
      <c r="G946" s="354"/>
      <c r="H946" s="296"/>
      <c r="I946" s="353"/>
      <c r="K946" s="296"/>
      <c r="L946" s="354"/>
      <c r="M946" s="355"/>
      <c r="O946" s="367"/>
      <c r="P946" s="296"/>
      <c r="Q946" s="355"/>
    </row>
    <row r="947" ht="12.75" customHeight="1">
      <c r="G947" s="354"/>
      <c r="H947" s="296"/>
      <c r="I947" s="353"/>
      <c r="K947" s="296"/>
      <c r="L947" s="354"/>
      <c r="M947" s="355"/>
      <c r="O947" s="367"/>
      <c r="P947" s="296"/>
      <c r="Q947" s="355"/>
    </row>
    <row r="948" ht="12.75" customHeight="1">
      <c r="G948" s="354"/>
      <c r="H948" s="296"/>
      <c r="I948" s="353"/>
      <c r="K948" s="296"/>
      <c r="L948" s="354"/>
      <c r="M948" s="355"/>
      <c r="O948" s="367"/>
      <c r="P948" s="296"/>
      <c r="Q948" s="355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5" width="12.13"/>
    <col customWidth="1" min="6" max="6" width="11.75"/>
    <col customWidth="1" min="7" max="7" width="17.75"/>
    <col customWidth="1" min="8" max="44" width="8.63"/>
  </cols>
  <sheetData>
    <row r="1" ht="12.75" customHeight="1">
      <c r="A1" s="309" t="s">
        <v>1544</v>
      </c>
      <c r="B1" s="309"/>
      <c r="C1" s="309"/>
      <c r="D1" s="309"/>
      <c r="E1" s="309"/>
      <c r="F1" s="309"/>
      <c r="G1" s="309"/>
    </row>
    <row r="2" ht="12.75" customHeight="1">
      <c r="A2" s="312" t="s">
        <v>1545</v>
      </c>
      <c r="B2" s="313" t="s">
        <v>1546</v>
      </c>
      <c r="C2" s="314" t="s">
        <v>1547</v>
      </c>
      <c r="D2" s="314" t="s">
        <v>1548</v>
      </c>
      <c r="E2" s="313" t="s">
        <v>1549</v>
      </c>
      <c r="F2" s="314" t="s">
        <v>1550</v>
      </c>
      <c r="G2" s="314" t="s">
        <v>1551</v>
      </c>
    </row>
    <row r="3" ht="12.75" customHeight="1">
      <c r="A3" s="389" t="s">
        <v>424</v>
      </c>
      <c r="B3" s="341" t="s">
        <v>1552</v>
      </c>
      <c r="C3" s="341">
        <v>0.0</v>
      </c>
      <c r="D3" s="341" t="s">
        <v>1553</v>
      </c>
      <c r="E3" s="341">
        <v>15.0</v>
      </c>
      <c r="F3" s="316">
        <v>9.0</v>
      </c>
      <c r="G3" s="341" t="s">
        <v>1554</v>
      </c>
    </row>
    <row r="4" ht="12.75" customHeight="1">
      <c r="A4" s="389" t="s">
        <v>426</v>
      </c>
      <c r="B4" s="341" t="s">
        <v>1555</v>
      </c>
      <c r="C4" s="341">
        <v>0.0</v>
      </c>
      <c r="D4" s="341" t="s">
        <v>1553</v>
      </c>
      <c r="E4" s="341">
        <v>15.0</v>
      </c>
      <c r="F4" s="316">
        <v>9.0</v>
      </c>
      <c r="G4" s="341" t="s">
        <v>1554</v>
      </c>
    </row>
    <row r="5" ht="12.75" customHeight="1">
      <c r="A5" s="389" t="s">
        <v>427</v>
      </c>
      <c r="B5" s="341" t="s">
        <v>1552</v>
      </c>
      <c r="C5" s="341">
        <v>30.0</v>
      </c>
      <c r="D5" s="341" t="s">
        <v>1556</v>
      </c>
      <c r="E5" s="341">
        <v>150.0</v>
      </c>
      <c r="F5" s="316">
        <v>18.0</v>
      </c>
      <c r="G5" s="341" t="s">
        <v>1554</v>
      </c>
    </row>
    <row r="6" ht="12.75" customHeight="1">
      <c r="A6" s="389" t="s">
        <v>428</v>
      </c>
      <c r="B6" s="341" t="s">
        <v>1555</v>
      </c>
      <c r="C6" s="341">
        <v>30.0</v>
      </c>
      <c r="D6" s="341" t="s">
        <v>1556</v>
      </c>
      <c r="E6" s="341">
        <v>150.0</v>
      </c>
      <c r="F6" s="316">
        <v>18.0</v>
      </c>
      <c r="G6" s="341" t="s">
        <v>1554</v>
      </c>
    </row>
    <row r="7" ht="12.75" customHeight="1">
      <c r="A7" s="389" t="s">
        <v>429</v>
      </c>
      <c r="B7" s="341" t="s">
        <v>1552</v>
      </c>
      <c r="C7" s="341">
        <v>300.0</v>
      </c>
      <c r="D7" s="316">
        <v>600.0</v>
      </c>
      <c r="E7" s="341">
        <v>500.0</v>
      </c>
      <c r="F7" s="316">
        <v>27.0</v>
      </c>
      <c r="G7" s="341" t="s">
        <v>1554</v>
      </c>
    </row>
    <row r="8" ht="12.75" customHeight="1">
      <c r="A8" s="389" t="s">
        <v>430</v>
      </c>
      <c r="B8" s="341" t="s">
        <v>1555</v>
      </c>
      <c r="C8" s="341">
        <v>300.0</v>
      </c>
      <c r="D8" s="316">
        <v>600.0</v>
      </c>
      <c r="E8" s="341">
        <v>500.0</v>
      </c>
      <c r="F8" s="316">
        <v>27.0</v>
      </c>
      <c r="G8" s="341" t="s">
        <v>1554</v>
      </c>
    </row>
    <row r="9" ht="12.75" customHeight="1"/>
    <row r="10" ht="12.75" customHeight="1">
      <c r="A10" s="309" t="s">
        <v>1557</v>
      </c>
      <c r="B10" s="309"/>
      <c r="C10" s="309"/>
      <c r="D10" s="309"/>
      <c r="E10" s="309"/>
    </row>
    <row r="11" ht="12.75" customHeight="1">
      <c r="A11" s="312" t="s">
        <v>432</v>
      </c>
      <c r="B11" s="313" t="s">
        <v>433</v>
      </c>
      <c r="C11" s="312" t="s">
        <v>1558</v>
      </c>
      <c r="D11" s="390"/>
      <c r="E11" s="390"/>
    </row>
    <row r="12" ht="12.75" customHeight="1">
      <c r="A12" s="315" t="s">
        <v>1559</v>
      </c>
      <c r="B12" s="341">
        <v>250.0</v>
      </c>
      <c r="C12" s="317" t="s">
        <v>1560</v>
      </c>
    </row>
    <row r="13" ht="12.75" customHeight="1">
      <c r="A13" s="315" t="s">
        <v>1561</v>
      </c>
      <c r="B13" s="341">
        <v>14.0</v>
      </c>
      <c r="C13" s="317" t="s">
        <v>1562</v>
      </c>
    </row>
    <row r="14" ht="12.75" customHeight="1">
      <c r="A14" s="315" t="s">
        <v>1563</v>
      </c>
      <c r="B14" s="344">
        <v>0.95</v>
      </c>
      <c r="C14" s="317" t="s">
        <v>1564</v>
      </c>
    </row>
    <row r="15" ht="12.75" customHeight="1"/>
    <row r="16" ht="12.75" customHeight="1"/>
    <row r="17" ht="12.75" customHeight="1">
      <c r="A17" s="391" t="s">
        <v>1565</v>
      </c>
      <c r="B17" s="309"/>
      <c r="C17" s="309"/>
      <c r="D17" s="309"/>
      <c r="E17" s="309"/>
    </row>
    <row r="18" ht="12.75" customHeight="1">
      <c r="A18" s="312" t="s">
        <v>1545</v>
      </c>
      <c r="B18" s="392" t="s">
        <v>1566</v>
      </c>
    </row>
    <row r="19" ht="12.75" customHeight="1">
      <c r="A19" s="389" t="s">
        <v>424</v>
      </c>
      <c r="B19" s="393" t="str">
        <f>IFERROR(__xludf.DUMMYFUNCTION("LET(
  w, ARRAYFORMULA(VALUE(SPLIT(G3,""/""))),
  dw, MAP(SEQUENCE(29), LAMBDA(d, INDEX(w,1,MOD(d-1,7)+1))),
  k, MAP(dw, LAMBDA(wt, RAND()^(1/wt))),
  t, LARGE(k, F3),
  lv, MAP(k, LAMBDA(x, IF(x&gt;=t, RANDBETWEEN(C3,D3), 0))),
  TEXTJOIN("";"", FALSE, lv)"&amp;"
)"),"0;0;0;0;20;22;12;0;0;0;0;0;14;19;0;0;0;22;19;2;0;0;0;0;0;0;27;0;0")</f>
        <v>0;0;0;0;20;22;12;0;0;0;0;0;14;19;0;0;0;22;19;2;0;0;0;0;0;0;27;0;0</v>
      </c>
    </row>
    <row r="20" ht="12.75" customHeight="1">
      <c r="A20" s="389" t="s">
        <v>426</v>
      </c>
      <c r="B20" s="393" t="str">
        <f>IFERROR(__xludf.DUMMYFUNCTION("LET(
  w, ARRAYFORMULA(VALUE(SPLIT(G4,""/""))),
  dw, MAP(SEQUENCE(29), LAMBDA(d, INDEX(w,1,MOD(d-1,7)+1))),
  k, MAP(dw, LAMBDA(wt, RAND()^(1/wt))),
  t, LARGE(k, F4),
  lv, MAP(k, LAMBDA(x, IF(x&gt;=t, RANDBETWEEN(C4,D4), 0))),
  TEXTJOIN("";"", FALSE, lv)"&amp;"
)"),"0;24;0;0;12;21;22;0;0;0;2;0;0;7;0;0;0;0;23;6;9;0;0;0;0;0;0;0;0")</f>
        <v>0;24;0;0;12;21;22;0;0;0;2;0;0;7;0;0;0;0;23;6;9;0;0;0;0;0;0;0;0</v>
      </c>
    </row>
    <row r="21" ht="12.75" customHeight="1">
      <c r="A21" s="389" t="s">
        <v>427</v>
      </c>
      <c r="B21" s="393" t="str">
        <f>IFERROR(__xludf.DUMMYFUNCTION("LET(
  w, ARRAYFORMULA(VALUE(SPLIT(G5,""/""))),
  dw, MAP(SEQUENCE(29), LAMBDA(d, INDEX(w,1,MOD(d-1,7)+1))),
  k, MAP(dw, LAMBDA(wt, RAND()^(1/wt))),
  t, LARGE(k, F5),
  lv, MAP(k, LAMBDA(x, IF(x&gt;=t, RANDBETWEEN(C5,D5), 0))),
  TEXTJOIN("";"", FALSE, lv)"&amp;"
)"),"0;300;0;0;168;248;125;0;0;0;192;0;238;103;0;0;216;243;156;182;161;0;294;228;201;245;179;279;0")</f>
        <v>0;300;0;0;168;248;125;0;0;0;192;0;238;103;0;0;216;243;156;182;161;0;294;228;201;245;179;279;0</v>
      </c>
    </row>
    <row r="22" ht="12.75" customHeight="1">
      <c r="A22" s="389" t="s">
        <v>428</v>
      </c>
      <c r="B22" s="393" t="str">
        <f>IFERROR(__xludf.DUMMYFUNCTION("LET(
  w, ARRAYFORMULA(VALUE(SPLIT(G6,""/""))),
  dw, MAP(SEQUENCE(29), LAMBDA(d, INDEX(w,1,MOD(d-1,7)+1))),
  k, MAP(dw, LAMBDA(wt, RAND()^(1/wt))),
  t, LARGE(k, F6),
  lv, MAP(k, LAMBDA(x, IF(x&gt;=t, RANDBETWEEN(C6,D6), 0))),
  TEXTJOIN("";"", FALSE, lv)"&amp;"
)"),"0;265;0;54;0;33;205;143;190;0;0;270;64;121;101;43;163;292;0;147;289;0;0;0;134;89;0;121;0")</f>
        <v>0;265;0;54;0;33;205;143;190;0;0;270;64;121;101;43;163;292;0;147;289;0;0;0;134;89;0;121;0</v>
      </c>
    </row>
    <row r="23" ht="12.75" customHeight="1">
      <c r="A23" s="389" t="s">
        <v>429</v>
      </c>
      <c r="B23" s="393" t="str">
        <f>IFERROR(__xludf.DUMMYFUNCTION("LET(
  w, ARRAYFORMULA(VALUE(SPLIT(G7,""/""))),
  dw, MAP(SEQUENCE(29), LAMBDA(d, INDEX(w,1,MOD(d-1,7)+1))),
  k, MAP(dw, LAMBDA(wt, RAND()^(1/wt))),
  t, LARGE(k, F7),
  lv, MAP(k, LAMBDA(x, IF(x&gt;=t, RANDBETWEEN(C7,D7), 0))),
  TEXTJOIN("";"", FALSE, lv)"&amp;"
)"),"364;573;555;356;379;516;327;481;438;388;458;408;502;392;0;0;502;544;434;549;443;431;326;477;368;465;373;380;585")</f>
        <v>364;573;555;356;379;516;327;481;438;388;458;408;502;392;0;0;502;544;434;549;443;431;326;477;368;465;373;380;585</v>
      </c>
    </row>
    <row r="24" ht="12.75" customHeight="1">
      <c r="A24" s="389" t="s">
        <v>430</v>
      </c>
      <c r="B24" s="393" t="str">
        <f>IFERROR(__xludf.DUMMYFUNCTION("LET(
  w, ARRAYFORMULA(VALUE(SPLIT(G8,""/""))),
  dw, MAP(SEQUENCE(29), LAMBDA(d, INDEX(w,1,MOD(d-1,7)+1))),
  k, MAP(dw, LAMBDA(wt, RAND()^(1/wt))),
  t, LARGE(k, F8),
  lv, MAP(k, LAMBDA(x, IF(x&gt;=t, RANDBETWEEN(C8,D8), 0))),
  TEXTJOIN("";"", FALSE, lv)"&amp;"
)"),"0;0;492;336;594;416;505;536;397;487;394;552;434;586;371;462;503;439;515;302;371;445;515;599;586;504;410;369;442")</f>
        <v>0;0;492;336;594;416;505;536;397;487;394;552;434;586;371;462;503;439;515;302;371;445;515;599;586;504;410;369;442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C11:E11"/>
    <mergeCell ref="C12:E12"/>
    <mergeCell ref="C13:E13"/>
    <mergeCell ref="C14:E1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309" t="s">
        <v>1567</v>
      </c>
      <c r="B1" s="310"/>
      <c r="C1" s="310"/>
      <c r="D1" s="310"/>
      <c r="E1" s="310"/>
      <c r="F1" s="310"/>
      <c r="G1" s="311"/>
    </row>
    <row r="2" ht="12.75" customHeight="1">
      <c r="A2" s="312" t="s">
        <v>1568</v>
      </c>
      <c r="B2" s="313" t="s">
        <v>424</v>
      </c>
      <c r="C2" s="313" t="s">
        <v>426</v>
      </c>
      <c r="D2" s="313" t="s">
        <v>427</v>
      </c>
      <c r="E2" s="313" t="s">
        <v>428</v>
      </c>
      <c r="F2" s="313" t="s">
        <v>429</v>
      </c>
      <c r="G2" s="313" t="s">
        <v>430</v>
      </c>
    </row>
    <row r="3" ht="12.75" customHeight="1">
      <c r="A3" s="315" t="s">
        <v>1569</v>
      </c>
      <c r="B3" s="321" t="s">
        <v>425</v>
      </c>
      <c r="C3" s="321" t="s">
        <v>425</v>
      </c>
      <c r="D3" s="321" t="s">
        <v>425</v>
      </c>
      <c r="E3" s="321" t="s">
        <v>425</v>
      </c>
      <c r="F3" s="321" t="s">
        <v>425</v>
      </c>
      <c r="G3" s="321" t="s">
        <v>425</v>
      </c>
    </row>
    <row r="4" ht="12.75" customHeight="1">
      <c r="A4" s="315" t="s">
        <v>1570</v>
      </c>
      <c r="B4" s="321" t="s">
        <v>425</v>
      </c>
      <c r="C4" s="321" t="s">
        <v>425</v>
      </c>
      <c r="D4" s="321" t="s">
        <v>425</v>
      </c>
      <c r="E4" s="321" t="s">
        <v>425</v>
      </c>
      <c r="F4" s="321" t="s">
        <v>425</v>
      </c>
      <c r="G4" s="321" t="s">
        <v>425</v>
      </c>
    </row>
    <row r="5" ht="12.75" customHeight="1">
      <c r="A5" s="315" t="s">
        <v>1571</v>
      </c>
      <c r="B5" s="321" t="s">
        <v>425</v>
      </c>
      <c r="C5" s="321" t="s">
        <v>425</v>
      </c>
      <c r="D5" s="321" t="s">
        <v>425</v>
      </c>
      <c r="E5" s="321" t="s">
        <v>425</v>
      </c>
      <c r="F5" s="321" t="s">
        <v>425</v>
      </c>
      <c r="G5" s="321" t="s">
        <v>425</v>
      </c>
    </row>
    <row r="6" ht="12.75" customHeight="1">
      <c r="A6" s="315" t="s">
        <v>1572</v>
      </c>
      <c r="B6" s="321" t="s">
        <v>425</v>
      </c>
      <c r="C6" s="321" t="s">
        <v>425</v>
      </c>
      <c r="D6" s="321" t="s">
        <v>425</v>
      </c>
      <c r="E6" s="321" t="s">
        <v>425</v>
      </c>
      <c r="F6" s="321" t="s">
        <v>425</v>
      </c>
      <c r="G6" s="321" t="s">
        <v>425</v>
      </c>
    </row>
    <row r="7" ht="12.75" customHeight="1"/>
    <row r="8" ht="12.75" customHeight="1">
      <c r="A8" s="315" t="s">
        <v>1573</v>
      </c>
      <c r="B8" s="321" t="s">
        <v>425</v>
      </c>
      <c r="C8" s="321" t="s">
        <v>425</v>
      </c>
      <c r="D8" s="321" t="s">
        <v>425</v>
      </c>
      <c r="E8" s="321" t="s">
        <v>425</v>
      </c>
      <c r="F8" s="321" t="s">
        <v>425</v>
      </c>
      <c r="G8" s="321" t="s">
        <v>425</v>
      </c>
    </row>
    <row r="9" ht="12.75" customHeight="1">
      <c r="A9" s="315" t="s">
        <v>1574</v>
      </c>
      <c r="B9" s="321" t="s">
        <v>425</v>
      </c>
      <c r="C9" s="321" t="s">
        <v>425</v>
      </c>
      <c r="D9" s="321" t="s">
        <v>425</v>
      </c>
      <c r="E9" s="321" t="s">
        <v>425</v>
      </c>
      <c r="F9" s="321" t="s">
        <v>425</v>
      </c>
      <c r="G9" s="321" t="s">
        <v>425</v>
      </c>
    </row>
    <row r="10" ht="12.75" customHeight="1">
      <c r="A10" s="315" t="s">
        <v>1575</v>
      </c>
      <c r="B10" s="321" t="s">
        <v>425</v>
      </c>
      <c r="C10" s="321" t="s">
        <v>425</v>
      </c>
      <c r="D10" s="321" t="s">
        <v>425</v>
      </c>
      <c r="E10" s="321" t="s">
        <v>425</v>
      </c>
      <c r="F10" s="321" t="s">
        <v>425</v>
      </c>
      <c r="G10" s="321" t="s">
        <v>425</v>
      </c>
    </row>
    <row r="11" ht="12.75" customHeight="1"/>
    <row r="12" ht="12.75" customHeight="1">
      <c r="A12" s="315" t="s">
        <v>1576</v>
      </c>
      <c r="B12" s="321" t="s">
        <v>425</v>
      </c>
      <c r="C12" s="321" t="s">
        <v>425</v>
      </c>
      <c r="D12" s="321" t="s">
        <v>425</v>
      </c>
      <c r="E12" s="321" t="s">
        <v>425</v>
      </c>
      <c r="F12" s="321" t="s">
        <v>425</v>
      </c>
      <c r="G12" s="321" t="s">
        <v>425</v>
      </c>
    </row>
    <row r="13" ht="12.75" customHeight="1">
      <c r="A13" s="315" t="s">
        <v>1577</v>
      </c>
      <c r="B13" s="321" t="s">
        <v>425</v>
      </c>
      <c r="C13" s="321" t="s">
        <v>425</v>
      </c>
      <c r="D13" s="321" t="s">
        <v>425</v>
      </c>
      <c r="E13" s="321" t="s">
        <v>425</v>
      </c>
      <c r="F13" s="321" t="s">
        <v>425</v>
      </c>
      <c r="G13" s="321" t="s">
        <v>425</v>
      </c>
    </row>
    <row r="14" ht="12.75" customHeight="1">
      <c r="A14" s="315" t="s">
        <v>1578</v>
      </c>
      <c r="B14" s="321" t="s">
        <v>425</v>
      </c>
      <c r="C14" s="321" t="s">
        <v>425</v>
      </c>
      <c r="D14" s="321" t="s">
        <v>425</v>
      </c>
      <c r="E14" s="321" t="s">
        <v>425</v>
      </c>
      <c r="F14" s="321" t="s">
        <v>425</v>
      </c>
      <c r="G14" s="321" t="s">
        <v>425</v>
      </c>
    </row>
    <row r="15" ht="12.75" customHeight="1"/>
    <row r="16" ht="12.75" customHeight="1">
      <c r="A16" s="315" t="s">
        <v>1579</v>
      </c>
      <c r="B16" s="321" t="s">
        <v>425</v>
      </c>
      <c r="C16" s="321" t="s">
        <v>425</v>
      </c>
      <c r="D16" s="321" t="s">
        <v>425</v>
      </c>
      <c r="E16" s="321" t="s">
        <v>425</v>
      </c>
      <c r="F16" s="321" t="s">
        <v>425</v>
      </c>
      <c r="G16" s="321" t="s">
        <v>425</v>
      </c>
    </row>
    <row r="17" ht="12.75" customHeight="1">
      <c r="A17" s="315" t="s">
        <v>1580</v>
      </c>
      <c r="B17" s="321" t="s">
        <v>425</v>
      </c>
      <c r="C17" s="321" t="s">
        <v>425</v>
      </c>
      <c r="D17" s="321" t="s">
        <v>425</v>
      </c>
      <c r="E17" s="321" t="s">
        <v>425</v>
      </c>
      <c r="F17" s="321" t="s">
        <v>425</v>
      </c>
      <c r="G17" s="321" t="s">
        <v>425</v>
      </c>
    </row>
    <row r="18" ht="12.75" customHeight="1">
      <c r="A18" s="315" t="s">
        <v>1581</v>
      </c>
      <c r="B18" s="321" t="s">
        <v>425</v>
      </c>
      <c r="C18" s="321" t="s">
        <v>425</v>
      </c>
      <c r="D18" s="321" t="s">
        <v>425</v>
      </c>
      <c r="E18" s="321" t="s">
        <v>425</v>
      </c>
      <c r="F18" s="321" t="s">
        <v>425</v>
      </c>
      <c r="G18" s="321" t="s">
        <v>425</v>
      </c>
    </row>
    <row r="19" ht="12.75" customHeight="1">
      <c r="A19" s="315" t="s">
        <v>1582</v>
      </c>
      <c r="B19" s="321" t="s">
        <v>425</v>
      </c>
      <c r="C19" s="321" t="s">
        <v>425</v>
      </c>
      <c r="D19" s="321" t="s">
        <v>425</v>
      </c>
      <c r="E19" s="321" t="s">
        <v>425</v>
      </c>
      <c r="F19" s="321" t="s">
        <v>425</v>
      </c>
      <c r="G19" s="321" t="s">
        <v>425</v>
      </c>
    </row>
    <row r="20" ht="12.75" customHeight="1">
      <c r="A20" s="315" t="s">
        <v>1583</v>
      </c>
      <c r="B20" s="321" t="s">
        <v>425</v>
      </c>
      <c r="C20" s="321" t="s">
        <v>425</v>
      </c>
      <c r="D20" s="321" t="s">
        <v>425</v>
      </c>
      <c r="E20" s="321" t="s">
        <v>425</v>
      </c>
      <c r="F20" s="321" t="s">
        <v>425</v>
      </c>
      <c r="G20" s="321" t="s">
        <v>425</v>
      </c>
    </row>
    <row r="21" ht="12.75" customHeight="1">
      <c r="A21" s="315" t="s">
        <v>1584</v>
      </c>
      <c r="B21" s="321" t="s">
        <v>425</v>
      </c>
      <c r="C21" s="321" t="s">
        <v>425</v>
      </c>
      <c r="D21" s="321" t="s">
        <v>425</v>
      </c>
      <c r="E21" s="321" t="s">
        <v>425</v>
      </c>
      <c r="F21" s="321" t="s">
        <v>425</v>
      </c>
      <c r="G21" s="321" t="s">
        <v>425</v>
      </c>
    </row>
    <row r="22" ht="12.75" customHeight="1"/>
    <row r="23" ht="12.75" customHeight="1">
      <c r="A23" s="315" t="s">
        <v>1585</v>
      </c>
      <c r="B23" s="321" t="s">
        <v>425</v>
      </c>
      <c r="C23" s="321" t="s">
        <v>425</v>
      </c>
      <c r="D23" s="321" t="s">
        <v>425</v>
      </c>
      <c r="E23" s="321" t="s">
        <v>425</v>
      </c>
      <c r="F23" s="321" t="s">
        <v>425</v>
      </c>
      <c r="G23" s="321" t="s">
        <v>425</v>
      </c>
    </row>
    <row r="24" ht="12.75" customHeight="1">
      <c r="A24" s="315" t="s">
        <v>1586</v>
      </c>
      <c r="B24" s="321" t="s">
        <v>425</v>
      </c>
      <c r="C24" s="321" t="s">
        <v>425</v>
      </c>
      <c r="D24" s="321" t="s">
        <v>425</v>
      </c>
      <c r="E24" s="321" t="s">
        <v>425</v>
      </c>
      <c r="F24" s="321" t="s">
        <v>425</v>
      </c>
      <c r="G24" s="321" t="s">
        <v>425</v>
      </c>
    </row>
    <row r="25" ht="12.75" customHeight="1"/>
    <row r="26" ht="12.75" customHeight="1">
      <c r="A26" s="309" t="s">
        <v>1587</v>
      </c>
      <c r="B26" s="310"/>
      <c r="C26" s="310"/>
      <c r="D26" s="310"/>
      <c r="E26" s="310"/>
      <c r="F26" s="310"/>
      <c r="G26" s="311"/>
    </row>
    <row r="27" ht="12.75" customHeight="1">
      <c r="A27" s="312" t="s">
        <v>720</v>
      </c>
      <c r="B27" s="313" t="s">
        <v>424</v>
      </c>
      <c r="C27" s="313" t="s">
        <v>426</v>
      </c>
      <c r="D27" s="313" t="s">
        <v>427</v>
      </c>
      <c r="E27" s="313" t="s">
        <v>428</v>
      </c>
      <c r="F27" s="313" t="s">
        <v>429</v>
      </c>
      <c r="G27" s="313" t="s">
        <v>430</v>
      </c>
    </row>
    <row r="28" ht="12.75" customHeight="1">
      <c r="A28" s="320" t="s">
        <v>1588</v>
      </c>
      <c r="B28" s="321" t="s">
        <v>425</v>
      </c>
      <c r="C28" s="321" t="s">
        <v>425</v>
      </c>
      <c r="D28" s="321" t="s">
        <v>425</v>
      </c>
      <c r="E28" s="321" t="s">
        <v>425</v>
      </c>
      <c r="F28" s="321" t="s">
        <v>425</v>
      </c>
      <c r="G28" s="321" t="s">
        <v>425</v>
      </c>
    </row>
    <row r="29" ht="12.75" customHeight="1">
      <c r="A29" s="320" t="s">
        <v>1589</v>
      </c>
      <c r="B29" s="321" t="s">
        <v>425</v>
      </c>
      <c r="C29" s="321" t="s">
        <v>425</v>
      </c>
      <c r="D29" s="321" t="s">
        <v>425</v>
      </c>
      <c r="E29" s="321" t="s">
        <v>425</v>
      </c>
      <c r="F29" s="321" t="s">
        <v>425</v>
      </c>
      <c r="G29" s="321" t="s">
        <v>425</v>
      </c>
    </row>
    <row r="30" ht="12.75" customHeight="1">
      <c r="A30" s="320" t="s">
        <v>1590</v>
      </c>
      <c r="B30" s="321" t="s">
        <v>425</v>
      </c>
      <c r="C30" s="321" t="s">
        <v>425</v>
      </c>
      <c r="D30" s="321" t="s">
        <v>425</v>
      </c>
      <c r="E30" s="321" t="s">
        <v>425</v>
      </c>
      <c r="F30" s="321" t="s">
        <v>425</v>
      </c>
      <c r="G30" s="321" t="s">
        <v>425</v>
      </c>
    </row>
    <row r="31" ht="12.75" customHeight="1">
      <c r="A31" s="320" t="s">
        <v>1591</v>
      </c>
      <c r="B31" s="321" t="s">
        <v>425</v>
      </c>
      <c r="C31" s="321" t="s">
        <v>425</v>
      </c>
      <c r="D31" s="321" t="s">
        <v>425</v>
      </c>
      <c r="E31" s="321" t="s">
        <v>425</v>
      </c>
      <c r="F31" s="321" t="s">
        <v>425</v>
      </c>
      <c r="G31" s="321" t="s">
        <v>425</v>
      </c>
    </row>
    <row r="32" ht="12.75" customHeight="1">
      <c r="A32" s="320" t="s">
        <v>1592</v>
      </c>
      <c r="B32" s="321" t="s">
        <v>425</v>
      </c>
      <c r="C32" s="321" t="s">
        <v>425</v>
      </c>
      <c r="D32" s="321" t="s">
        <v>425</v>
      </c>
      <c r="E32" s="321" t="s">
        <v>425</v>
      </c>
      <c r="F32" s="321" t="s">
        <v>425</v>
      </c>
      <c r="G32" s="321" t="s">
        <v>425</v>
      </c>
    </row>
    <row r="33" ht="12.75" customHeight="1">
      <c r="A33" s="320" t="s">
        <v>1593</v>
      </c>
      <c r="B33" s="321" t="s">
        <v>425</v>
      </c>
      <c r="C33" s="321" t="s">
        <v>425</v>
      </c>
      <c r="D33" s="321" t="s">
        <v>425</v>
      </c>
      <c r="E33" s="321" t="s">
        <v>425</v>
      </c>
      <c r="F33" s="321" t="s">
        <v>425</v>
      </c>
      <c r="G33" s="321" t="s">
        <v>425</v>
      </c>
    </row>
    <row r="34" ht="12.75" customHeight="1">
      <c r="A34" s="320" t="s">
        <v>1594</v>
      </c>
      <c r="B34" s="321" t="s">
        <v>425</v>
      </c>
      <c r="C34" s="321" t="s">
        <v>425</v>
      </c>
      <c r="D34" s="321" t="s">
        <v>425</v>
      </c>
      <c r="E34" s="321" t="s">
        <v>425</v>
      </c>
      <c r="F34" s="321" t="s">
        <v>425</v>
      </c>
      <c r="G34" s="321" t="s">
        <v>425</v>
      </c>
    </row>
    <row r="35" ht="12.75" customHeight="1">
      <c r="A35" s="320" t="s">
        <v>1595</v>
      </c>
      <c r="B35" s="321" t="s">
        <v>425</v>
      </c>
      <c r="C35" s="321" t="s">
        <v>425</v>
      </c>
      <c r="D35" s="321" t="s">
        <v>425</v>
      </c>
      <c r="E35" s="321" t="s">
        <v>425</v>
      </c>
      <c r="F35" s="321" t="s">
        <v>425</v>
      </c>
      <c r="G35" s="321" t="s">
        <v>425</v>
      </c>
    </row>
    <row r="36" ht="12.75" customHeight="1">
      <c r="A36" s="320" t="s">
        <v>1596</v>
      </c>
      <c r="B36" s="321" t="s">
        <v>425</v>
      </c>
      <c r="C36" s="321" t="s">
        <v>425</v>
      </c>
      <c r="D36" s="321" t="s">
        <v>425</v>
      </c>
      <c r="E36" s="321" t="s">
        <v>425</v>
      </c>
      <c r="F36" s="321" t="s">
        <v>425</v>
      </c>
      <c r="G36" s="321" t="s">
        <v>425</v>
      </c>
    </row>
    <row r="37" ht="12.75" customHeight="1">
      <c r="A37" s="320" t="s">
        <v>1597</v>
      </c>
      <c r="B37" s="321" t="s">
        <v>425</v>
      </c>
      <c r="C37" s="321" t="s">
        <v>425</v>
      </c>
      <c r="D37" s="321" t="s">
        <v>425</v>
      </c>
      <c r="E37" s="321" t="s">
        <v>425</v>
      </c>
      <c r="F37" s="321" t="s">
        <v>425</v>
      </c>
      <c r="G37" s="321" t="s">
        <v>425</v>
      </c>
    </row>
    <row r="38" ht="12.75" customHeight="1">
      <c r="A38" s="320" t="s">
        <v>1598</v>
      </c>
      <c r="B38" s="321" t="s">
        <v>425</v>
      </c>
      <c r="C38" s="321" t="s">
        <v>425</v>
      </c>
      <c r="D38" s="321" t="s">
        <v>425</v>
      </c>
      <c r="E38" s="321" t="s">
        <v>425</v>
      </c>
      <c r="F38" s="321" t="s">
        <v>425</v>
      </c>
      <c r="G38" s="321" t="s">
        <v>425</v>
      </c>
    </row>
    <row r="39" ht="12.75" customHeight="1">
      <c r="A39" s="320" t="s">
        <v>1599</v>
      </c>
      <c r="B39" s="321" t="s">
        <v>425</v>
      </c>
      <c r="C39" s="321" t="s">
        <v>425</v>
      </c>
      <c r="D39" s="321" t="s">
        <v>425</v>
      </c>
      <c r="E39" s="321" t="s">
        <v>425</v>
      </c>
      <c r="F39" s="321" t="s">
        <v>425</v>
      </c>
      <c r="G39" s="321" t="s">
        <v>425</v>
      </c>
    </row>
    <row r="40" ht="12.75" customHeight="1">
      <c r="A40" s="320" t="s">
        <v>1600</v>
      </c>
      <c r="B40" s="321" t="s">
        <v>425</v>
      </c>
      <c r="C40" s="321" t="s">
        <v>425</v>
      </c>
      <c r="D40" s="321" t="s">
        <v>425</v>
      </c>
      <c r="E40" s="321" t="s">
        <v>425</v>
      </c>
      <c r="F40" s="321" t="s">
        <v>425</v>
      </c>
      <c r="G40" s="321" t="s">
        <v>425</v>
      </c>
    </row>
    <row r="41" ht="12.75" customHeight="1">
      <c r="A41" s="320" t="s">
        <v>1601</v>
      </c>
      <c r="B41" s="321" t="s">
        <v>425</v>
      </c>
      <c r="C41" s="321" t="s">
        <v>425</v>
      </c>
      <c r="D41" s="321" t="s">
        <v>425</v>
      </c>
      <c r="E41" s="321" t="s">
        <v>425</v>
      </c>
      <c r="F41" s="321" t="s">
        <v>425</v>
      </c>
      <c r="G41" s="321" t="s">
        <v>425</v>
      </c>
    </row>
    <row r="42" ht="12.75" customHeight="1">
      <c r="A42" s="320" t="s">
        <v>1602</v>
      </c>
      <c r="B42" s="321" t="s">
        <v>425</v>
      </c>
      <c r="C42" s="321" t="s">
        <v>425</v>
      </c>
      <c r="D42" s="321" t="s">
        <v>425</v>
      </c>
      <c r="E42" s="321" t="s">
        <v>425</v>
      </c>
      <c r="F42" s="321" t="s">
        <v>425</v>
      </c>
      <c r="G42" s="321" t="s">
        <v>425</v>
      </c>
    </row>
    <row r="43" ht="12.75" customHeight="1">
      <c r="A43" s="320" t="s">
        <v>1603</v>
      </c>
      <c r="B43" s="321" t="s">
        <v>425</v>
      </c>
      <c r="C43" s="321" t="s">
        <v>425</v>
      </c>
      <c r="D43" s="321" t="s">
        <v>425</v>
      </c>
      <c r="E43" s="321" t="s">
        <v>425</v>
      </c>
      <c r="F43" s="321" t="s">
        <v>425</v>
      </c>
      <c r="G43" s="321" t="s">
        <v>425</v>
      </c>
    </row>
    <row r="44" ht="12.75" customHeight="1"/>
    <row r="45" ht="12.75" customHeight="1">
      <c r="A45" s="309" t="s">
        <v>1604</v>
      </c>
      <c r="B45" s="310"/>
      <c r="C45" s="310"/>
      <c r="D45" s="310"/>
      <c r="E45" s="310"/>
      <c r="F45" s="310"/>
      <c r="G45" s="311"/>
    </row>
    <row r="46" ht="12.75" customHeight="1">
      <c r="A46" s="312" t="s">
        <v>157</v>
      </c>
      <c r="B46" s="313" t="s">
        <v>424</v>
      </c>
      <c r="C46" s="313" t="s">
        <v>426</v>
      </c>
      <c r="D46" s="313" t="s">
        <v>427</v>
      </c>
      <c r="E46" s="313" t="s">
        <v>428</v>
      </c>
      <c r="F46" s="313" t="s">
        <v>429</v>
      </c>
      <c r="G46" s="313" t="s">
        <v>430</v>
      </c>
    </row>
    <row r="47" ht="12.75" customHeight="1">
      <c r="A47" s="320" t="s">
        <v>1605</v>
      </c>
      <c r="B47" s="321" t="s">
        <v>425</v>
      </c>
      <c r="C47" s="321" t="s">
        <v>425</v>
      </c>
      <c r="D47" s="321" t="s">
        <v>425</v>
      </c>
      <c r="E47" s="321" t="s">
        <v>425</v>
      </c>
      <c r="F47" s="321" t="s">
        <v>425</v>
      </c>
      <c r="G47" s="321" t="s">
        <v>425</v>
      </c>
    </row>
    <row r="48" ht="12.75" customHeight="1">
      <c r="A48" s="320" t="s">
        <v>1606</v>
      </c>
      <c r="B48" s="321" t="s">
        <v>425</v>
      </c>
      <c r="C48" s="321" t="s">
        <v>425</v>
      </c>
      <c r="D48" s="321" t="s">
        <v>425</v>
      </c>
      <c r="E48" s="321" t="s">
        <v>425</v>
      </c>
      <c r="F48" s="321" t="s">
        <v>425</v>
      </c>
      <c r="G48" s="321" t="s">
        <v>425</v>
      </c>
    </row>
    <row r="49" ht="12.75" customHeight="1">
      <c r="A49" s="320" t="s">
        <v>1607</v>
      </c>
      <c r="B49" s="321" t="s">
        <v>425</v>
      </c>
      <c r="C49" s="321" t="s">
        <v>425</v>
      </c>
      <c r="D49" s="321" t="s">
        <v>425</v>
      </c>
      <c r="E49" s="321" t="s">
        <v>425</v>
      </c>
      <c r="F49" s="321" t="s">
        <v>425</v>
      </c>
      <c r="G49" s="321" t="s">
        <v>425</v>
      </c>
    </row>
    <row r="50" ht="12.75" customHeight="1">
      <c r="A50" s="320" t="s">
        <v>1608</v>
      </c>
      <c r="B50" s="321" t="s">
        <v>425</v>
      </c>
      <c r="C50" s="321" t="s">
        <v>425</v>
      </c>
      <c r="D50" s="321" t="s">
        <v>425</v>
      </c>
      <c r="E50" s="321" t="s">
        <v>425</v>
      </c>
      <c r="F50" s="321" t="s">
        <v>425</v>
      </c>
      <c r="G50" s="321" t="s">
        <v>425</v>
      </c>
    </row>
    <row r="51" ht="12.75" customHeight="1">
      <c r="A51" s="320" t="s">
        <v>1609</v>
      </c>
      <c r="B51" s="321" t="s">
        <v>425</v>
      </c>
      <c r="C51" s="321" t="s">
        <v>425</v>
      </c>
      <c r="D51" s="321" t="s">
        <v>425</v>
      </c>
      <c r="E51" s="321" t="s">
        <v>425</v>
      </c>
      <c r="F51" s="321" t="s">
        <v>425</v>
      </c>
      <c r="G51" s="321" t="s">
        <v>425</v>
      </c>
    </row>
    <row r="52" ht="12.75" customHeight="1">
      <c r="A52" s="320" t="s">
        <v>1610</v>
      </c>
      <c r="B52" s="321" t="s">
        <v>425</v>
      </c>
      <c r="C52" s="321" t="s">
        <v>425</v>
      </c>
      <c r="D52" s="321" t="s">
        <v>425</v>
      </c>
      <c r="E52" s="321" t="s">
        <v>425</v>
      </c>
      <c r="F52" s="321" t="s">
        <v>425</v>
      </c>
      <c r="G52" s="321" t="s">
        <v>425</v>
      </c>
    </row>
    <row r="53" ht="12.75" customHeight="1"/>
    <row r="54" ht="12.75" customHeight="1">
      <c r="A54" s="317" t="s">
        <v>1611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75"/>
    <col customWidth="1" min="3" max="3" width="17.75"/>
    <col customWidth="1" min="4" max="8" width="18.0"/>
    <col customWidth="1" min="9" max="9" width="15.25"/>
    <col customWidth="1" min="10" max="20" width="4.38"/>
    <col customWidth="1" min="21" max="55" width="8.63"/>
  </cols>
  <sheetData>
    <row r="1" ht="12.75" customHeight="1">
      <c r="A1" s="309" t="s">
        <v>1612</v>
      </c>
      <c r="B1" s="371"/>
      <c r="C1" s="371"/>
      <c r="D1" s="371"/>
      <c r="E1" s="371"/>
      <c r="F1" s="371"/>
      <c r="G1" s="371"/>
      <c r="H1" s="371"/>
    </row>
    <row r="2" ht="12.75" customHeight="1">
      <c r="A2" s="315" t="s">
        <v>1613</v>
      </c>
      <c r="B2" s="373" t="s">
        <v>427</v>
      </c>
      <c r="C2" s="315"/>
      <c r="D2" s="315"/>
      <c r="E2" s="315"/>
      <c r="F2" s="315" t="s">
        <v>1614</v>
      </c>
      <c r="G2" s="341">
        <v>1.0</v>
      </c>
      <c r="I2" s="394"/>
    </row>
    <row r="3" ht="12.75" customHeight="1">
      <c r="I3" s="394"/>
    </row>
    <row r="4" ht="12.75" customHeight="1">
      <c r="A4" s="309" t="s">
        <v>1615</v>
      </c>
      <c r="B4" s="371"/>
      <c r="C4" s="371"/>
      <c r="D4" s="371"/>
      <c r="E4" s="371"/>
      <c r="F4" s="371"/>
      <c r="G4" s="371"/>
      <c r="H4" s="371"/>
    </row>
    <row r="5" ht="12.75" customHeight="1">
      <c r="A5" s="313" t="s">
        <v>87</v>
      </c>
      <c r="B5" s="313" t="s">
        <v>1616</v>
      </c>
      <c r="C5" s="313" t="s">
        <v>564</v>
      </c>
      <c r="D5" s="313" t="s">
        <v>1617</v>
      </c>
      <c r="E5" s="313" t="s">
        <v>1618</v>
      </c>
      <c r="F5" s="313" t="s">
        <v>730</v>
      </c>
      <c r="I5" s="394"/>
    </row>
    <row r="6" ht="12.75" customHeight="1">
      <c r="A6" s="359">
        <v>1.0</v>
      </c>
      <c r="B6" s="321" t="s">
        <v>425</v>
      </c>
      <c r="C6" s="321" t="s">
        <v>425</v>
      </c>
      <c r="D6" s="321" t="s">
        <v>425</v>
      </c>
      <c r="E6" s="321" t="s">
        <v>425</v>
      </c>
      <c r="F6" s="321" t="s">
        <v>425</v>
      </c>
      <c r="I6" s="394"/>
    </row>
    <row r="7" ht="12.75" customHeight="1">
      <c r="A7" s="359">
        <v>2.0</v>
      </c>
      <c r="B7" s="321" t="s">
        <v>425</v>
      </c>
      <c r="C7" s="321" t="s">
        <v>425</v>
      </c>
      <c r="D7" s="321" t="s">
        <v>425</v>
      </c>
      <c r="E7" s="321" t="s">
        <v>425</v>
      </c>
      <c r="F7" s="321" t="s">
        <v>425</v>
      </c>
      <c r="I7" s="394"/>
    </row>
    <row r="8" ht="12.75" customHeight="1">
      <c r="A8" s="359">
        <v>3.0</v>
      </c>
      <c r="B8" s="321" t="s">
        <v>425</v>
      </c>
      <c r="C8" s="321" t="s">
        <v>425</v>
      </c>
      <c r="D8" s="321" t="s">
        <v>425</v>
      </c>
      <c r="E8" s="321" t="s">
        <v>425</v>
      </c>
      <c r="F8" s="321" t="s">
        <v>425</v>
      </c>
      <c r="I8" s="394"/>
    </row>
    <row r="9" ht="12.75" customHeight="1">
      <c r="A9" s="359">
        <v>4.0</v>
      </c>
      <c r="B9" s="321" t="s">
        <v>425</v>
      </c>
      <c r="C9" s="321" t="s">
        <v>425</v>
      </c>
      <c r="D9" s="321" t="s">
        <v>425</v>
      </c>
      <c r="E9" s="321" t="s">
        <v>425</v>
      </c>
      <c r="F9" s="321" t="s">
        <v>425</v>
      </c>
      <c r="I9" s="394"/>
    </row>
    <row r="10" ht="12.75" customHeight="1">
      <c r="A10" s="359">
        <v>5.0</v>
      </c>
      <c r="B10" s="321" t="s">
        <v>425</v>
      </c>
      <c r="C10" s="321" t="s">
        <v>425</v>
      </c>
      <c r="D10" s="321" t="s">
        <v>425</v>
      </c>
      <c r="E10" s="321" t="s">
        <v>425</v>
      </c>
      <c r="F10" s="321" t="s">
        <v>425</v>
      </c>
      <c r="I10" s="394"/>
    </row>
    <row r="11" ht="12.75" customHeight="1">
      <c r="A11" s="359">
        <v>6.0</v>
      </c>
      <c r="B11" s="321" t="s">
        <v>425</v>
      </c>
      <c r="C11" s="321" t="s">
        <v>425</v>
      </c>
      <c r="D11" s="321" t="s">
        <v>425</v>
      </c>
      <c r="E11" s="321" t="s">
        <v>425</v>
      </c>
      <c r="F11" s="321" t="s">
        <v>425</v>
      </c>
      <c r="I11" s="394"/>
    </row>
    <row r="12" ht="12.75" customHeight="1">
      <c r="A12" s="359">
        <v>7.0</v>
      </c>
      <c r="B12" s="321" t="s">
        <v>425</v>
      </c>
      <c r="C12" s="321" t="s">
        <v>425</v>
      </c>
      <c r="D12" s="321" t="s">
        <v>425</v>
      </c>
      <c r="E12" s="321" t="s">
        <v>425</v>
      </c>
      <c r="F12" s="321" t="s">
        <v>425</v>
      </c>
      <c r="I12" s="394"/>
    </row>
    <row r="13" ht="12.75" customHeight="1">
      <c r="A13" s="359">
        <v>8.0</v>
      </c>
      <c r="B13" s="321" t="s">
        <v>425</v>
      </c>
      <c r="C13" s="321" t="s">
        <v>425</v>
      </c>
      <c r="D13" s="321" t="s">
        <v>425</v>
      </c>
      <c r="E13" s="321" t="s">
        <v>425</v>
      </c>
      <c r="F13" s="321" t="s">
        <v>425</v>
      </c>
      <c r="I13" s="394"/>
    </row>
    <row r="14" ht="12.75" customHeight="1">
      <c r="A14" s="359">
        <v>9.0</v>
      </c>
      <c r="B14" s="321" t="s">
        <v>425</v>
      </c>
      <c r="C14" s="321" t="s">
        <v>425</v>
      </c>
      <c r="D14" s="321" t="s">
        <v>425</v>
      </c>
      <c r="E14" s="321" t="s">
        <v>425</v>
      </c>
      <c r="F14" s="321" t="s">
        <v>425</v>
      </c>
      <c r="I14" s="394"/>
    </row>
    <row r="15" ht="12.75" customHeight="1">
      <c r="A15" s="359">
        <v>10.0</v>
      </c>
      <c r="B15" s="321" t="s">
        <v>425</v>
      </c>
      <c r="C15" s="321" t="s">
        <v>425</v>
      </c>
      <c r="D15" s="321" t="s">
        <v>425</v>
      </c>
      <c r="E15" s="321" t="s">
        <v>425</v>
      </c>
      <c r="F15" s="321" t="s">
        <v>425</v>
      </c>
      <c r="I15" s="394"/>
    </row>
    <row r="16" ht="12.75" customHeight="1">
      <c r="A16" s="359">
        <v>11.0</v>
      </c>
      <c r="B16" s="321" t="s">
        <v>425</v>
      </c>
      <c r="C16" s="321" t="s">
        <v>425</v>
      </c>
      <c r="D16" s="321" t="s">
        <v>425</v>
      </c>
      <c r="E16" s="321" t="s">
        <v>425</v>
      </c>
      <c r="F16" s="321" t="s">
        <v>425</v>
      </c>
      <c r="I16" s="394"/>
    </row>
    <row r="17" ht="12.75" customHeight="1">
      <c r="A17" s="359">
        <v>12.0</v>
      </c>
      <c r="B17" s="321" t="s">
        <v>425</v>
      </c>
      <c r="C17" s="321" t="s">
        <v>425</v>
      </c>
      <c r="D17" s="321" t="s">
        <v>425</v>
      </c>
      <c r="E17" s="321" t="s">
        <v>425</v>
      </c>
      <c r="F17" s="321" t="s">
        <v>425</v>
      </c>
      <c r="I17" s="394"/>
    </row>
    <row r="18" ht="12.75" customHeight="1">
      <c r="A18" s="359">
        <v>13.0</v>
      </c>
      <c r="B18" s="321" t="s">
        <v>425</v>
      </c>
      <c r="C18" s="321" t="s">
        <v>425</v>
      </c>
      <c r="D18" s="321" t="s">
        <v>425</v>
      </c>
      <c r="E18" s="321" t="s">
        <v>425</v>
      </c>
      <c r="F18" s="321" t="s">
        <v>425</v>
      </c>
      <c r="I18" s="394"/>
    </row>
    <row r="19" ht="12.75" customHeight="1">
      <c r="A19" s="359">
        <v>14.0</v>
      </c>
      <c r="B19" s="321" t="s">
        <v>425</v>
      </c>
      <c r="C19" s="321" t="s">
        <v>425</v>
      </c>
      <c r="D19" s="321" t="s">
        <v>425</v>
      </c>
      <c r="E19" s="321" t="s">
        <v>425</v>
      </c>
      <c r="F19" s="321" t="s">
        <v>425</v>
      </c>
      <c r="I19" s="394"/>
    </row>
    <row r="20" ht="12.75" customHeight="1">
      <c r="A20" s="359">
        <v>15.0</v>
      </c>
      <c r="B20" s="321" t="s">
        <v>425</v>
      </c>
      <c r="C20" s="321" t="s">
        <v>425</v>
      </c>
      <c r="D20" s="321" t="s">
        <v>425</v>
      </c>
      <c r="E20" s="321" t="s">
        <v>425</v>
      </c>
      <c r="F20" s="321" t="s">
        <v>425</v>
      </c>
      <c r="I20" s="394"/>
    </row>
    <row r="21" ht="12.75" customHeight="1">
      <c r="A21" s="359">
        <v>16.0</v>
      </c>
      <c r="B21" s="321" t="s">
        <v>425</v>
      </c>
      <c r="C21" s="321" t="s">
        <v>425</v>
      </c>
      <c r="D21" s="321" t="s">
        <v>425</v>
      </c>
      <c r="E21" s="321" t="s">
        <v>425</v>
      </c>
      <c r="F21" s="321" t="s">
        <v>425</v>
      </c>
      <c r="I21" s="394"/>
    </row>
    <row r="22" ht="12.75" customHeight="1">
      <c r="A22" s="359">
        <v>17.0</v>
      </c>
      <c r="B22" s="321" t="s">
        <v>425</v>
      </c>
      <c r="C22" s="321" t="s">
        <v>425</v>
      </c>
      <c r="D22" s="321" t="s">
        <v>425</v>
      </c>
      <c r="E22" s="321" t="s">
        <v>425</v>
      </c>
      <c r="F22" s="321" t="s">
        <v>425</v>
      </c>
      <c r="I22" s="394"/>
    </row>
    <row r="23" ht="12.75" customHeight="1">
      <c r="A23" s="359">
        <v>18.0</v>
      </c>
      <c r="B23" s="321" t="s">
        <v>425</v>
      </c>
      <c r="C23" s="321" t="s">
        <v>425</v>
      </c>
      <c r="D23" s="321" t="s">
        <v>425</v>
      </c>
      <c r="E23" s="321" t="s">
        <v>425</v>
      </c>
      <c r="F23" s="321" t="s">
        <v>425</v>
      </c>
      <c r="I23" s="394"/>
    </row>
    <row r="24" ht="12.75" customHeight="1">
      <c r="A24" s="359">
        <v>19.0</v>
      </c>
      <c r="B24" s="321" t="s">
        <v>425</v>
      </c>
      <c r="C24" s="321" t="s">
        <v>425</v>
      </c>
      <c r="D24" s="321" t="s">
        <v>425</v>
      </c>
      <c r="E24" s="321" t="s">
        <v>425</v>
      </c>
      <c r="F24" s="321" t="s">
        <v>425</v>
      </c>
      <c r="I24" s="394"/>
    </row>
    <row r="25" ht="12.75" customHeight="1">
      <c r="A25" s="359">
        <v>20.0</v>
      </c>
      <c r="B25" s="321" t="s">
        <v>425</v>
      </c>
      <c r="C25" s="321" t="s">
        <v>425</v>
      </c>
      <c r="D25" s="321" t="s">
        <v>425</v>
      </c>
      <c r="E25" s="321" t="s">
        <v>425</v>
      </c>
      <c r="F25" s="321" t="s">
        <v>425</v>
      </c>
      <c r="I25" s="394"/>
    </row>
    <row r="26" ht="12.75" customHeight="1">
      <c r="A26" s="359">
        <v>21.0</v>
      </c>
      <c r="B26" s="321" t="s">
        <v>425</v>
      </c>
      <c r="C26" s="321" t="s">
        <v>425</v>
      </c>
      <c r="D26" s="321" t="s">
        <v>425</v>
      </c>
      <c r="E26" s="321" t="s">
        <v>425</v>
      </c>
      <c r="F26" s="321" t="s">
        <v>425</v>
      </c>
      <c r="I26" s="394"/>
    </row>
    <row r="27" ht="12.75" customHeight="1">
      <c r="A27" s="359">
        <v>22.0</v>
      </c>
      <c r="B27" s="321" t="s">
        <v>425</v>
      </c>
      <c r="C27" s="321" t="s">
        <v>425</v>
      </c>
      <c r="D27" s="321" t="s">
        <v>425</v>
      </c>
      <c r="E27" s="321" t="s">
        <v>425</v>
      </c>
      <c r="F27" s="321" t="s">
        <v>425</v>
      </c>
      <c r="I27" s="394"/>
    </row>
    <row r="28" ht="12.75" customHeight="1">
      <c r="A28" s="359">
        <v>23.0</v>
      </c>
      <c r="B28" s="321" t="s">
        <v>425</v>
      </c>
      <c r="C28" s="321" t="s">
        <v>425</v>
      </c>
      <c r="D28" s="321" t="s">
        <v>425</v>
      </c>
      <c r="E28" s="321" t="s">
        <v>425</v>
      </c>
      <c r="F28" s="321" t="s">
        <v>425</v>
      </c>
      <c r="I28" s="394"/>
    </row>
    <row r="29" ht="12.75" customHeight="1">
      <c r="A29" s="359">
        <v>24.0</v>
      </c>
      <c r="B29" s="321" t="s">
        <v>425</v>
      </c>
      <c r="C29" s="321" t="s">
        <v>425</v>
      </c>
      <c r="D29" s="321" t="s">
        <v>425</v>
      </c>
      <c r="E29" s="321" t="s">
        <v>425</v>
      </c>
      <c r="F29" s="321" t="s">
        <v>425</v>
      </c>
      <c r="I29" s="394"/>
    </row>
    <row r="30" ht="12.75" customHeight="1">
      <c r="A30" s="359">
        <v>25.0</v>
      </c>
      <c r="B30" s="321" t="s">
        <v>425</v>
      </c>
      <c r="C30" s="321" t="s">
        <v>425</v>
      </c>
      <c r="D30" s="321" t="s">
        <v>425</v>
      </c>
      <c r="E30" s="321" t="s">
        <v>425</v>
      </c>
      <c r="F30" s="321" t="s">
        <v>425</v>
      </c>
      <c r="I30" s="394"/>
    </row>
    <row r="31" ht="12.75" customHeight="1">
      <c r="A31" s="359">
        <v>26.0</v>
      </c>
      <c r="B31" s="321" t="s">
        <v>425</v>
      </c>
      <c r="C31" s="321" t="s">
        <v>425</v>
      </c>
      <c r="D31" s="321" t="s">
        <v>425</v>
      </c>
      <c r="E31" s="321" t="s">
        <v>425</v>
      </c>
      <c r="F31" s="321" t="s">
        <v>425</v>
      </c>
      <c r="I31" s="394"/>
    </row>
    <row r="32" ht="12.75" customHeight="1">
      <c r="A32" s="359">
        <v>27.0</v>
      </c>
      <c r="B32" s="321" t="s">
        <v>425</v>
      </c>
      <c r="C32" s="321" t="s">
        <v>425</v>
      </c>
      <c r="D32" s="321" t="s">
        <v>425</v>
      </c>
      <c r="E32" s="321" t="s">
        <v>425</v>
      </c>
      <c r="F32" s="321" t="s">
        <v>425</v>
      </c>
      <c r="I32" s="394"/>
    </row>
    <row r="33" ht="12.75" customHeight="1">
      <c r="A33" s="359">
        <v>28.0</v>
      </c>
      <c r="B33" s="321" t="s">
        <v>425</v>
      </c>
      <c r="C33" s="321" t="s">
        <v>425</v>
      </c>
      <c r="D33" s="321" t="s">
        <v>425</v>
      </c>
      <c r="E33" s="321" t="s">
        <v>425</v>
      </c>
      <c r="F33" s="321" t="s">
        <v>425</v>
      </c>
      <c r="I33" s="394"/>
    </row>
    <row r="34" ht="12.75" customHeight="1">
      <c r="I34" s="394"/>
    </row>
    <row r="35" ht="12.75" customHeight="1">
      <c r="A35" s="309" t="s">
        <v>1619</v>
      </c>
      <c r="B35" s="371"/>
      <c r="C35" s="371"/>
      <c r="D35" s="371"/>
      <c r="E35" s="371"/>
      <c r="F35" s="371"/>
      <c r="G35" s="371"/>
      <c r="H35" s="371"/>
    </row>
    <row r="36" ht="12.75" customHeight="1">
      <c r="A36" s="312" t="s">
        <v>1620</v>
      </c>
      <c r="B36" s="313" t="s">
        <v>433</v>
      </c>
      <c r="I36" s="394"/>
    </row>
    <row r="37" ht="12.75" customHeight="1">
      <c r="A37" s="315" t="s">
        <v>1569</v>
      </c>
      <c r="B37" s="321" t="s">
        <v>425</v>
      </c>
      <c r="I37" s="394"/>
    </row>
    <row r="38" ht="12.75" customHeight="1">
      <c r="A38" s="315" t="s">
        <v>1570</v>
      </c>
      <c r="B38" s="321" t="s">
        <v>425</v>
      </c>
      <c r="I38" s="394"/>
    </row>
    <row r="39" ht="12.75" customHeight="1">
      <c r="A39" s="315" t="s">
        <v>564</v>
      </c>
      <c r="B39" s="321" t="s">
        <v>425</v>
      </c>
      <c r="I39" s="394"/>
    </row>
    <row r="40" ht="12.75" customHeight="1">
      <c r="A40" s="315" t="s">
        <v>1621</v>
      </c>
      <c r="B40" s="321" t="s">
        <v>425</v>
      </c>
      <c r="I40" s="394"/>
    </row>
    <row r="41" ht="12.75" customHeight="1">
      <c r="A41" s="315" t="s">
        <v>1622</v>
      </c>
      <c r="B41" s="321" t="s">
        <v>425</v>
      </c>
      <c r="I41" s="394"/>
    </row>
    <row r="42" ht="12.75" customHeight="1">
      <c r="A42" s="315" t="s">
        <v>1623</v>
      </c>
      <c r="B42" s="321" t="s">
        <v>425</v>
      </c>
      <c r="I42" s="394"/>
    </row>
    <row r="43" ht="12.75" customHeight="1">
      <c r="A43" s="315" t="s">
        <v>1624</v>
      </c>
      <c r="B43" s="321" t="s">
        <v>425</v>
      </c>
      <c r="I43" s="394"/>
    </row>
    <row r="44" ht="12.75" customHeight="1">
      <c r="A44" s="315" t="s">
        <v>1625</v>
      </c>
      <c r="B44" s="321" t="s">
        <v>425</v>
      </c>
      <c r="I44" s="394"/>
    </row>
    <row r="45" ht="12.75" customHeight="1">
      <c r="A45" s="315" t="s">
        <v>1626</v>
      </c>
      <c r="B45" s="321" t="s">
        <v>425</v>
      </c>
      <c r="I45" s="394"/>
    </row>
    <row r="46" ht="12.75" customHeight="1">
      <c r="A46" s="315" t="s">
        <v>1627</v>
      </c>
      <c r="B46" s="321" t="s">
        <v>425</v>
      </c>
      <c r="I46" s="394"/>
    </row>
    <row r="47" ht="12.75" customHeight="1">
      <c r="I47" s="394"/>
    </row>
    <row r="48" ht="12.75" customHeight="1">
      <c r="A48" s="317"/>
    </row>
    <row r="49" ht="12.75" customHeight="1">
      <c r="A49" s="347" t="s">
        <v>1628</v>
      </c>
      <c r="B49" s="371"/>
      <c r="C49" s="371"/>
      <c r="D49" s="371"/>
      <c r="E49" s="371"/>
      <c r="F49" s="371"/>
      <c r="G49" s="371"/>
      <c r="H49" s="311"/>
      <c r="I49" s="394"/>
      <c r="J49" s="347" t="s">
        <v>1629</v>
      </c>
      <c r="K49" s="395"/>
      <c r="L49" s="395"/>
      <c r="M49" s="395"/>
      <c r="N49" s="395"/>
      <c r="O49" s="395"/>
      <c r="P49" s="395"/>
      <c r="Q49" s="395"/>
      <c r="R49" s="395"/>
      <c r="S49" s="395"/>
      <c r="T49" s="395"/>
    </row>
    <row r="50" ht="12.75" customHeight="1">
      <c r="A50" s="313" t="s">
        <v>87</v>
      </c>
      <c r="B50" s="314" t="s">
        <v>1630</v>
      </c>
      <c r="C50" s="313" t="s">
        <v>391</v>
      </c>
      <c r="D50" s="313" t="s">
        <v>1631</v>
      </c>
      <c r="E50" s="313" t="s">
        <v>1632</v>
      </c>
      <c r="F50" s="313" t="s">
        <v>1633</v>
      </c>
      <c r="G50" s="313" t="s">
        <v>1634</v>
      </c>
      <c r="H50" s="313" t="s">
        <v>1622</v>
      </c>
      <c r="I50" s="394"/>
      <c r="J50" s="299" t="s">
        <v>1635</v>
      </c>
      <c r="M50" s="297" t="s">
        <v>425</v>
      </c>
      <c r="Q50" s="297" t="s">
        <v>425</v>
      </c>
      <c r="V50" s="396" t="s">
        <v>565</v>
      </c>
      <c r="W50" s="397" t="s">
        <v>1636</v>
      </c>
      <c r="X50" s="398" t="s">
        <v>1637</v>
      </c>
      <c r="Y50" s="396" t="s">
        <v>1638</v>
      </c>
    </row>
    <row r="51" ht="12.75" customHeight="1">
      <c r="A51" s="399">
        <v>1.0</v>
      </c>
      <c r="B51" s="321"/>
      <c r="C51" s="321" t="s">
        <v>1639</v>
      </c>
      <c r="D51" s="321" t="s">
        <v>1640</v>
      </c>
      <c r="E51" s="400"/>
      <c r="F51" s="400"/>
      <c r="G51" s="400"/>
      <c r="H51" s="401">
        <v>0.0</v>
      </c>
      <c r="I51" s="394"/>
      <c r="J51" s="5" t="s">
        <v>1641</v>
      </c>
      <c r="N51" s="5" t="s">
        <v>1642</v>
      </c>
      <c r="R51" s="5" t="s">
        <v>1643</v>
      </c>
      <c r="V51" s="402">
        <f>IFERROR(__xludf.DUMMYFUNCTION("counta(split(join("","", filter(F51:F350, F51:F350&lt;&gt;"""")), "",""))"),89.0)</f>
        <v>89</v>
      </c>
      <c r="W51" s="403">
        <f>V51/PackConfig!$B$3</f>
        <v>1.236111111</v>
      </c>
      <c r="X51" s="403">
        <f>max(($V$51-PackConfig!$B$3)/PackConfig!$B$3, 0)</f>
        <v>0.2361111111</v>
      </c>
      <c r="Y51" s="403">
        <f>max(($V$51-PackConfig!$B$3*2)/PackConfig!$B$3, 0)</f>
        <v>0</v>
      </c>
    </row>
    <row r="52" ht="12.75" customHeight="1">
      <c r="A52" s="399">
        <v>2.0</v>
      </c>
      <c r="B52" s="321"/>
      <c r="C52" s="321" t="s">
        <v>1639</v>
      </c>
      <c r="D52" s="321" t="s">
        <v>1640</v>
      </c>
      <c r="E52" s="400"/>
      <c r="F52" s="400"/>
      <c r="G52" s="400"/>
      <c r="H52" s="401">
        <v>0.0</v>
      </c>
      <c r="I52" s="394"/>
      <c r="J52" s="404" t="s">
        <v>443</v>
      </c>
      <c r="K52" s="404" t="s">
        <v>443</v>
      </c>
      <c r="L52" s="404" t="s">
        <v>443</v>
      </c>
      <c r="N52" s="404" t="s">
        <v>443</v>
      </c>
      <c r="O52" s="404" t="s">
        <v>443</v>
      </c>
      <c r="P52" s="404" t="s">
        <v>443</v>
      </c>
      <c r="R52" s="404" t="s">
        <v>443</v>
      </c>
      <c r="S52" s="404" t="s">
        <v>443</v>
      </c>
      <c r="T52" s="404" t="s">
        <v>443</v>
      </c>
      <c r="V52" s="335"/>
      <c r="W52" s="335"/>
      <c r="X52" s="335"/>
      <c r="Y52" s="335"/>
    </row>
    <row r="53" ht="12.75" customHeight="1">
      <c r="A53" s="399">
        <v>3.0</v>
      </c>
      <c r="B53" s="321"/>
      <c r="C53" s="321" t="s">
        <v>1639</v>
      </c>
      <c r="D53" s="321" t="s">
        <v>1640</v>
      </c>
      <c r="E53" s="400"/>
      <c r="F53" s="400"/>
      <c r="G53" s="400"/>
      <c r="H53" s="401">
        <v>0.0</v>
      </c>
      <c r="I53" s="394"/>
      <c r="J53" s="404" t="s">
        <v>443</v>
      </c>
      <c r="K53" s="404" t="s">
        <v>444</v>
      </c>
      <c r="L53" s="404" t="s">
        <v>444</v>
      </c>
      <c r="N53" s="404" t="s">
        <v>443</v>
      </c>
      <c r="O53" s="404" t="s">
        <v>444</v>
      </c>
      <c r="P53" s="404" t="s">
        <v>444</v>
      </c>
      <c r="R53" s="404" t="s">
        <v>444</v>
      </c>
      <c r="S53" s="404" t="s">
        <v>444</v>
      </c>
      <c r="T53" s="404" t="s">
        <v>445</v>
      </c>
      <c r="V53" s="405" t="s">
        <v>1644</v>
      </c>
      <c r="W53" s="335"/>
      <c r="X53" s="335"/>
      <c r="Y53" s="335"/>
    </row>
    <row r="54" ht="12.75" customHeight="1">
      <c r="A54" s="399">
        <v>4.0</v>
      </c>
      <c r="B54" s="321"/>
      <c r="C54" s="321" t="s">
        <v>1639</v>
      </c>
      <c r="D54" s="321" t="s">
        <v>1640</v>
      </c>
      <c r="E54" s="400"/>
      <c r="F54" s="400"/>
      <c r="G54" s="400"/>
      <c r="H54" s="401">
        <v>0.0</v>
      </c>
      <c r="I54" s="394"/>
      <c r="J54" s="404" t="s">
        <v>444</v>
      </c>
      <c r="K54" s="404" t="s">
        <v>445</v>
      </c>
      <c r="L54" s="404" t="s">
        <v>445</v>
      </c>
      <c r="N54" s="404" t="s">
        <v>445</v>
      </c>
      <c r="O54" s="404" t="s">
        <v>445</v>
      </c>
      <c r="P54" s="404" t="s">
        <v>446</v>
      </c>
      <c r="R54" s="404" t="s">
        <v>446</v>
      </c>
      <c r="S54" s="404" t="s">
        <v>446</v>
      </c>
      <c r="T54" s="404" t="s">
        <v>447</v>
      </c>
      <c r="V54" s="396" t="s">
        <v>1645</v>
      </c>
      <c r="W54" s="397" t="s">
        <v>1646</v>
      </c>
      <c r="X54" s="335"/>
      <c r="Y54" s="335"/>
    </row>
    <row r="55" ht="12.75" customHeight="1">
      <c r="A55" s="399">
        <v>5.0</v>
      </c>
      <c r="B55" s="321"/>
      <c r="C55" s="321" t="s">
        <v>1639</v>
      </c>
      <c r="D55" s="321" t="s">
        <v>1640</v>
      </c>
      <c r="E55" s="400"/>
      <c r="F55" s="400"/>
      <c r="G55" s="400"/>
      <c r="H55" s="401">
        <v>0.0</v>
      </c>
      <c r="I55" s="394"/>
      <c r="V55" s="406" t="s">
        <v>443</v>
      </c>
      <c r="W55" s="407">
        <f>IFERROR(__xludf.DUMMYFUNCTION("counta(filter($B$51:$B$250, $B$51:$B$250=""1-star Dly""))/28 * 1"),1.0)</f>
        <v>1</v>
      </c>
      <c r="X55" s="335"/>
      <c r="Y55" s="335"/>
    </row>
    <row r="56" ht="12.75" customHeight="1">
      <c r="A56" s="399">
        <v>6.0</v>
      </c>
      <c r="B56" s="321"/>
      <c r="C56" s="321" t="s">
        <v>1639</v>
      </c>
      <c r="D56" s="321" t="s">
        <v>1640</v>
      </c>
      <c r="E56" s="400"/>
      <c r="F56" s="400"/>
      <c r="G56" s="400"/>
      <c r="H56" s="401">
        <v>0.0</v>
      </c>
      <c r="I56" s="394"/>
      <c r="J56" s="5" t="s">
        <v>1647</v>
      </c>
      <c r="N56" s="5" t="s">
        <v>1648</v>
      </c>
      <c r="R56" s="5" t="s">
        <v>1649</v>
      </c>
      <c r="V56" s="406" t="s">
        <v>444</v>
      </c>
      <c r="W56" s="407">
        <f>IFERROR(__xludf.DUMMYFUNCTION("counta(filter($B$51:$B$250, $B$51:$B$250=""2-star Dly""))/28 * 1"),0.39285714285714285)</f>
        <v>0.3928571429</v>
      </c>
      <c r="X56" s="335"/>
      <c r="Y56" s="335"/>
    </row>
    <row r="57" ht="12.75" customHeight="1">
      <c r="A57" s="399">
        <v>7.0</v>
      </c>
      <c r="B57" s="321" t="s">
        <v>105</v>
      </c>
      <c r="C57" s="321" t="s">
        <v>372</v>
      </c>
      <c r="D57" s="321" t="s">
        <v>1640</v>
      </c>
      <c r="E57" s="400" t="s">
        <v>1650</v>
      </c>
      <c r="F57" s="400" t="s">
        <v>1650</v>
      </c>
      <c r="G57" s="400"/>
      <c r="H57" s="401">
        <v>0.0</v>
      </c>
      <c r="I57" s="394"/>
      <c r="J57" s="404" t="s">
        <v>443</v>
      </c>
      <c r="K57" s="404" t="s">
        <v>443</v>
      </c>
      <c r="L57" s="404" t="s">
        <v>444</v>
      </c>
      <c r="N57" s="404" t="s">
        <v>443</v>
      </c>
      <c r="O57" s="404" t="s">
        <v>443</v>
      </c>
      <c r="P57" s="404" t="s">
        <v>444</v>
      </c>
      <c r="R57" s="404" t="s">
        <v>443</v>
      </c>
      <c r="S57" s="404" t="s">
        <v>443</v>
      </c>
      <c r="T57" s="404" t="s">
        <v>444</v>
      </c>
      <c r="V57" s="406" t="s">
        <v>445</v>
      </c>
      <c r="W57" s="407">
        <f>IFERROR(__xludf.DUMMYFUNCTION("counta(filter($B$51:$B$250, $B$51:$B$250=""3-star Dly""))/28 * 1"),1.1785714285714286)</f>
        <v>1.178571429</v>
      </c>
      <c r="X57" s="335"/>
      <c r="Y57" s="335"/>
    </row>
    <row r="58" ht="12.75" customHeight="1">
      <c r="A58" s="399">
        <v>7.0</v>
      </c>
      <c r="B58" s="321" t="s">
        <v>107</v>
      </c>
      <c r="C58" s="321" t="s">
        <v>372</v>
      </c>
      <c r="D58" s="321" t="s">
        <v>1640</v>
      </c>
      <c r="E58" s="400" t="s">
        <v>1651</v>
      </c>
      <c r="F58" s="400" t="s">
        <v>1651</v>
      </c>
      <c r="G58" s="400"/>
      <c r="H58" s="401">
        <v>0.0</v>
      </c>
      <c r="I58" s="394"/>
      <c r="J58" s="404" t="s">
        <v>444</v>
      </c>
      <c r="K58" s="404" t="s">
        <v>445</v>
      </c>
      <c r="L58" s="404" t="s">
        <v>445</v>
      </c>
      <c r="N58" s="404" t="s">
        <v>444</v>
      </c>
      <c r="O58" s="404" t="s">
        <v>445</v>
      </c>
      <c r="P58" s="404" t="s">
        <v>446</v>
      </c>
      <c r="R58" s="404" t="s">
        <v>444</v>
      </c>
      <c r="S58" s="404" t="s">
        <v>445</v>
      </c>
      <c r="T58" s="404" t="s">
        <v>446</v>
      </c>
      <c r="V58" s="406" t="s">
        <v>446</v>
      </c>
      <c r="W58" s="407">
        <f>IFERROR(__xludf.DUMMYFUNCTION("counta(filter($B$51:$B$250, $B$51:$B$250=""4-star Dly""))/28 * 1"),0.5714285714285714)</f>
        <v>0.5714285714</v>
      </c>
      <c r="X58" s="335"/>
      <c r="Y58" s="335"/>
    </row>
    <row r="59" ht="12.75" customHeight="1">
      <c r="A59" s="399">
        <v>7.0</v>
      </c>
      <c r="B59" s="321" t="s">
        <v>108</v>
      </c>
      <c r="C59" s="321" t="s">
        <v>372</v>
      </c>
      <c r="D59" s="321" t="s">
        <v>1640</v>
      </c>
      <c r="E59" s="400" t="s">
        <v>1652</v>
      </c>
      <c r="F59" s="400" t="s">
        <v>1652</v>
      </c>
      <c r="G59" s="400"/>
      <c r="H59" s="401">
        <v>0.0</v>
      </c>
      <c r="I59" s="394"/>
      <c r="J59" s="404" t="s">
        <v>446</v>
      </c>
      <c r="K59" s="404" t="s">
        <v>446</v>
      </c>
      <c r="L59" s="404" t="s">
        <v>447</v>
      </c>
      <c r="N59" s="404" t="s">
        <v>446</v>
      </c>
      <c r="O59" s="404" t="s">
        <v>447</v>
      </c>
      <c r="P59" s="404" t="s">
        <v>447</v>
      </c>
      <c r="R59" s="404" t="s">
        <v>447</v>
      </c>
      <c r="S59" s="404" t="s">
        <v>447</v>
      </c>
      <c r="T59" s="404" t="s">
        <v>447</v>
      </c>
      <c r="V59" s="406" t="s">
        <v>447</v>
      </c>
      <c r="W59" s="407">
        <f>IFERROR(__xludf.DUMMYFUNCTION("counta(filter($B$51:$B$250, $B$51:$B$250=""5-star Dly""))/28 * 1"),0.2857142857142857)</f>
        <v>0.2857142857</v>
      </c>
      <c r="X59" s="335"/>
      <c r="Y59" s="335"/>
    </row>
    <row r="60" ht="12.75" customHeight="1">
      <c r="A60" s="399">
        <v>7.0</v>
      </c>
      <c r="B60" s="321" t="s">
        <v>108</v>
      </c>
      <c r="C60" s="321" t="s">
        <v>402</v>
      </c>
      <c r="D60" s="321" t="s">
        <v>1640</v>
      </c>
      <c r="E60" s="400" t="s">
        <v>1653</v>
      </c>
      <c r="F60" s="400" t="s">
        <v>1654</v>
      </c>
      <c r="G60" s="400" t="s">
        <v>1655</v>
      </c>
      <c r="H60" s="401">
        <v>1.0</v>
      </c>
      <c r="I60" s="394"/>
    </row>
    <row r="61" ht="12.75" customHeight="1">
      <c r="A61" s="399">
        <v>7.0</v>
      </c>
      <c r="B61" s="321" t="s">
        <v>109</v>
      </c>
      <c r="C61" s="321" t="s">
        <v>402</v>
      </c>
      <c r="D61" s="321" t="s">
        <v>1640</v>
      </c>
      <c r="E61" s="400" t="s">
        <v>1656</v>
      </c>
      <c r="F61" s="400" t="s">
        <v>1657</v>
      </c>
      <c r="G61" s="400" t="s">
        <v>1658</v>
      </c>
      <c r="H61" s="401">
        <v>3.0</v>
      </c>
      <c r="I61" s="394"/>
      <c r="J61" s="5" t="s">
        <v>1659</v>
      </c>
      <c r="N61" s="5" t="s">
        <v>1660</v>
      </c>
    </row>
    <row r="62" ht="12.75" customHeight="1">
      <c r="A62" s="399">
        <v>7.0</v>
      </c>
      <c r="B62" s="321" t="s">
        <v>105</v>
      </c>
      <c r="C62" s="321" t="s">
        <v>40</v>
      </c>
      <c r="D62" s="321" t="s">
        <v>1640</v>
      </c>
      <c r="E62" s="400" t="s">
        <v>1661</v>
      </c>
      <c r="F62" s="400"/>
      <c r="G62" s="400" t="s">
        <v>1661</v>
      </c>
      <c r="H62" s="401">
        <v>5.0</v>
      </c>
      <c r="I62" s="394"/>
      <c r="J62" s="404" t="s">
        <v>443</v>
      </c>
      <c r="K62" s="404" t="s">
        <v>443</v>
      </c>
      <c r="L62" s="404" t="s">
        <v>444</v>
      </c>
      <c r="N62" s="404" t="s">
        <v>443</v>
      </c>
      <c r="O62" s="404" t="s">
        <v>443</v>
      </c>
      <c r="P62" s="404" t="s">
        <v>444</v>
      </c>
    </row>
    <row r="63" ht="12.75" customHeight="1">
      <c r="A63" s="399">
        <v>7.0</v>
      </c>
      <c r="B63" s="321" t="s">
        <v>107</v>
      </c>
      <c r="C63" s="321" t="s">
        <v>40</v>
      </c>
      <c r="D63" s="321" t="s">
        <v>1640</v>
      </c>
      <c r="E63" s="400" t="s">
        <v>1662</v>
      </c>
      <c r="F63" s="400" t="s">
        <v>1663</v>
      </c>
      <c r="G63" s="400" t="s">
        <v>1664</v>
      </c>
      <c r="H63" s="401">
        <v>9.0</v>
      </c>
      <c r="I63" s="394"/>
      <c r="J63" s="404" t="s">
        <v>444</v>
      </c>
      <c r="K63" s="404" t="s">
        <v>445</v>
      </c>
      <c r="L63" s="404" t="s">
        <v>446</v>
      </c>
      <c r="N63" s="404" t="s">
        <v>444</v>
      </c>
      <c r="O63" s="404" t="s">
        <v>445</v>
      </c>
      <c r="P63" s="404" t="s">
        <v>446</v>
      </c>
    </row>
    <row r="64" ht="12.75" customHeight="1">
      <c r="A64" s="399">
        <v>7.0</v>
      </c>
      <c r="B64" s="321" t="s">
        <v>105</v>
      </c>
      <c r="C64" s="321" t="s">
        <v>42</v>
      </c>
      <c r="D64" s="321" t="s">
        <v>1640</v>
      </c>
      <c r="E64" s="400" t="s">
        <v>1665</v>
      </c>
      <c r="F64" s="400" t="s">
        <v>1665</v>
      </c>
      <c r="G64" s="400"/>
      <c r="H64" s="401">
        <v>9.0</v>
      </c>
      <c r="I64" s="394"/>
      <c r="J64" s="404" t="s">
        <v>447</v>
      </c>
      <c r="K64" s="404" t="s">
        <v>447</v>
      </c>
      <c r="L64" s="404" t="s">
        <v>447</v>
      </c>
      <c r="N64" s="404" t="s">
        <v>447</v>
      </c>
      <c r="O64" s="404" t="s">
        <v>447</v>
      </c>
      <c r="P64" s="404" t="s">
        <v>447</v>
      </c>
    </row>
    <row r="65" ht="12.75" customHeight="1">
      <c r="A65" s="399">
        <v>7.0</v>
      </c>
      <c r="B65" s="321" t="s">
        <v>107</v>
      </c>
      <c r="C65" s="321" t="s">
        <v>42</v>
      </c>
      <c r="D65" s="321" t="s">
        <v>1640</v>
      </c>
      <c r="E65" s="400" t="s">
        <v>1666</v>
      </c>
      <c r="F65" s="400" t="s">
        <v>1667</v>
      </c>
      <c r="G65" s="400" t="s">
        <v>1668</v>
      </c>
      <c r="H65" s="401">
        <v>13.0</v>
      </c>
      <c r="I65" s="394"/>
    </row>
    <row r="66" ht="12.75" customHeight="1">
      <c r="A66" s="399">
        <v>8.0</v>
      </c>
      <c r="B66" s="321"/>
      <c r="C66" s="321" t="s">
        <v>1639</v>
      </c>
      <c r="D66" s="321" t="s">
        <v>1640</v>
      </c>
      <c r="E66" s="400"/>
      <c r="F66" s="400"/>
      <c r="G66" s="400"/>
      <c r="H66" s="401">
        <v>13.0</v>
      </c>
      <c r="I66" s="394"/>
    </row>
    <row r="67" ht="12.75" customHeight="1">
      <c r="A67" s="399">
        <v>9.0</v>
      </c>
      <c r="B67" s="321"/>
      <c r="C67" s="321" t="s">
        <v>1639</v>
      </c>
      <c r="D67" s="321" t="s">
        <v>1640</v>
      </c>
      <c r="E67" s="400"/>
      <c r="F67" s="400"/>
      <c r="G67" s="400"/>
      <c r="H67" s="401">
        <v>13.0</v>
      </c>
      <c r="I67" s="394"/>
      <c r="J67" s="299" t="s">
        <v>1669</v>
      </c>
      <c r="M67" s="297" t="s">
        <v>425</v>
      </c>
      <c r="Q67" s="297" t="s">
        <v>425</v>
      </c>
    </row>
    <row r="68" ht="12.75" customHeight="1">
      <c r="A68" s="399">
        <v>10.0</v>
      </c>
      <c r="B68" s="321"/>
      <c r="C68" s="321" t="s">
        <v>1639</v>
      </c>
      <c r="D68" s="321" t="s">
        <v>1640</v>
      </c>
      <c r="E68" s="400"/>
      <c r="F68" s="400"/>
      <c r="G68" s="400"/>
      <c r="H68" s="401">
        <v>13.0</v>
      </c>
      <c r="I68" s="394"/>
      <c r="J68" s="5" t="s">
        <v>1641</v>
      </c>
      <c r="N68" s="5" t="s">
        <v>1642</v>
      </c>
      <c r="R68" s="5" t="s">
        <v>1643</v>
      </c>
    </row>
    <row r="69" ht="12.75" customHeight="1">
      <c r="A69" s="399">
        <v>11.0</v>
      </c>
      <c r="B69" s="321"/>
      <c r="C69" s="321" t="s">
        <v>1639</v>
      </c>
      <c r="D69" s="321" t="s">
        <v>1640</v>
      </c>
      <c r="E69" s="400"/>
      <c r="F69" s="400"/>
      <c r="G69" s="400"/>
      <c r="H69" s="401">
        <v>13.0</v>
      </c>
      <c r="I69" s="394"/>
      <c r="J69" s="404"/>
      <c r="K69" s="404" t="s">
        <v>443</v>
      </c>
      <c r="L69" s="404" t="s">
        <v>443</v>
      </c>
      <c r="N69" s="404"/>
      <c r="O69" s="404" t="s">
        <v>443</v>
      </c>
      <c r="P69" s="404" t="s">
        <v>443</v>
      </c>
      <c r="R69" s="404"/>
      <c r="S69" s="404"/>
      <c r="T69" s="404" t="s">
        <v>443</v>
      </c>
    </row>
    <row r="70" ht="12.75" customHeight="1">
      <c r="A70" s="399">
        <v>12.0</v>
      </c>
      <c r="B70" s="321" t="s">
        <v>105</v>
      </c>
      <c r="C70" s="321" t="s">
        <v>49</v>
      </c>
      <c r="D70" s="321" t="s">
        <v>1640</v>
      </c>
      <c r="E70" s="400" t="s">
        <v>1670</v>
      </c>
      <c r="F70" s="400" t="s">
        <v>1671</v>
      </c>
      <c r="G70" s="400" t="s">
        <v>1672</v>
      </c>
      <c r="H70" s="401">
        <v>15.0</v>
      </c>
      <c r="I70" s="394"/>
      <c r="J70" s="404"/>
      <c r="K70" s="404"/>
      <c r="L70" s="404"/>
      <c r="N70" s="404"/>
      <c r="O70" s="404" t="s">
        <v>444</v>
      </c>
      <c r="P70" s="404" t="s">
        <v>444</v>
      </c>
      <c r="R70" s="404" t="s">
        <v>444</v>
      </c>
      <c r="S70" s="404"/>
      <c r="T70" s="404"/>
    </row>
    <row r="71" ht="12.75" customHeight="1">
      <c r="A71" s="399">
        <v>13.0</v>
      </c>
      <c r="B71" s="321" t="s">
        <v>105</v>
      </c>
      <c r="C71" s="321" t="s">
        <v>372</v>
      </c>
      <c r="D71" s="321" t="s">
        <v>1640</v>
      </c>
      <c r="E71" s="400" t="s">
        <v>1673</v>
      </c>
      <c r="F71" s="400" t="s">
        <v>1674</v>
      </c>
      <c r="G71" s="400" t="s">
        <v>1675</v>
      </c>
      <c r="H71" s="401">
        <v>16.0</v>
      </c>
      <c r="I71" s="394"/>
      <c r="J71" s="404" t="s">
        <v>444</v>
      </c>
      <c r="K71" s="404" t="s">
        <v>445</v>
      </c>
      <c r="L71" s="404"/>
      <c r="N71" s="404"/>
      <c r="O71" s="404"/>
      <c r="P71" s="404" t="s">
        <v>446</v>
      </c>
      <c r="R71" s="404"/>
      <c r="S71" s="404"/>
      <c r="T71" s="404"/>
    </row>
    <row r="72" ht="12.75" customHeight="1">
      <c r="A72" s="399">
        <v>13.0</v>
      </c>
      <c r="B72" s="321" t="s">
        <v>107</v>
      </c>
      <c r="C72" s="321" t="s">
        <v>372</v>
      </c>
      <c r="D72" s="321" t="s">
        <v>1640</v>
      </c>
      <c r="E72" s="400" t="s">
        <v>1676</v>
      </c>
      <c r="F72" s="400" t="s">
        <v>1677</v>
      </c>
      <c r="G72" s="400" t="s">
        <v>1678</v>
      </c>
      <c r="H72" s="401">
        <v>19.0</v>
      </c>
      <c r="I72" s="394"/>
    </row>
    <row r="73" ht="12.75" customHeight="1">
      <c r="A73" s="399">
        <v>13.0</v>
      </c>
      <c r="B73" s="321" t="s">
        <v>108</v>
      </c>
      <c r="C73" s="321" t="s">
        <v>372</v>
      </c>
      <c r="D73" s="321" t="s">
        <v>1640</v>
      </c>
      <c r="E73" s="400" t="s">
        <v>1679</v>
      </c>
      <c r="F73" s="400" t="s">
        <v>1680</v>
      </c>
      <c r="G73" s="400" t="s">
        <v>1681</v>
      </c>
      <c r="H73" s="401">
        <v>24.0</v>
      </c>
      <c r="I73" s="394"/>
      <c r="J73" s="5" t="s">
        <v>1647</v>
      </c>
      <c r="N73" s="5" t="s">
        <v>1648</v>
      </c>
      <c r="R73" s="5" t="s">
        <v>1649</v>
      </c>
    </row>
    <row r="74" ht="12.75" customHeight="1">
      <c r="A74" s="399">
        <v>13.0</v>
      </c>
      <c r="B74" s="321" t="s">
        <v>108</v>
      </c>
      <c r="C74" s="321" t="s">
        <v>402</v>
      </c>
      <c r="D74" s="321" t="s">
        <v>1640</v>
      </c>
      <c r="E74" s="400" t="s">
        <v>1682</v>
      </c>
      <c r="F74" s="400" t="s">
        <v>1683</v>
      </c>
      <c r="G74" s="400" t="s">
        <v>1684</v>
      </c>
      <c r="H74" s="401">
        <v>26.0</v>
      </c>
      <c r="I74" s="394"/>
      <c r="J74" s="404"/>
      <c r="K74" s="404" t="s">
        <v>443</v>
      </c>
      <c r="L74" s="404"/>
      <c r="N74" s="404"/>
      <c r="O74" s="404"/>
      <c r="P74" s="404"/>
      <c r="R74" s="404" t="s">
        <v>443</v>
      </c>
      <c r="S74" s="404" t="s">
        <v>443</v>
      </c>
      <c r="T74" s="404"/>
    </row>
    <row r="75" ht="12.75" customHeight="1">
      <c r="A75" s="399">
        <v>13.0</v>
      </c>
      <c r="B75" s="321" t="s">
        <v>109</v>
      </c>
      <c r="C75" s="321" t="s">
        <v>402</v>
      </c>
      <c r="D75" s="321" t="s">
        <v>1640</v>
      </c>
      <c r="E75" s="400" t="s">
        <v>1685</v>
      </c>
      <c r="F75" s="400" t="s">
        <v>1686</v>
      </c>
      <c r="G75" s="400" t="s">
        <v>1687</v>
      </c>
      <c r="H75" s="401">
        <v>37.0</v>
      </c>
      <c r="I75" s="394"/>
      <c r="J75" s="404"/>
      <c r="K75" s="404" t="s">
        <v>445</v>
      </c>
      <c r="L75" s="404"/>
      <c r="N75" s="404"/>
      <c r="O75" s="404"/>
      <c r="P75" s="404"/>
      <c r="R75" s="404"/>
      <c r="S75" s="404"/>
      <c r="T75" s="404"/>
    </row>
    <row r="76" ht="12.75" customHeight="1">
      <c r="A76" s="399">
        <v>13.0</v>
      </c>
      <c r="B76" s="321" t="s">
        <v>105</v>
      </c>
      <c r="C76" s="321" t="s">
        <v>40</v>
      </c>
      <c r="D76" s="321" t="s">
        <v>1640</v>
      </c>
      <c r="E76" s="400" t="s">
        <v>1688</v>
      </c>
      <c r="F76" s="400" t="s">
        <v>1688</v>
      </c>
      <c r="G76" s="400"/>
      <c r="H76" s="401">
        <v>37.0</v>
      </c>
      <c r="I76" s="394"/>
      <c r="J76" s="404"/>
      <c r="K76" s="404"/>
      <c r="L76" s="404"/>
      <c r="N76" s="404"/>
      <c r="O76" s="404"/>
      <c r="P76" s="404"/>
      <c r="R76" s="404"/>
      <c r="S76" s="404" t="s">
        <v>447</v>
      </c>
      <c r="T76" s="404"/>
    </row>
    <row r="77" ht="12.75" customHeight="1">
      <c r="A77" s="399">
        <v>13.0</v>
      </c>
      <c r="B77" s="321" t="s">
        <v>107</v>
      </c>
      <c r="C77" s="321" t="s">
        <v>40</v>
      </c>
      <c r="D77" s="321" t="s">
        <v>1640</v>
      </c>
      <c r="E77" s="400" t="s">
        <v>1689</v>
      </c>
      <c r="F77" s="400" t="s">
        <v>1690</v>
      </c>
      <c r="G77" s="400" t="s">
        <v>1691</v>
      </c>
      <c r="H77" s="401">
        <v>38.0</v>
      </c>
      <c r="I77" s="394"/>
    </row>
    <row r="78" ht="12.75" customHeight="1">
      <c r="A78" s="399">
        <v>13.0</v>
      </c>
      <c r="B78" s="321" t="s">
        <v>105</v>
      </c>
      <c r="C78" s="321" t="s">
        <v>42</v>
      </c>
      <c r="D78" s="321" t="s">
        <v>1640</v>
      </c>
      <c r="E78" s="400" t="s">
        <v>1692</v>
      </c>
      <c r="F78" s="400" t="s">
        <v>1693</v>
      </c>
      <c r="G78" s="400" t="s">
        <v>1694</v>
      </c>
      <c r="H78" s="401">
        <v>39.0</v>
      </c>
      <c r="I78" s="394"/>
      <c r="J78" s="5" t="s">
        <v>1659</v>
      </c>
      <c r="N78" s="5" t="s">
        <v>1660</v>
      </c>
    </row>
    <row r="79" ht="12.75" customHeight="1">
      <c r="A79" s="399">
        <v>13.0</v>
      </c>
      <c r="B79" s="321" t="s">
        <v>107</v>
      </c>
      <c r="C79" s="321" t="s">
        <v>42</v>
      </c>
      <c r="D79" s="321" t="s">
        <v>1640</v>
      </c>
      <c r="E79" s="400" t="s">
        <v>1695</v>
      </c>
      <c r="F79" s="400" t="s">
        <v>1696</v>
      </c>
      <c r="G79" s="400" t="s">
        <v>1697</v>
      </c>
      <c r="H79" s="401">
        <v>41.0</v>
      </c>
      <c r="I79" s="394"/>
      <c r="J79" s="404"/>
      <c r="K79" s="404"/>
      <c r="L79" s="404"/>
      <c r="N79" s="404"/>
      <c r="O79" s="404"/>
      <c r="P79" s="404"/>
    </row>
    <row r="80" ht="12.75" customHeight="1">
      <c r="A80" s="399">
        <v>14.0</v>
      </c>
      <c r="B80" s="321"/>
      <c r="C80" s="321" t="s">
        <v>1639</v>
      </c>
      <c r="D80" s="321" t="s">
        <v>1640</v>
      </c>
      <c r="E80" s="400"/>
      <c r="F80" s="400"/>
      <c r="G80" s="400"/>
      <c r="H80" s="401">
        <v>41.0</v>
      </c>
      <c r="I80" s="394"/>
      <c r="J80" s="404"/>
      <c r="K80" s="404" t="s">
        <v>445</v>
      </c>
      <c r="L80" s="404"/>
      <c r="N80" s="404"/>
      <c r="O80" s="404"/>
      <c r="P80" s="404"/>
    </row>
    <row r="81" ht="12.75" customHeight="1">
      <c r="A81" s="399">
        <v>15.0</v>
      </c>
      <c r="B81" s="321"/>
      <c r="C81" s="321" t="s">
        <v>1639</v>
      </c>
      <c r="D81" s="321" t="s">
        <v>1640</v>
      </c>
      <c r="E81" s="400"/>
      <c r="F81" s="400"/>
      <c r="G81" s="400"/>
      <c r="H81" s="401">
        <v>41.0</v>
      </c>
      <c r="I81" s="394"/>
      <c r="J81" s="404"/>
      <c r="K81" s="404"/>
      <c r="L81" s="404"/>
      <c r="N81" s="404"/>
      <c r="O81" s="404"/>
      <c r="P81" s="404"/>
    </row>
    <row r="82" ht="12.75" customHeight="1">
      <c r="A82" s="399">
        <v>16.0</v>
      </c>
      <c r="B82" s="321"/>
      <c r="C82" s="321" t="s">
        <v>1639</v>
      </c>
      <c r="D82" s="321" t="s">
        <v>1640</v>
      </c>
      <c r="E82" s="400"/>
      <c r="F82" s="400"/>
      <c r="G82" s="400"/>
      <c r="H82" s="401">
        <v>41.0</v>
      </c>
      <c r="I82" s="394"/>
    </row>
    <row r="83" ht="12.75" customHeight="1">
      <c r="A83" s="399">
        <v>17.0</v>
      </c>
      <c r="B83" s="321" t="s">
        <v>106</v>
      </c>
      <c r="C83" s="321" t="s">
        <v>369</v>
      </c>
      <c r="D83" s="321" t="s">
        <v>1640</v>
      </c>
      <c r="E83" s="400" t="s">
        <v>1698</v>
      </c>
      <c r="F83" s="400" t="s">
        <v>1699</v>
      </c>
      <c r="G83" s="400" t="s">
        <v>1700</v>
      </c>
      <c r="H83" s="401">
        <v>47.0</v>
      </c>
      <c r="I83" s="394"/>
    </row>
    <row r="84" ht="12.75" customHeight="1">
      <c r="A84" s="399">
        <v>18.0</v>
      </c>
      <c r="B84" s="321" t="s">
        <v>107</v>
      </c>
      <c r="C84" s="321" t="s">
        <v>311</v>
      </c>
      <c r="D84" s="321" t="s">
        <v>1640</v>
      </c>
      <c r="E84" s="400" t="s">
        <v>1701</v>
      </c>
      <c r="F84" s="400" t="s">
        <v>1702</v>
      </c>
      <c r="G84" s="400" t="s">
        <v>1703</v>
      </c>
      <c r="H84" s="401">
        <v>50.0</v>
      </c>
      <c r="I84" s="394"/>
      <c r="J84" s="299" t="s">
        <v>1704</v>
      </c>
      <c r="M84" s="297" t="s">
        <v>425</v>
      </c>
      <c r="Q84" s="297" t="s">
        <v>425</v>
      </c>
    </row>
    <row r="85" ht="12.75" customHeight="1">
      <c r="A85" s="399">
        <v>19.0</v>
      </c>
      <c r="B85" s="321" t="s">
        <v>105</v>
      </c>
      <c r="C85" s="321" t="s">
        <v>372</v>
      </c>
      <c r="D85" s="321" t="s">
        <v>1640</v>
      </c>
      <c r="E85" s="400" t="s">
        <v>1705</v>
      </c>
      <c r="F85" s="400"/>
      <c r="G85" s="400" t="s">
        <v>1705</v>
      </c>
      <c r="H85" s="401">
        <v>52.0</v>
      </c>
      <c r="I85" s="394"/>
      <c r="J85" s="5" t="s">
        <v>1641</v>
      </c>
      <c r="N85" s="5" t="s">
        <v>1642</v>
      </c>
      <c r="R85" s="5" t="s">
        <v>1643</v>
      </c>
    </row>
    <row r="86" ht="12.75" customHeight="1">
      <c r="A86" s="399">
        <v>19.0</v>
      </c>
      <c r="B86" s="321" t="s">
        <v>107</v>
      </c>
      <c r="C86" s="321" t="s">
        <v>372</v>
      </c>
      <c r="D86" s="321" t="s">
        <v>1640</v>
      </c>
      <c r="E86" s="400" t="s">
        <v>1706</v>
      </c>
      <c r="F86" s="400" t="s">
        <v>1707</v>
      </c>
      <c r="G86" s="400" t="s">
        <v>1708</v>
      </c>
      <c r="H86" s="401">
        <v>56.0</v>
      </c>
      <c r="I86" s="408" t="s">
        <v>1709</v>
      </c>
      <c r="J86" s="404"/>
      <c r="K86" s="404"/>
      <c r="L86" s="404"/>
      <c r="N86" s="404"/>
      <c r="O86" s="404"/>
      <c r="P86" s="404"/>
      <c r="R86" s="404"/>
      <c r="S86" s="404"/>
      <c r="T86" s="404"/>
    </row>
    <row r="87" ht="12.75" customHeight="1">
      <c r="A87" s="399">
        <v>19.0</v>
      </c>
      <c r="B87" s="321" t="s">
        <v>108</v>
      </c>
      <c r="C87" s="321" t="s">
        <v>372</v>
      </c>
      <c r="D87" s="321" t="s">
        <v>1640</v>
      </c>
      <c r="E87" s="400" t="s">
        <v>1710</v>
      </c>
      <c r="F87" s="400" t="s">
        <v>1711</v>
      </c>
      <c r="G87" s="400" t="s">
        <v>1712</v>
      </c>
      <c r="H87" s="401">
        <v>58.0</v>
      </c>
      <c r="I87" s="408" t="s">
        <v>1713</v>
      </c>
      <c r="J87" s="404"/>
      <c r="K87" s="404"/>
      <c r="L87" s="404"/>
      <c r="N87" s="404"/>
      <c r="O87" s="404"/>
      <c r="P87" s="404"/>
      <c r="R87" s="404"/>
      <c r="S87" s="404"/>
      <c r="T87" s="404"/>
    </row>
    <row r="88" ht="12.75" customHeight="1">
      <c r="A88" s="399">
        <v>19.0</v>
      </c>
      <c r="B88" s="321" t="s">
        <v>108</v>
      </c>
      <c r="C88" s="321" t="s">
        <v>402</v>
      </c>
      <c r="D88" s="321" t="s">
        <v>1640</v>
      </c>
      <c r="E88" s="400" t="s">
        <v>1714</v>
      </c>
      <c r="F88" s="400"/>
      <c r="G88" s="400" t="s">
        <v>1714</v>
      </c>
      <c r="H88" s="401">
        <v>67.0</v>
      </c>
      <c r="I88" s="408"/>
      <c r="J88" s="404"/>
      <c r="K88" s="404"/>
      <c r="L88" s="404"/>
      <c r="N88" s="404"/>
      <c r="O88" s="404"/>
      <c r="P88" s="404"/>
      <c r="R88" s="404"/>
      <c r="S88" s="404"/>
      <c r="T88" s="404"/>
    </row>
    <row r="89" ht="12.75" customHeight="1">
      <c r="A89" s="399">
        <v>19.0</v>
      </c>
      <c r="B89" s="321" t="s">
        <v>109</v>
      </c>
      <c r="C89" s="321" t="s">
        <v>402</v>
      </c>
      <c r="D89" s="321" t="s">
        <v>1640</v>
      </c>
      <c r="E89" s="400" t="s">
        <v>1715</v>
      </c>
      <c r="F89" s="400"/>
      <c r="G89" s="400" t="s">
        <v>1715</v>
      </c>
      <c r="H89" s="401">
        <v>74.0</v>
      </c>
      <c r="I89" s="394"/>
    </row>
    <row r="90" ht="12.75" customHeight="1">
      <c r="A90" s="399">
        <v>19.0</v>
      </c>
      <c r="B90" s="321" t="s">
        <v>105</v>
      </c>
      <c r="C90" s="321" t="s">
        <v>40</v>
      </c>
      <c r="D90" s="321" t="s">
        <v>1640</v>
      </c>
      <c r="E90" s="400" t="s">
        <v>1716</v>
      </c>
      <c r="F90" s="400" t="s">
        <v>1716</v>
      </c>
      <c r="G90" s="400"/>
      <c r="H90" s="401">
        <v>74.0</v>
      </c>
      <c r="I90" s="394"/>
      <c r="J90" s="5" t="s">
        <v>1647</v>
      </c>
      <c r="N90" s="5" t="s">
        <v>1648</v>
      </c>
      <c r="R90" s="5" t="s">
        <v>1649</v>
      </c>
    </row>
    <row r="91" ht="12.75" customHeight="1">
      <c r="A91" s="399">
        <v>19.0</v>
      </c>
      <c r="B91" s="321" t="s">
        <v>107</v>
      </c>
      <c r="C91" s="321" t="s">
        <v>40</v>
      </c>
      <c r="D91" s="321" t="s">
        <v>1640</v>
      </c>
      <c r="E91" s="400" t="s">
        <v>1717</v>
      </c>
      <c r="F91" s="400"/>
      <c r="G91" s="400" t="s">
        <v>1717</v>
      </c>
      <c r="H91" s="401">
        <v>80.0</v>
      </c>
      <c r="I91" s="394"/>
      <c r="J91" s="404"/>
      <c r="K91" s="404"/>
      <c r="L91" s="404"/>
      <c r="N91" s="404"/>
      <c r="O91" s="404"/>
      <c r="P91" s="404"/>
      <c r="R91" s="404"/>
      <c r="S91" s="404"/>
      <c r="T91" s="404"/>
    </row>
    <row r="92" ht="12.75" customHeight="1">
      <c r="A92" s="399">
        <v>19.0</v>
      </c>
      <c r="B92" s="321" t="s">
        <v>105</v>
      </c>
      <c r="C92" s="321" t="s">
        <v>42</v>
      </c>
      <c r="D92" s="321" t="s">
        <v>1640</v>
      </c>
      <c r="E92" s="400" t="s">
        <v>1718</v>
      </c>
      <c r="F92" s="400"/>
      <c r="G92" s="400" t="s">
        <v>1718</v>
      </c>
      <c r="H92" s="401">
        <v>84.0</v>
      </c>
      <c r="I92" s="394"/>
      <c r="J92" s="404"/>
      <c r="K92" s="404"/>
      <c r="L92" s="404"/>
      <c r="N92" s="404"/>
      <c r="O92" s="404"/>
      <c r="P92" s="404"/>
      <c r="R92" s="404"/>
      <c r="S92" s="404"/>
      <c r="T92" s="404"/>
    </row>
    <row r="93" ht="12.75" customHeight="1">
      <c r="A93" s="399">
        <v>19.0</v>
      </c>
      <c r="B93" s="321" t="s">
        <v>107</v>
      </c>
      <c r="C93" s="321" t="s">
        <v>42</v>
      </c>
      <c r="D93" s="321" t="s">
        <v>1640</v>
      </c>
      <c r="E93" s="400" t="s">
        <v>1719</v>
      </c>
      <c r="F93" s="400" t="s">
        <v>1720</v>
      </c>
      <c r="G93" s="400" t="s">
        <v>1721</v>
      </c>
      <c r="H93" s="401">
        <v>94.0</v>
      </c>
      <c r="I93" s="408" t="s">
        <v>1722</v>
      </c>
      <c r="J93" s="404"/>
      <c r="K93" s="404"/>
      <c r="L93" s="404"/>
      <c r="N93" s="404"/>
      <c r="O93" s="404"/>
      <c r="P93" s="404"/>
      <c r="R93" s="404"/>
      <c r="S93" s="404"/>
      <c r="T93" s="404"/>
    </row>
    <row r="94" ht="12.75" customHeight="1">
      <c r="A94" s="399">
        <v>20.0</v>
      </c>
      <c r="B94" s="321"/>
      <c r="C94" s="321" t="s">
        <v>1639</v>
      </c>
      <c r="D94" s="321" t="s">
        <v>1640</v>
      </c>
      <c r="E94" s="400"/>
      <c r="F94" s="400"/>
      <c r="G94" s="400"/>
      <c r="H94" s="401">
        <v>94.0</v>
      </c>
      <c r="I94" s="394"/>
    </row>
    <row r="95" ht="12.75" customHeight="1">
      <c r="A95" s="399">
        <v>21.0</v>
      </c>
      <c r="B95" s="321" t="s">
        <v>107</v>
      </c>
      <c r="C95" s="321" t="s">
        <v>310</v>
      </c>
      <c r="D95" s="321" t="s">
        <v>1640</v>
      </c>
      <c r="E95" s="400" t="s">
        <v>1723</v>
      </c>
      <c r="F95" s="400" t="s">
        <v>1724</v>
      </c>
      <c r="G95" s="400" t="s">
        <v>1725</v>
      </c>
      <c r="H95" s="401">
        <v>101.0</v>
      </c>
      <c r="I95" s="394"/>
      <c r="J95" s="5" t="s">
        <v>1659</v>
      </c>
      <c r="N95" s="5" t="s">
        <v>1660</v>
      </c>
    </row>
    <row r="96" ht="12.75" customHeight="1">
      <c r="A96" s="399">
        <v>21.0</v>
      </c>
      <c r="B96" s="321" t="s">
        <v>106</v>
      </c>
      <c r="C96" s="321" t="s">
        <v>189</v>
      </c>
      <c r="D96" s="321" t="s">
        <v>1640</v>
      </c>
      <c r="E96" s="400" t="s">
        <v>1726</v>
      </c>
      <c r="F96" s="400" t="s">
        <v>1727</v>
      </c>
      <c r="G96" s="400" t="s">
        <v>1728</v>
      </c>
      <c r="H96" s="401">
        <v>105.0</v>
      </c>
      <c r="I96" s="394"/>
      <c r="J96" s="404"/>
      <c r="K96" s="404"/>
      <c r="L96" s="404"/>
      <c r="N96" s="404"/>
      <c r="O96" s="404"/>
      <c r="P96" s="404"/>
    </row>
    <row r="97" ht="12.75" customHeight="1">
      <c r="A97" s="399">
        <v>22.0</v>
      </c>
      <c r="B97" s="321"/>
      <c r="C97" s="321" t="s">
        <v>1639</v>
      </c>
      <c r="D97" s="321" t="s">
        <v>1640</v>
      </c>
      <c r="E97" s="400"/>
      <c r="F97" s="400"/>
      <c r="G97" s="400"/>
      <c r="H97" s="401">
        <v>105.0</v>
      </c>
      <c r="I97" s="394"/>
      <c r="J97" s="404"/>
      <c r="K97" s="404"/>
      <c r="L97" s="404"/>
      <c r="N97" s="404"/>
      <c r="O97" s="404"/>
      <c r="P97" s="404"/>
    </row>
    <row r="98" ht="12.75" customHeight="1">
      <c r="A98" s="399">
        <v>23.0</v>
      </c>
      <c r="B98" s="321" t="s">
        <v>107</v>
      </c>
      <c r="C98" s="321" t="s">
        <v>312</v>
      </c>
      <c r="D98" s="321" t="s">
        <v>1640</v>
      </c>
      <c r="E98" s="400" t="s">
        <v>1729</v>
      </c>
      <c r="F98" s="400" t="s">
        <v>1730</v>
      </c>
      <c r="G98" s="400" t="s">
        <v>1731</v>
      </c>
      <c r="H98" s="401">
        <v>113.0</v>
      </c>
      <c r="I98" s="394"/>
      <c r="J98" s="404"/>
      <c r="K98" s="404"/>
      <c r="L98" s="404"/>
      <c r="N98" s="404"/>
      <c r="O98" s="404"/>
      <c r="P98" s="404"/>
    </row>
    <row r="99" ht="12.75" customHeight="1">
      <c r="A99" s="399">
        <v>23.0</v>
      </c>
      <c r="B99" s="321" t="s">
        <v>106</v>
      </c>
      <c r="C99" s="321" t="s">
        <v>403</v>
      </c>
      <c r="D99" s="321" t="s">
        <v>1640</v>
      </c>
      <c r="E99" s="400" t="s">
        <v>1732</v>
      </c>
      <c r="F99" s="400"/>
      <c r="G99" s="400" t="s">
        <v>1732</v>
      </c>
      <c r="H99" s="401">
        <v>116.0</v>
      </c>
      <c r="I99" s="394"/>
    </row>
    <row r="100" ht="12.75" customHeight="1">
      <c r="A100" s="399">
        <v>24.0</v>
      </c>
      <c r="B100" s="321"/>
      <c r="C100" s="321" t="s">
        <v>1639</v>
      </c>
      <c r="D100" s="321" t="s">
        <v>1640</v>
      </c>
      <c r="E100" s="400"/>
      <c r="F100" s="400"/>
      <c r="G100" s="400"/>
      <c r="H100" s="401">
        <v>116.0</v>
      </c>
      <c r="I100" s="394"/>
    </row>
    <row r="101" ht="12.75" customHeight="1">
      <c r="A101" s="399">
        <v>25.0</v>
      </c>
      <c r="B101" s="321" t="s">
        <v>105</v>
      </c>
      <c r="C101" s="321" t="s">
        <v>372</v>
      </c>
      <c r="D101" s="321" t="s">
        <v>1640</v>
      </c>
      <c r="E101" s="400" t="s">
        <v>1733</v>
      </c>
      <c r="F101" s="400" t="s">
        <v>1734</v>
      </c>
      <c r="G101" s="400" t="s">
        <v>1735</v>
      </c>
      <c r="H101" s="401">
        <v>118.0</v>
      </c>
      <c r="I101" s="394"/>
    </row>
    <row r="102" ht="12.75" customHeight="1">
      <c r="A102" s="399">
        <v>25.0</v>
      </c>
      <c r="B102" s="321" t="s">
        <v>107</v>
      </c>
      <c r="C102" s="321" t="s">
        <v>372</v>
      </c>
      <c r="D102" s="321" t="s">
        <v>1640</v>
      </c>
      <c r="E102" s="400" t="s">
        <v>1736</v>
      </c>
      <c r="F102" s="400"/>
      <c r="G102" s="400" t="s">
        <v>1736</v>
      </c>
      <c r="H102" s="401">
        <v>128.0</v>
      </c>
      <c r="I102" s="394"/>
    </row>
    <row r="103" ht="12.75" customHeight="1">
      <c r="A103" s="399">
        <v>25.0</v>
      </c>
      <c r="B103" s="321" t="s">
        <v>108</v>
      </c>
      <c r="C103" s="321" t="s">
        <v>372</v>
      </c>
      <c r="D103" s="321" t="s">
        <v>1640</v>
      </c>
      <c r="E103" s="400" t="s">
        <v>1737</v>
      </c>
      <c r="F103" s="400" t="s">
        <v>1738</v>
      </c>
      <c r="G103" s="400" t="s">
        <v>1739</v>
      </c>
      <c r="H103" s="401">
        <v>136.0</v>
      </c>
      <c r="I103" s="394"/>
    </row>
    <row r="104" ht="12.75" customHeight="1">
      <c r="A104" s="399">
        <v>25.0</v>
      </c>
      <c r="B104" s="321" t="s">
        <v>108</v>
      </c>
      <c r="C104" s="321" t="s">
        <v>402</v>
      </c>
      <c r="D104" s="321" t="s">
        <v>1640</v>
      </c>
      <c r="E104" s="400" t="s">
        <v>1740</v>
      </c>
      <c r="F104" s="400"/>
      <c r="G104" s="400" t="s">
        <v>1740</v>
      </c>
      <c r="H104" s="401">
        <v>148.0</v>
      </c>
      <c r="I104" s="394"/>
    </row>
    <row r="105" ht="12.75" customHeight="1">
      <c r="A105" s="399">
        <v>25.0</v>
      </c>
      <c r="B105" s="321" t="s">
        <v>109</v>
      </c>
      <c r="C105" s="321" t="s">
        <v>402</v>
      </c>
      <c r="D105" s="321" t="s">
        <v>1640</v>
      </c>
      <c r="E105" s="400" t="s">
        <v>1741</v>
      </c>
      <c r="F105" s="400" t="s">
        <v>1742</v>
      </c>
      <c r="G105" s="400" t="s">
        <v>1743</v>
      </c>
      <c r="H105" s="401">
        <v>155.0</v>
      </c>
      <c r="I105" s="394"/>
    </row>
    <row r="106" ht="12.75" customHeight="1">
      <c r="A106" s="399">
        <v>25.0</v>
      </c>
      <c r="B106" s="321" t="s">
        <v>105</v>
      </c>
      <c r="C106" s="321" t="s">
        <v>40</v>
      </c>
      <c r="D106" s="321" t="s">
        <v>1640</v>
      </c>
      <c r="E106" s="400" t="s">
        <v>1744</v>
      </c>
      <c r="F106" s="400"/>
      <c r="G106" s="400" t="s">
        <v>1744</v>
      </c>
      <c r="H106" s="401">
        <v>157.0</v>
      </c>
      <c r="I106" s="408"/>
    </row>
    <row r="107" ht="12.75" customHeight="1">
      <c r="A107" s="399">
        <v>25.0</v>
      </c>
      <c r="B107" s="321" t="s">
        <v>107</v>
      </c>
      <c r="C107" s="321" t="s">
        <v>40</v>
      </c>
      <c r="D107" s="321" t="s">
        <v>1640</v>
      </c>
      <c r="E107" s="400" t="s">
        <v>1745</v>
      </c>
      <c r="F107" s="400"/>
      <c r="G107" s="400" t="s">
        <v>1745</v>
      </c>
      <c r="H107" s="401">
        <v>167.0</v>
      </c>
      <c r="I107" s="408"/>
    </row>
    <row r="108" ht="12.75" customHeight="1">
      <c r="A108" s="399">
        <v>25.0</v>
      </c>
      <c r="B108" s="321" t="s">
        <v>105</v>
      </c>
      <c r="C108" s="321" t="s">
        <v>42</v>
      </c>
      <c r="D108" s="321" t="s">
        <v>1640</v>
      </c>
      <c r="E108" s="400" t="s">
        <v>1746</v>
      </c>
      <c r="F108" s="400"/>
      <c r="G108" s="400" t="s">
        <v>1746</v>
      </c>
      <c r="H108" s="401">
        <v>170.0</v>
      </c>
      <c r="I108" s="394"/>
    </row>
    <row r="109" ht="12.75" customHeight="1">
      <c r="A109" s="399">
        <v>25.0</v>
      </c>
      <c r="B109" s="321" t="s">
        <v>107</v>
      </c>
      <c r="C109" s="321" t="s">
        <v>42</v>
      </c>
      <c r="D109" s="321" t="s">
        <v>1640</v>
      </c>
      <c r="E109" s="400" t="s">
        <v>1747</v>
      </c>
      <c r="F109" s="400" t="s">
        <v>1748</v>
      </c>
      <c r="G109" s="400" t="s">
        <v>1749</v>
      </c>
      <c r="H109" s="401">
        <v>176.0</v>
      </c>
      <c r="I109" s="394"/>
    </row>
    <row r="110" ht="12.75" customHeight="1">
      <c r="A110" s="399">
        <v>26.0</v>
      </c>
      <c r="B110" s="321" t="s">
        <v>106</v>
      </c>
      <c r="C110" s="321" t="s">
        <v>407</v>
      </c>
      <c r="D110" s="321" t="s">
        <v>1640</v>
      </c>
      <c r="E110" s="400" t="s">
        <v>1750</v>
      </c>
      <c r="F110" s="400"/>
      <c r="G110" s="400" t="s">
        <v>1750</v>
      </c>
      <c r="H110" s="401">
        <v>181.0</v>
      </c>
      <c r="I110" s="394"/>
    </row>
    <row r="111" ht="12.75" customHeight="1">
      <c r="A111" s="399">
        <v>26.0</v>
      </c>
      <c r="B111" s="321" t="s">
        <v>105</v>
      </c>
      <c r="C111" s="321" t="s">
        <v>49</v>
      </c>
      <c r="D111" s="321" t="s">
        <v>1640</v>
      </c>
      <c r="E111" s="400" t="s">
        <v>1751</v>
      </c>
      <c r="F111" s="400"/>
      <c r="G111" s="400" t="s">
        <v>1751</v>
      </c>
      <c r="H111" s="401">
        <v>185.0</v>
      </c>
      <c r="I111" s="394"/>
    </row>
    <row r="112" ht="12.75" customHeight="1">
      <c r="A112" s="399">
        <v>27.0</v>
      </c>
      <c r="B112" s="321"/>
      <c r="C112" s="321" t="s">
        <v>1639</v>
      </c>
      <c r="D112" s="321" t="s">
        <v>1640</v>
      </c>
      <c r="E112" s="400"/>
      <c r="F112" s="400"/>
      <c r="G112" s="400"/>
      <c r="H112" s="401">
        <v>185.0</v>
      </c>
      <c r="I112" s="394"/>
    </row>
    <row r="113" ht="12.75" customHeight="1">
      <c r="A113" s="399">
        <v>28.0</v>
      </c>
      <c r="B113" s="321" t="s">
        <v>107</v>
      </c>
      <c r="C113" s="321" t="s">
        <v>46</v>
      </c>
      <c r="D113" s="321" t="s">
        <v>1640</v>
      </c>
      <c r="E113" s="400" t="s">
        <v>1752</v>
      </c>
      <c r="F113" s="400"/>
      <c r="G113" s="400" t="s">
        <v>1752</v>
      </c>
      <c r="H113" s="401">
        <v>193.0</v>
      </c>
      <c r="I113" s="394"/>
    </row>
    <row r="114" ht="12.75" customHeight="1">
      <c r="A114" s="399">
        <v>29.0</v>
      </c>
      <c r="B114" s="321"/>
      <c r="C114" s="321" t="s">
        <v>1639</v>
      </c>
      <c r="D114" s="321" t="s">
        <v>1640</v>
      </c>
      <c r="E114" s="400"/>
      <c r="F114" s="400"/>
      <c r="G114" s="400"/>
      <c r="H114" s="401">
        <v>193.0</v>
      </c>
      <c r="I114" s="394"/>
    </row>
    <row r="115" ht="12.75" customHeight="1">
      <c r="A115" s="399">
        <v>30.0</v>
      </c>
      <c r="B115" s="321"/>
      <c r="C115" s="321" t="s">
        <v>1639</v>
      </c>
      <c r="D115" s="321" t="s">
        <v>1640</v>
      </c>
      <c r="E115" s="400"/>
      <c r="F115" s="400"/>
      <c r="G115" s="400"/>
      <c r="H115" s="401">
        <v>193.0</v>
      </c>
      <c r="I115" s="394"/>
    </row>
    <row r="116" ht="12.75" customHeight="1">
      <c r="A116" s="399">
        <v>31.0</v>
      </c>
      <c r="B116" s="321" t="s">
        <v>105</v>
      </c>
      <c r="C116" s="321" t="s">
        <v>372</v>
      </c>
      <c r="D116" s="321" t="s">
        <v>1640</v>
      </c>
      <c r="E116" s="400" t="s">
        <v>1753</v>
      </c>
      <c r="F116" s="400" t="s">
        <v>1754</v>
      </c>
      <c r="G116" s="400" t="s">
        <v>1755</v>
      </c>
      <c r="H116" s="401">
        <v>195.0</v>
      </c>
      <c r="I116" s="394"/>
    </row>
    <row r="117" ht="12.75" customHeight="1">
      <c r="A117" s="399">
        <v>31.0</v>
      </c>
      <c r="B117" s="321" t="s">
        <v>107</v>
      </c>
      <c r="C117" s="321" t="s">
        <v>372</v>
      </c>
      <c r="D117" s="321" t="s">
        <v>1640</v>
      </c>
      <c r="E117" s="400" t="s">
        <v>1756</v>
      </c>
      <c r="F117" s="400" t="s">
        <v>1757</v>
      </c>
      <c r="G117" s="400" t="s">
        <v>1758</v>
      </c>
      <c r="H117" s="401">
        <v>199.0</v>
      </c>
      <c r="I117" s="394"/>
    </row>
    <row r="118" ht="12.75" customHeight="1">
      <c r="A118" s="399">
        <v>31.0</v>
      </c>
      <c r="B118" s="321" t="s">
        <v>108</v>
      </c>
      <c r="C118" s="321" t="s">
        <v>372</v>
      </c>
      <c r="D118" s="321" t="s">
        <v>1640</v>
      </c>
      <c r="E118" s="400" t="s">
        <v>1759</v>
      </c>
      <c r="F118" s="400"/>
      <c r="G118" s="400" t="s">
        <v>1759</v>
      </c>
      <c r="H118" s="401">
        <v>207.0</v>
      </c>
      <c r="I118" s="394"/>
    </row>
    <row r="119" ht="12.75" customHeight="1">
      <c r="A119" s="399">
        <v>31.0</v>
      </c>
      <c r="B119" s="321" t="s">
        <v>108</v>
      </c>
      <c r="C119" s="321" t="s">
        <v>402</v>
      </c>
      <c r="D119" s="321" t="s">
        <v>1640</v>
      </c>
      <c r="E119" s="400" t="s">
        <v>1760</v>
      </c>
      <c r="F119" s="400"/>
      <c r="G119" s="400" t="s">
        <v>1760</v>
      </c>
      <c r="H119" s="401">
        <v>217.0</v>
      </c>
      <c r="I119" s="408"/>
    </row>
    <row r="120" ht="12.75" customHeight="1">
      <c r="A120" s="399">
        <v>31.0</v>
      </c>
      <c r="B120" s="321" t="s">
        <v>109</v>
      </c>
      <c r="C120" s="321" t="s">
        <v>402</v>
      </c>
      <c r="D120" s="321" t="s">
        <v>1640</v>
      </c>
      <c r="E120" s="400" t="s">
        <v>1761</v>
      </c>
      <c r="F120" s="400" t="s">
        <v>1762</v>
      </c>
      <c r="G120" s="400" t="s">
        <v>1763</v>
      </c>
      <c r="H120" s="401">
        <v>223.0</v>
      </c>
      <c r="I120" s="394"/>
    </row>
    <row r="121" ht="12.75" customHeight="1">
      <c r="A121" s="399">
        <v>31.0</v>
      </c>
      <c r="B121" s="321" t="s">
        <v>105</v>
      </c>
      <c r="C121" s="321" t="s">
        <v>40</v>
      </c>
      <c r="D121" s="321" t="s">
        <v>1640</v>
      </c>
      <c r="E121" s="400" t="s">
        <v>1764</v>
      </c>
      <c r="F121" s="400"/>
      <c r="G121" s="400" t="s">
        <v>1764</v>
      </c>
      <c r="H121" s="401">
        <v>226.0</v>
      </c>
      <c r="I121" s="394"/>
    </row>
    <row r="122" ht="12.75" customHeight="1">
      <c r="A122" s="399">
        <v>31.0</v>
      </c>
      <c r="B122" s="321" t="s">
        <v>107</v>
      </c>
      <c r="C122" s="321" t="s">
        <v>40</v>
      </c>
      <c r="D122" s="321" t="s">
        <v>1640</v>
      </c>
      <c r="E122" s="400" t="s">
        <v>1765</v>
      </c>
      <c r="F122" s="400"/>
      <c r="G122" s="400" t="s">
        <v>1765</v>
      </c>
      <c r="H122" s="401">
        <v>233.0</v>
      </c>
      <c r="I122" s="394"/>
    </row>
    <row r="123" ht="12.75" customHeight="1">
      <c r="A123" s="399">
        <v>31.0</v>
      </c>
      <c r="B123" s="321" t="s">
        <v>105</v>
      </c>
      <c r="C123" s="321" t="s">
        <v>42</v>
      </c>
      <c r="D123" s="321" t="s">
        <v>1640</v>
      </c>
      <c r="E123" s="400" t="s">
        <v>1766</v>
      </c>
      <c r="F123" s="400" t="s">
        <v>1767</v>
      </c>
      <c r="G123" s="400" t="s">
        <v>1699</v>
      </c>
      <c r="H123" s="401">
        <v>234.0</v>
      </c>
      <c r="I123" s="408"/>
    </row>
    <row r="124" ht="12.75" customHeight="1">
      <c r="A124" s="399">
        <v>31.0</v>
      </c>
      <c r="B124" s="321" t="s">
        <v>107</v>
      </c>
      <c r="C124" s="321" t="s">
        <v>42</v>
      </c>
      <c r="D124" s="321" t="s">
        <v>1640</v>
      </c>
      <c r="E124" s="400" t="s">
        <v>1768</v>
      </c>
      <c r="F124" s="400" t="s">
        <v>1769</v>
      </c>
      <c r="G124" s="400" t="s">
        <v>1770</v>
      </c>
      <c r="H124" s="401">
        <v>240.0</v>
      </c>
      <c r="I124" s="394"/>
    </row>
    <row r="125" ht="12.75" customHeight="1">
      <c r="A125" s="399">
        <v>32.0</v>
      </c>
      <c r="B125" s="321"/>
      <c r="C125" s="321" t="s">
        <v>1639</v>
      </c>
      <c r="D125" s="321" t="s">
        <v>1640</v>
      </c>
      <c r="E125" s="400"/>
      <c r="F125" s="400"/>
      <c r="G125" s="400"/>
      <c r="H125" s="401">
        <v>240.0</v>
      </c>
      <c r="I125" s="408"/>
    </row>
    <row r="126" ht="12.75" customHeight="1">
      <c r="A126" s="399">
        <v>33.0</v>
      </c>
      <c r="B126" s="321"/>
      <c r="C126" s="321" t="s">
        <v>1639</v>
      </c>
      <c r="D126" s="321" t="s">
        <v>1640</v>
      </c>
      <c r="E126" s="400"/>
      <c r="F126" s="400"/>
      <c r="G126" s="400"/>
      <c r="H126" s="401">
        <v>240.0</v>
      </c>
      <c r="I126" s="394"/>
    </row>
    <row r="127" ht="12.75" customHeight="1">
      <c r="A127" s="399">
        <v>34.0</v>
      </c>
      <c r="B127" s="321"/>
      <c r="C127" s="321" t="s">
        <v>1639</v>
      </c>
      <c r="D127" s="321" t="s">
        <v>1640</v>
      </c>
      <c r="E127" s="400"/>
      <c r="F127" s="400"/>
      <c r="G127" s="400"/>
      <c r="H127" s="401">
        <v>240.0</v>
      </c>
      <c r="I127" s="408"/>
    </row>
    <row r="128" ht="12.75" customHeight="1">
      <c r="A128" s="399">
        <v>35.0</v>
      </c>
      <c r="B128" s="321" t="s">
        <v>105</v>
      </c>
      <c r="C128" s="321" t="s">
        <v>372</v>
      </c>
      <c r="D128" s="321" t="s">
        <v>1640</v>
      </c>
      <c r="E128" s="400" t="s">
        <v>1771</v>
      </c>
      <c r="F128" s="400"/>
      <c r="G128" s="400" t="s">
        <v>1771</v>
      </c>
      <c r="H128" s="401">
        <v>243.0</v>
      </c>
      <c r="I128" s="394"/>
    </row>
    <row r="129" ht="12.75" customHeight="1">
      <c r="A129" s="399">
        <v>35.0</v>
      </c>
      <c r="B129" s="321" t="s">
        <v>107</v>
      </c>
      <c r="C129" s="321" t="s">
        <v>372</v>
      </c>
      <c r="D129" s="321" t="s">
        <v>1640</v>
      </c>
      <c r="E129" s="400" t="s">
        <v>1772</v>
      </c>
      <c r="F129" s="400"/>
      <c r="G129" s="400" t="s">
        <v>1772</v>
      </c>
      <c r="H129" s="401">
        <v>250.0</v>
      </c>
      <c r="I129" s="394"/>
    </row>
    <row r="130" ht="12.75" customHeight="1">
      <c r="A130" s="399">
        <v>35.0</v>
      </c>
      <c r="B130" s="321" t="s">
        <v>108</v>
      </c>
      <c r="C130" s="321" t="s">
        <v>372</v>
      </c>
      <c r="D130" s="321" t="s">
        <v>1640</v>
      </c>
      <c r="E130" s="400" t="s">
        <v>1773</v>
      </c>
      <c r="F130" s="400" t="s">
        <v>1774</v>
      </c>
      <c r="G130" s="400" t="s">
        <v>1775</v>
      </c>
      <c r="H130" s="401">
        <v>259.0</v>
      </c>
      <c r="I130" s="394"/>
    </row>
    <row r="131" ht="12.75" customHeight="1">
      <c r="A131" s="399">
        <v>35.0</v>
      </c>
      <c r="B131" s="321" t="s">
        <v>108</v>
      </c>
      <c r="C131" s="321" t="s">
        <v>402</v>
      </c>
      <c r="D131" s="321" t="s">
        <v>1640</v>
      </c>
      <c r="E131" s="400" t="s">
        <v>1776</v>
      </c>
      <c r="F131" s="400"/>
      <c r="G131" s="400" t="s">
        <v>1776</v>
      </c>
      <c r="H131" s="401">
        <v>266.0</v>
      </c>
      <c r="I131" s="394"/>
    </row>
    <row r="132" ht="12.75" customHeight="1">
      <c r="A132" s="399">
        <v>35.0</v>
      </c>
      <c r="B132" s="321" t="s">
        <v>109</v>
      </c>
      <c r="C132" s="321" t="s">
        <v>402</v>
      </c>
      <c r="D132" s="321" t="s">
        <v>1640</v>
      </c>
      <c r="E132" s="400" t="s">
        <v>1777</v>
      </c>
      <c r="F132" s="400"/>
      <c r="G132" s="400" t="s">
        <v>1777</v>
      </c>
      <c r="H132" s="401">
        <v>276.0</v>
      </c>
      <c r="I132" s="394"/>
    </row>
    <row r="133" ht="12.75" customHeight="1">
      <c r="A133" s="399">
        <v>35.0</v>
      </c>
      <c r="B133" s="321" t="s">
        <v>105</v>
      </c>
      <c r="C133" s="321" t="s">
        <v>40</v>
      </c>
      <c r="D133" s="321" t="s">
        <v>1640</v>
      </c>
      <c r="E133" s="400" t="s">
        <v>1778</v>
      </c>
      <c r="F133" s="400"/>
      <c r="G133" s="400" t="s">
        <v>1778</v>
      </c>
      <c r="H133" s="401">
        <v>281.0</v>
      </c>
      <c r="I133" s="394"/>
    </row>
    <row r="134" ht="12.75" customHeight="1">
      <c r="A134" s="399">
        <v>35.0</v>
      </c>
      <c r="B134" s="321" t="s">
        <v>107</v>
      </c>
      <c r="C134" s="321" t="s">
        <v>40</v>
      </c>
      <c r="D134" s="321" t="s">
        <v>1640</v>
      </c>
      <c r="E134" s="400" t="s">
        <v>1779</v>
      </c>
      <c r="F134" s="400" t="s">
        <v>1780</v>
      </c>
      <c r="G134" s="400" t="s">
        <v>1781</v>
      </c>
      <c r="H134" s="401">
        <v>289.0</v>
      </c>
      <c r="I134" s="408"/>
    </row>
    <row r="135" ht="12.75" customHeight="1">
      <c r="A135" s="399">
        <v>35.0</v>
      </c>
      <c r="B135" s="321" t="s">
        <v>105</v>
      </c>
      <c r="C135" s="321" t="s">
        <v>42</v>
      </c>
      <c r="D135" s="321" t="s">
        <v>1640</v>
      </c>
      <c r="E135" s="400" t="s">
        <v>1782</v>
      </c>
      <c r="F135" s="400"/>
      <c r="G135" s="400" t="s">
        <v>1782</v>
      </c>
      <c r="H135" s="401">
        <v>296.0</v>
      </c>
      <c r="I135" s="394"/>
    </row>
    <row r="136" ht="12.75" customHeight="1">
      <c r="A136" s="399">
        <v>35.0</v>
      </c>
      <c r="B136" s="321" t="s">
        <v>107</v>
      </c>
      <c r="C136" s="321" t="s">
        <v>42</v>
      </c>
      <c r="D136" s="321" t="s">
        <v>1640</v>
      </c>
      <c r="E136" s="400" t="s">
        <v>1783</v>
      </c>
      <c r="F136" s="400"/>
      <c r="G136" s="400" t="s">
        <v>1783</v>
      </c>
      <c r="H136" s="401">
        <v>304.0</v>
      </c>
      <c r="I136" s="394"/>
    </row>
    <row r="137" ht="12.75" customHeight="1">
      <c r="A137" s="399">
        <v>36.0</v>
      </c>
      <c r="B137" s="321"/>
      <c r="C137" s="321" t="s">
        <v>1639</v>
      </c>
      <c r="D137" s="321" t="s">
        <v>1640</v>
      </c>
      <c r="E137" s="400"/>
      <c r="F137" s="400"/>
      <c r="G137" s="400"/>
      <c r="H137" s="401">
        <v>304.0</v>
      </c>
      <c r="I137" s="394"/>
    </row>
    <row r="138" ht="12.75" customHeight="1">
      <c r="A138" s="399">
        <v>37.0</v>
      </c>
      <c r="B138" s="321"/>
      <c r="C138" s="321" t="s">
        <v>1639</v>
      </c>
      <c r="D138" s="321" t="s">
        <v>1640</v>
      </c>
      <c r="E138" s="400"/>
      <c r="F138" s="400"/>
      <c r="G138" s="400"/>
      <c r="H138" s="401">
        <v>304.0</v>
      </c>
      <c r="I138" s="408"/>
    </row>
    <row r="139" ht="12.75" customHeight="1">
      <c r="A139" s="399">
        <v>38.0</v>
      </c>
      <c r="B139" s="321"/>
      <c r="C139" s="321" t="s">
        <v>1639</v>
      </c>
      <c r="D139" s="321" t="s">
        <v>1640</v>
      </c>
      <c r="E139" s="400"/>
      <c r="F139" s="400"/>
      <c r="G139" s="400"/>
      <c r="H139" s="401">
        <v>304.0</v>
      </c>
      <c r="I139" s="394"/>
    </row>
    <row r="140" ht="12.75" customHeight="1">
      <c r="A140" s="399">
        <v>39.0</v>
      </c>
      <c r="B140" s="321" t="s">
        <v>107</v>
      </c>
      <c r="C140" s="321" t="s">
        <v>312</v>
      </c>
      <c r="D140" s="321" t="s">
        <v>1640</v>
      </c>
      <c r="E140" s="400" t="s">
        <v>1784</v>
      </c>
      <c r="F140" s="400"/>
      <c r="G140" s="400" t="s">
        <v>1784</v>
      </c>
      <c r="H140" s="401">
        <v>310.0</v>
      </c>
      <c r="I140" s="394"/>
    </row>
    <row r="141" ht="12.75" customHeight="1">
      <c r="A141" s="399">
        <v>40.0</v>
      </c>
      <c r="B141" s="321" t="s">
        <v>105</v>
      </c>
      <c r="C141" s="321" t="s">
        <v>49</v>
      </c>
      <c r="D141" s="321" t="s">
        <v>1640</v>
      </c>
      <c r="E141" s="400" t="s">
        <v>1785</v>
      </c>
      <c r="F141" s="400" t="s">
        <v>1786</v>
      </c>
      <c r="G141" s="400" t="s">
        <v>1734</v>
      </c>
      <c r="H141" s="401">
        <v>311.0</v>
      </c>
      <c r="I141" s="408" t="s">
        <v>1787</v>
      </c>
    </row>
    <row r="142" ht="12.75" customHeight="1">
      <c r="A142" s="399">
        <v>41.0</v>
      </c>
      <c r="B142" s="321" t="s">
        <v>106</v>
      </c>
      <c r="C142" s="321" t="s">
        <v>369</v>
      </c>
      <c r="D142" s="321" t="s">
        <v>1640</v>
      </c>
      <c r="E142" s="400" t="s">
        <v>1788</v>
      </c>
      <c r="F142" s="400"/>
      <c r="G142" s="400" t="s">
        <v>1788</v>
      </c>
      <c r="H142" s="401">
        <v>317.0</v>
      </c>
      <c r="I142" s="408"/>
    </row>
    <row r="143" ht="12.75" customHeight="1">
      <c r="A143" s="399">
        <v>42.0</v>
      </c>
      <c r="B143" s="321" t="s">
        <v>105</v>
      </c>
      <c r="C143" s="321" t="s">
        <v>372</v>
      </c>
      <c r="D143" s="321" t="s">
        <v>1640</v>
      </c>
      <c r="E143" s="400" t="s">
        <v>1789</v>
      </c>
      <c r="F143" s="400"/>
      <c r="G143" s="400" t="s">
        <v>1789</v>
      </c>
      <c r="H143" s="401">
        <v>322.0</v>
      </c>
      <c r="I143" s="394"/>
    </row>
    <row r="144" ht="12.75" customHeight="1">
      <c r="A144" s="399">
        <v>42.0</v>
      </c>
      <c r="B144" s="321" t="s">
        <v>453</v>
      </c>
      <c r="C144" s="321" t="s">
        <v>1790</v>
      </c>
      <c r="D144" s="321" t="s">
        <v>1640</v>
      </c>
      <c r="E144" s="400" t="s">
        <v>1791</v>
      </c>
      <c r="F144" s="400"/>
      <c r="G144" s="400" t="s">
        <v>1791</v>
      </c>
      <c r="H144" s="401">
        <v>76.0</v>
      </c>
      <c r="I144" s="394"/>
    </row>
    <row r="145" ht="12.75" customHeight="1">
      <c r="A145" s="399">
        <v>42.0</v>
      </c>
      <c r="B145" s="321" t="s">
        <v>107</v>
      </c>
      <c r="C145" s="321" t="s">
        <v>372</v>
      </c>
      <c r="D145" s="321" t="s">
        <v>1640</v>
      </c>
      <c r="E145" s="400" t="s">
        <v>1792</v>
      </c>
      <c r="F145" s="400" t="s">
        <v>1793</v>
      </c>
      <c r="G145" s="400" t="s">
        <v>1794</v>
      </c>
      <c r="H145" s="401">
        <v>81.0</v>
      </c>
      <c r="I145" s="394"/>
    </row>
    <row r="146" ht="12.75" customHeight="1">
      <c r="A146" s="399">
        <v>42.0</v>
      </c>
      <c r="B146" s="321" t="s">
        <v>108</v>
      </c>
      <c r="C146" s="321" t="s">
        <v>372</v>
      </c>
      <c r="D146" s="321" t="s">
        <v>1640</v>
      </c>
      <c r="E146" s="400" t="s">
        <v>1795</v>
      </c>
      <c r="F146" s="400"/>
      <c r="G146" s="400" t="s">
        <v>1795</v>
      </c>
      <c r="H146" s="401">
        <v>90.0</v>
      </c>
      <c r="I146" s="394"/>
    </row>
    <row r="147" ht="12.75" customHeight="1">
      <c r="A147" s="399">
        <v>42.0</v>
      </c>
      <c r="B147" s="321" t="s">
        <v>108</v>
      </c>
      <c r="C147" s="321" t="s">
        <v>402</v>
      </c>
      <c r="D147" s="321" t="s">
        <v>1640</v>
      </c>
      <c r="E147" s="400" t="s">
        <v>1796</v>
      </c>
      <c r="F147" s="400"/>
      <c r="G147" s="400" t="s">
        <v>1796</v>
      </c>
      <c r="H147" s="401">
        <v>107.0</v>
      </c>
      <c r="I147" s="408"/>
    </row>
    <row r="148" ht="12.75" customHeight="1">
      <c r="A148" s="399">
        <v>42.0</v>
      </c>
      <c r="B148" s="321" t="s">
        <v>109</v>
      </c>
      <c r="C148" s="321" t="s">
        <v>402</v>
      </c>
      <c r="D148" s="321" t="s">
        <v>1640</v>
      </c>
      <c r="E148" s="400" t="s">
        <v>1797</v>
      </c>
      <c r="F148" s="400"/>
      <c r="G148" s="400" t="s">
        <v>1797</v>
      </c>
      <c r="H148" s="401">
        <v>117.0</v>
      </c>
      <c r="I148" s="394"/>
    </row>
    <row r="149" ht="12.75" customHeight="1">
      <c r="A149" s="399">
        <v>42.0</v>
      </c>
      <c r="B149" s="321" t="s">
        <v>105</v>
      </c>
      <c r="C149" s="321" t="s">
        <v>40</v>
      </c>
      <c r="D149" s="321" t="s">
        <v>1640</v>
      </c>
      <c r="E149" s="400" t="s">
        <v>1798</v>
      </c>
      <c r="F149" s="400" t="s">
        <v>1799</v>
      </c>
      <c r="G149" s="400" t="s">
        <v>1800</v>
      </c>
      <c r="H149" s="401">
        <v>121.0</v>
      </c>
      <c r="I149" s="394"/>
    </row>
    <row r="150" ht="12.75" customHeight="1">
      <c r="A150" s="399">
        <v>42.0</v>
      </c>
      <c r="B150" s="321" t="s">
        <v>107</v>
      </c>
      <c r="C150" s="321" t="s">
        <v>40</v>
      </c>
      <c r="D150" s="321" t="s">
        <v>1640</v>
      </c>
      <c r="E150" s="400" t="s">
        <v>1801</v>
      </c>
      <c r="F150" s="400"/>
      <c r="G150" s="400" t="s">
        <v>1801</v>
      </c>
      <c r="H150" s="401">
        <v>127.0</v>
      </c>
      <c r="I150" s="394"/>
    </row>
    <row r="151" ht="12.75" customHeight="1">
      <c r="A151" s="399">
        <v>42.0</v>
      </c>
      <c r="B151" s="321" t="s">
        <v>105</v>
      </c>
      <c r="C151" s="321" t="s">
        <v>42</v>
      </c>
      <c r="D151" s="321" t="s">
        <v>1640</v>
      </c>
      <c r="E151" s="400" t="s">
        <v>1802</v>
      </c>
      <c r="F151" s="400"/>
      <c r="G151" s="400" t="s">
        <v>1802</v>
      </c>
      <c r="H151" s="401">
        <v>132.0</v>
      </c>
      <c r="I151" s="408"/>
    </row>
    <row r="152" ht="12.75" customHeight="1">
      <c r="A152" s="399">
        <v>42.0</v>
      </c>
      <c r="B152" s="321" t="s">
        <v>107</v>
      </c>
      <c r="C152" s="321" t="s">
        <v>42</v>
      </c>
      <c r="D152" s="321" t="s">
        <v>1640</v>
      </c>
      <c r="E152" s="400" t="s">
        <v>1803</v>
      </c>
      <c r="F152" s="400"/>
      <c r="G152" s="400" t="s">
        <v>1803</v>
      </c>
      <c r="H152" s="401">
        <v>137.0</v>
      </c>
      <c r="I152" s="408"/>
    </row>
    <row r="153" ht="12.75" customHeight="1">
      <c r="A153" s="399">
        <v>43.0</v>
      </c>
      <c r="B153" s="321"/>
      <c r="C153" s="321" t="s">
        <v>1639</v>
      </c>
      <c r="D153" s="321" t="s">
        <v>1640</v>
      </c>
      <c r="E153" s="400"/>
      <c r="F153" s="400"/>
      <c r="G153" s="400"/>
      <c r="H153" s="401">
        <v>137.0</v>
      </c>
      <c r="I153" s="394"/>
    </row>
    <row r="154" ht="12.75" customHeight="1">
      <c r="A154" s="399">
        <v>44.0</v>
      </c>
      <c r="B154" s="321"/>
      <c r="C154" s="321" t="s">
        <v>1639</v>
      </c>
      <c r="D154" s="321" t="s">
        <v>1640</v>
      </c>
      <c r="E154" s="400"/>
      <c r="F154" s="400"/>
      <c r="G154" s="400"/>
      <c r="H154" s="401">
        <v>137.0</v>
      </c>
      <c r="I154" s="408"/>
    </row>
    <row r="155" ht="12.75" customHeight="1">
      <c r="A155" s="399">
        <v>45.0</v>
      </c>
      <c r="B155" s="321"/>
      <c r="C155" s="321" t="s">
        <v>1639</v>
      </c>
      <c r="D155" s="321" t="s">
        <v>1640</v>
      </c>
      <c r="E155" s="400"/>
      <c r="F155" s="400"/>
      <c r="G155" s="400"/>
      <c r="H155" s="401">
        <v>137.0</v>
      </c>
      <c r="I155" s="408"/>
    </row>
    <row r="156" ht="12.75" customHeight="1">
      <c r="A156" s="399">
        <v>46.0</v>
      </c>
      <c r="B156" s="321" t="s">
        <v>107</v>
      </c>
      <c r="C156" s="321" t="s">
        <v>311</v>
      </c>
      <c r="D156" s="321" t="s">
        <v>1640</v>
      </c>
      <c r="E156" s="400" t="s">
        <v>1804</v>
      </c>
      <c r="F156" s="400" t="s">
        <v>1805</v>
      </c>
      <c r="G156" s="400" t="s">
        <v>1806</v>
      </c>
      <c r="H156" s="401">
        <v>146.0</v>
      </c>
      <c r="I156" s="408" t="s">
        <v>1807</v>
      </c>
    </row>
    <row r="157" ht="12.75" customHeight="1">
      <c r="A157" s="399">
        <v>47.0</v>
      </c>
      <c r="B157" s="321" t="s">
        <v>106</v>
      </c>
      <c r="C157" s="321" t="s">
        <v>403</v>
      </c>
      <c r="D157" s="321" t="s">
        <v>1640</v>
      </c>
      <c r="E157" s="400" t="s">
        <v>1808</v>
      </c>
      <c r="F157" s="400"/>
      <c r="G157" s="400" t="s">
        <v>1808</v>
      </c>
      <c r="H157" s="401">
        <v>152.0</v>
      </c>
      <c r="I157" s="408"/>
    </row>
    <row r="158" ht="12.75" customHeight="1">
      <c r="A158" s="399">
        <v>48.0</v>
      </c>
      <c r="B158" s="321" t="s">
        <v>106</v>
      </c>
      <c r="C158" s="321" t="s">
        <v>369</v>
      </c>
      <c r="D158" s="321" t="s">
        <v>1640</v>
      </c>
      <c r="E158" s="400" t="s">
        <v>1809</v>
      </c>
      <c r="F158" s="400"/>
      <c r="G158" s="400" t="s">
        <v>1809</v>
      </c>
      <c r="H158" s="401">
        <v>159.0</v>
      </c>
      <c r="I158" s="394"/>
    </row>
    <row r="159" ht="12.75" customHeight="1">
      <c r="A159" s="399">
        <v>49.0</v>
      </c>
      <c r="B159" s="321" t="s">
        <v>107</v>
      </c>
      <c r="C159" s="321" t="s">
        <v>310</v>
      </c>
      <c r="D159" s="321" t="s">
        <v>1640</v>
      </c>
      <c r="E159" s="400" t="s">
        <v>1810</v>
      </c>
      <c r="F159" s="400"/>
      <c r="G159" s="400" t="s">
        <v>1810</v>
      </c>
      <c r="H159" s="401">
        <v>169.0</v>
      </c>
      <c r="I159" s="394"/>
    </row>
    <row r="160" ht="12.75" customHeight="1">
      <c r="A160" s="399">
        <v>49.0</v>
      </c>
      <c r="B160" s="321" t="s">
        <v>107</v>
      </c>
      <c r="C160" s="321" t="s">
        <v>312</v>
      </c>
      <c r="D160" s="321" t="s">
        <v>1640</v>
      </c>
      <c r="E160" s="400" t="s">
        <v>1811</v>
      </c>
      <c r="F160" s="400" t="s">
        <v>1812</v>
      </c>
      <c r="G160" s="400" t="s">
        <v>1813</v>
      </c>
      <c r="H160" s="401">
        <v>176.0</v>
      </c>
      <c r="I160" s="408" t="s">
        <v>1814</v>
      </c>
    </row>
    <row r="161" ht="12.75" customHeight="1">
      <c r="A161" s="399">
        <v>49.0</v>
      </c>
      <c r="B161" s="321" t="s">
        <v>107</v>
      </c>
      <c r="C161" s="321" t="s">
        <v>46</v>
      </c>
      <c r="D161" s="321" t="s">
        <v>1640</v>
      </c>
      <c r="E161" s="400" t="s">
        <v>1815</v>
      </c>
      <c r="F161" s="400"/>
      <c r="G161" s="400" t="s">
        <v>1815</v>
      </c>
      <c r="H161" s="401">
        <v>184.0</v>
      </c>
      <c r="I161" s="408"/>
    </row>
    <row r="162" ht="12.75" customHeight="1">
      <c r="A162" s="399">
        <v>49.0</v>
      </c>
      <c r="B162" s="321" t="s">
        <v>105</v>
      </c>
      <c r="C162" s="321" t="s">
        <v>372</v>
      </c>
      <c r="D162" s="321" t="s">
        <v>1640</v>
      </c>
      <c r="E162" s="400" t="s">
        <v>1816</v>
      </c>
      <c r="F162" s="400"/>
      <c r="G162" s="400" t="s">
        <v>1816</v>
      </c>
      <c r="H162" s="401">
        <v>188.0</v>
      </c>
      <c r="I162" s="394"/>
    </row>
    <row r="163" ht="12.75" customHeight="1">
      <c r="A163" s="399">
        <v>49.0</v>
      </c>
      <c r="B163" s="321" t="s">
        <v>107</v>
      </c>
      <c r="C163" s="321" t="s">
        <v>372</v>
      </c>
      <c r="D163" s="321" t="s">
        <v>1640</v>
      </c>
      <c r="E163" s="400" t="s">
        <v>1817</v>
      </c>
      <c r="F163" s="400"/>
      <c r="G163" s="400" t="s">
        <v>1817</v>
      </c>
      <c r="H163" s="401">
        <v>197.0</v>
      </c>
      <c r="I163" s="394"/>
    </row>
    <row r="164" ht="12.75" customHeight="1">
      <c r="A164" s="399">
        <v>49.0</v>
      </c>
      <c r="B164" s="321" t="s">
        <v>108</v>
      </c>
      <c r="C164" s="321" t="s">
        <v>372</v>
      </c>
      <c r="D164" s="321" t="s">
        <v>1640</v>
      </c>
      <c r="E164" s="400" t="s">
        <v>1818</v>
      </c>
      <c r="F164" s="400" t="s">
        <v>1819</v>
      </c>
      <c r="G164" s="400" t="s">
        <v>1820</v>
      </c>
      <c r="H164" s="401">
        <v>205.0</v>
      </c>
      <c r="I164" s="408" t="s">
        <v>1821</v>
      </c>
    </row>
    <row r="165" ht="12.75" customHeight="1">
      <c r="A165" s="399">
        <v>49.0</v>
      </c>
      <c r="B165" s="321" t="s">
        <v>108</v>
      </c>
      <c r="C165" s="321" t="s">
        <v>402</v>
      </c>
      <c r="D165" s="321" t="s">
        <v>1640</v>
      </c>
      <c r="E165" s="400" t="s">
        <v>1822</v>
      </c>
      <c r="F165" s="400"/>
      <c r="G165" s="400" t="s">
        <v>1822</v>
      </c>
      <c r="H165" s="401">
        <v>214.0</v>
      </c>
      <c r="I165" s="394"/>
    </row>
    <row r="166" ht="12.75" customHeight="1">
      <c r="A166" s="399">
        <v>49.0</v>
      </c>
      <c r="B166" s="321" t="s">
        <v>109</v>
      </c>
      <c r="C166" s="321" t="s">
        <v>402</v>
      </c>
      <c r="D166" s="321" t="s">
        <v>1640</v>
      </c>
      <c r="E166" s="400" t="s">
        <v>1823</v>
      </c>
      <c r="F166" s="400"/>
      <c r="G166" s="400" t="s">
        <v>1823</v>
      </c>
      <c r="H166" s="401">
        <v>222.0</v>
      </c>
      <c r="I166" s="408"/>
    </row>
    <row r="167" ht="12.75" customHeight="1">
      <c r="A167" s="399">
        <v>49.0</v>
      </c>
      <c r="B167" s="321" t="s">
        <v>106</v>
      </c>
      <c r="C167" s="321" t="s">
        <v>403</v>
      </c>
      <c r="D167" s="321" t="s">
        <v>1640</v>
      </c>
      <c r="E167" s="400" t="s">
        <v>1824</v>
      </c>
      <c r="F167" s="400"/>
      <c r="G167" s="400" t="s">
        <v>1824</v>
      </c>
      <c r="H167" s="401">
        <v>229.0</v>
      </c>
      <c r="I167" s="394"/>
    </row>
    <row r="168" ht="12.75" customHeight="1">
      <c r="A168" s="399">
        <v>49.0</v>
      </c>
      <c r="B168" s="321" t="s">
        <v>106</v>
      </c>
      <c r="C168" s="321" t="s">
        <v>189</v>
      </c>
      <c r="D168" s="321" t="s">
        <v>1640</v>
      </c>
      <c r="E168" s="400" t="s">
        <v>1825</v>
      </c>
      <c r="F168" s="400" t="s">
        <v>1826</v>
      </c>
      <c r="G168" s="400" t="s">
        <v>1827</v>
      </c>
      <c r="H168" s="401">
        <v>232.0</v>
      </c>
      <c r="I168" s="408" t="s">
        <v>1828</v>
      </c>
    </row>
    <row r="169" ht="12.75" customHeight="1">
      <c r="A169" s="399">
        <v>49.0</v>
      </c>
      <c r="B169" s="321" t="s">
        <v>106</v>
      </c>
      <c r="C169" s="321" t="s">
        <v>407</v>
      </c>
      <c r="D169" s="321" t="s">
        <v>1829</v>
      </c>
      <c r="E169" s="400" t="s">
        <v>1830</v>
      </c>
      <c r="F169" s="400" t="s">
        <v>1830</v>
      </c>
      <c r="G169" s="400"/>
      <c r="H169" s="401">
        <v>232.0</v>
      </c>
      <c r="I169" s="394"/>
    </row>
    <row r="170" ht="12.75" customHeight="1">
      <c r="A170" s="399">
        <v>49.0</v>
      </c>
      <c r="B170" s="321" t="s">
        <v>106</v>
      </c>
      <c r="C170" s="321" t="s">
        <v>32</v>
      </c>
      <c r="D170" s="321" t="s">
        <v>1829</v>
      </c>
      <c r="E170" s="400" t="s">
        <v>1831</v>
      </c>
      <c r="F170" s="400" t="s">
        <v>1831</v>
      </c>
      <c r="G170" s="400"/>
      <c r="H170" s="401">
        <v>232.0</v>
      </c>
      <c r="I170" s="394"/>
    </row>
    <row r="171" ht="12.75" customHeight="1">
      <c r="A171" s="399">
        <v>49.0</v>
      </c>
      <c r="B171" s="321" t="s">
        <v>105</v>
      </c>
      <c r="C171" s="321" t="s">
        <v>49</v>
      </c>
      <c r="D171" s="321" t="s">
        <v>1829</v>
      </c>
      <c r="E171" s="400" t="s">
        <v>1832</v>
      </c>
      <c r="F171" s="400" t="s">
        <v>1832</v>
      </c>
      <c r="G171" s="400"/>
      <c r="H171" s="401">
        <v>232.0</v>
      </c>
      <c r="I171" s="394"/>
    </row>
    <row r="172" ht="12.75" customHeight="1">
      <c r="A172" s="399">
        <v>49.0</v>
      </c>
      <c r="B172" s="321" t="s">
        <v>105</v>
      </c>
      <c r="C172" s="321" t="s">
        <v>40</v>
      </c>
      <c r="D172" s="321" t="s">
        <v>1829</v>
      </c>
      <c r="E172" s="400" t="s">
        <v>1833</v>
      </c>
      <c r="F172" s="400" t="s">
        <v>1833</v>
      </c>
      <c r="G172" s="400"/>
      <c r="H172" s="401">
        <v>232.0</v>
      </c>
      <c r="I172" s="394"/>
    </row>
    <row r="173" ht="12.75" customHeight="1">
      <c r="A173" s="399">
        <v>49.0</v>
      </c>
      <c r="B173" s="321" t="s">
        <v>107</v>
      </c>
      <c r="C173" s="321" t="s">
        <v>40</v>
      </c>
      <c r="D173" s="321" t="s">
        <v>1829</v>
      </c>
      <c r="E173" s="400" t="s">
        <v>1834</v>
      </c>
      <c r="F173" s="400" t="s">
        <v>1835</v>
      </c>
      <c r="G173" s="400" t="s">
        <v>1836</v>
      </c>
      <c r="H173" s="401">
        <v>234.0</v>
      </c>
      <c r="I173" s="394"/>
    </row>
    <row r="174" ht="12.75" customHeight="1">
      <c r="A174" s="399">
        <v>49.0</v>
      </c>
      <c r="B174" s="321" t="s">
        <v>105</v>
      </c>
      <c r="C174" s="321" t="s">
        <v>42</v>
      </c>
      <c r="D174" s="321" t="s">
        <v>1829</v>
      </c>
      <c r="E174" s="400" t="s">
        <v>1837</v>
      </c>
      <c r="F174" s="400" t="s">
        <v>1838</v>
      </c>
      <c r="G174" s="400" t="s">
        <v>1730</v>
      </c>
      <c r="H174" s="401">
        <v>237.0</v>
      </c>
      <c r="I174" s="394"/>
    </row>
    <row r="175" ht="12.75" customHeight="1">
      <c r="A175" s="399">
        <v>49.0</v>
      </c>
      <c r="B175" s="321" t="s">
        <v>107</v>
      </c>
      <c r="C175" s="321" t="s">
        <v>42</v>
      </c>
      <c r="D175" s="321" t="s">
        <v>1829</v>
      </c>
      <c r="E175" s="400" t="s">
        <v>1839</v>
      </c>
      <c r="F175" s="400" t="s">
        <v>1840</v>
      </c>
      <c r="G175" s="400" t="s">
        <v>1724</v>
      </c>
      <c r="H175" s="401">
        <v>238.0</v>
      </c>
      <c r="I175" s="394"/>
    </row>
    <row r="176" ht="12.75" customHeight="1">
      <c r="A176" s="399"/>
      <c r="B176" s="321"/>
      <c r="C176" s="321"/>
      <c r="D176" s="321"/>
      <c r="E176" s="400"/>
      <c r="F176" s="400"/>
      <c r="G176" s="400"/>
      <c r="H176" s="401"/>
      <c r="I176" s="394"/>
    </row>
    <row r="177" ht="12.75" customHeight="1">
      <c r="A177" s="399"/>
      <c r="B177" s="321"/>
      <c r="C177" s="321"/>
      <c r="D177" s="321"/>
      <c r="E177" s="400"/>
      <c r="F177" s="400"/>
      <c r="G177" s="400"/>
      <c r="H177" s="401"/>
      <c r="I177" s="394"/>
    </row>
    <row r="178" ht="12.75" customHeight="1">
      <c r="A178" s="399"/>
      <c r="B178" s="321"/>
      <c r="C178" s="321"/>
      <c r="D178" s="321"/>
      <c r="E178" s="400"/>
      <c r="F178" s="400"/>
      <c r="G178" s="400"/>
      <c r="H178" s="401"/>
      <c r="I178" s="394"/>
    </row>
    <row r="179" ht="12.75" customHeight="1">
      <c r="A179" s="399"/>
      <c r="B179" s="321"/>
      <c r="C179" s="321"/>
      <c r="D179" s="321"/>
      <c r="E179" s="400"/>
      <c r="F179" s="400"/>
      <c r="G179" s="400"/>
      <c r="H179" s="401"/>
      <c r="I179" s="394"/>
    </row>
    <row r="180" ht="12.75" customHeight="1">
      <c r="A180" s="399"/>
      <c r="B180" s="321"/>
      <c r="C180" s="321"/>
      <c r="D180" s="321"/>
      <c r="E180" s="400"/>
      <c r="F180" s="400"/>
      <c r="G180" s="400"/>
      <c r="H180" s="401"/>
      <c r="I180" s="394"/>
    </row>
    <row r="181" ht="12.75" customHeight="1">
      <c r="A181" s="359"/>
      <c r="B181" s="359"/>
      <c r="C181" s="359"/>
      <c r="D181" s="359"/>
      <c r="E181" s="400"/>
      <c r="F181" s="400"/>
      <c r="G181" s="400"/>
      <c r="H181" s="401"/>
      <c r="I181" s="394"/>
    </row>
    <row r="182" ht="12.75" customHeight="1">
      <c r="A182" s="359"/>
      <c r="B182" s="359"/>
      <c r="C182" s="359"/>
      <c r="D182" s="359"/>
      <c r="E182" s="400"/>
      <c r="F182" s="400"/>
      <c r="G182" s="400"/>
      <c r="H182" s="401"/>
      <c r="I182" s="394"/>
    </row>
    <row r="183" ht="12.75" customHeight="1">
      <c r="A183" s="359"/>
      <c r="B183" s="359"/>
      <c r="C183" s="359"/>
      <c r="D183" s="359"/>
      <c r="E183" s="400"/>
      <c r="F183" s="400"/>
      <c r="G183" s="400"/>
      <c r="H183" s="401"/>
      <c r="I183" s="394"/>
    </row>
    <row r="184" ht="12.75" customHeight="1">
      <c r="A184" s="359"/>
      <c r="B184" s="359"/>
      <c r="C184" s="359"/>
      <c r="D184" s="359"/>
      <c r="E184" s="400"/>
      <c r="F184" s="400"/>
      <c r="G184" s="400"/>
      <c r="H184" s="401"/>
      <c r="I184" s="394"/>
    </row>
    <row r="185" ht="12.75" customHeight="1">
      <c r="A185" s="359"/>
      <c r="B185" s="359"/>
      <c r="C185" s="359"/>
      <c r="D185" s="359"/>
      <c r="E185" s="400"/>
      <c r="F185" s="400"/>
      <c r="G185" s="400"/>
      <c r="H185" s="401"/>
      <c r="I185" s="394"/>
    </row>
    <row r="186" ht="12.75" customHeight="1">
      <c r="A186" s="359"/>
      <c r="B186" s="359"/>
      <c r="C186" s="359"/>
      <c r="D186" s="359"/>
      <c r="E186" s="400"/>
      <c r="F186" s="400"/>
      <c r="G186" s="400"/>
      <c r="H186" s="401"/>
      <c r="I186" s="394"/>
    </row>
    <row r="187" ht="12.75" customHeight="1">
      <c r="A187" s="359"/>
      <c r="B187" s="359"/>
      <c r="C187" s="359"/>
      <c r="D187" s="359"/>
      <c r="E187" s="400"/>
      <c r="F187" s="400"/>
      <c r="G187" s="400"/>
      <c r="H187" s="401"/>
      <c r="I187" s="394"/>
    </row>
    <row r="188" ht="12.75" customHeight="1">
      <c r="A188" s="359"/>
      <c r="B188" s="359"/>
      <c r="C188" s="359"/>
      <c r="D188" s="359"/>
      <c r="E188" s="400"/>
      <c r="F188" s="400"/>
      <c r="G188" s="400"/>
      <c r="H188" s="401"/>
      <c r="I188" s="394"/>
    </row>
    <row r="189" ht="12.75" customHeight="1">
      <c r="A189" s="359"/>
      <c r="B189" s="359"/>
      <c r="C189" s="359"/>
      <c r="D189" s="359"/>
      <c r="E189" s="400"/>
      <c r="F189" s="400"/>
      <c r="G189" s="400"/>
      <c r="H189" s="401"/>
      <c r="I189" s="394"/>
    </row>
    <row r="190" ht="12.75" customHeight="1">
      <c r="A190" s="359"/>
      <c r="B190" s="359"/>
      <c r="C190" s="359"/>
      <c r="D190" s="359"/>
      <c r="E190" s="400"/>
      <c r="F190" s="400"/>
      <c r="G190" s="400"/>
      <c r="H190" s="401"/>
      <c r="I190" s="394"/>
    </row>
    <row r="191" ht="12.75" customHeight="1">
      <c r="I191" s="394"/>
    </row>
    <row r="192">
      <c r="I192" s="394"/>
    </row>
    <row r="193">
      <c r="I193" s="394"/>
    </row>
    <row r="194">
      <c r="I194" s="394"/>
    </row>
    <row r="195">
      <c r="I195" s="394"/>
    </row>
    <row r="196">
      <c r="I196" s="394"/>
    </row>
    <row r="197">
      <c r="I197" s="394"/>
    </row>
    <row r="198">
      <c r="I198" s="394"/>
    </row>
    <row r="199">
      <c r="I199" s="394"/>
    </row>
    <row r="200">
      <c r="I200" s="394"/>
    </row>
    <row r="201">
      <c r="I201" s="394"/>
    </row>
    <row r="202">
      <c r="I202" s="394"/>
    </row>
    <row r="203">
      <c r="I203" s="394"/>
    </row>
    <row r="204">
      <c r="I204" s="394"/>
    </row>
    <row r="205">
      <c r="I205" s="394"/>
    </row>
    <row r="206">
      <c r="I206" s="394"/>
    </row>
    <row r="207">
      <c r="I207" s="394"/>
    </row>
    <row r="208">
      <c r="I208" s="394"/>
    </row>
    <row r="209">
      <c r="I209" s="394"/>
    </row>
    <row r="210">
      <c r="I210" s="394"/>
    </row>
    <row r="211">
      <c r="I211" s="394"/>
    </row>
    <row r="212">
      <c r="I212" s="394"/>
    </row>
    <row r="213">
      <c r="I213" s="394"/>
    </row>
    <row r="214">
      <c r="I214" s="394"/>
    </row>
    <row r="215">
      <c r="I215" s="394"/>
    </row>
    <row r="216">
      <c r="I216" s="394"/>
    </row>
    <row r="217">
      <c r="I217" s="394"/>
    </row>
    <row r="218">
      <c r="I218" s="394"/>
    </row>
    <row r="219">
      <c r="I219" s="394"/>
    </row>
    <row r="220">
      <c r="I220" s="394"/>
    </row>
    <row r="221">
      <c r="I221" s="394"/>
    </row>
    <row r="222">
      <c r="I222" s="394"/>
    </row>
    <row r="223">
      <c r="I223" s="394"/>
    </row>
    <row r="224">
      <c r="I224" s="394"/>
    </row>
    <row r="225">
      <c r="I225" s="394"/>
    </row>
    <row r="226">
      <c r="I226" s="394"/>
    </row>
    <row r="227">
      <c r="I227" s="394"/>
    </row>
    <row r="228">
      <c r="I228" s="394"/>
    </row>
    <row r="229">
      <c r="I229" s="394"/>
    </row>
    <row r="230">
      <c r="I230" s="394"/>
    </row>
    <row r="231">
      <c r="I231" s="394"/>
    </row>
    <row r="232">
      <c r="I232" s="394"/>
    </row>
    <row r="233">
      <c r="I233" s="394"/>
    </row>
    <row r="234">
      <c r="I234" s="394"/>
    </row>
    <row r="235">
      <c r="I235" s="394"/>
    </row>
    <row r="236">
      <c r="I236" s="394"/>
    </row>
    <row r="237" ht="12.75" customHeight="1">
      <c r="I237" s="394"/>
    </row>
    <row r="238" ht="12.75" customHeight="1">
      <c r="I238" s="394"/>
    </row>
    <row r="239" ht="12.75" customHeight="1">
      <c r="I239" s="394"/>
    </row>
    <row r="240" ht="12.75" customHeight="1">
      <c r="I240" s="394"/>
    </row>
    <row r="241" ht="12.75" customHeight="1">
      <c r="I241" s="394"/>
    </row>
    <row r="242" ht="12.75" customHeight="1">
      <c r="I242" s="394"/>
    </row>
    <row r="243" ht="12.75" customHeight="1">
      <c r="I243" s="394"/>
    </row>
    <row r="244" ht="12.75" customHeight="1">
      <c r="I244" s="394"/>
    </row>
    <row r="245" ht="12.75" customHeight="1">
      <c r="I245" s="394"/>
    </row>
    <row r="246" ht="12.75" customHeight="1">
      <c r="I246" s="394"/>
    </row>
    <row r="247" ht="12.75" customHeight="1">
      <c r="I247" s="394"/>
    </row>
    <row r="248" ht="12.75" customHeight="1">
      <c r="I248" s="394"/>
    </row>
    <row r="249" ht="12.75" customHeight="1">
      <c r="I249" s="394"/>
    </row>
    <row r="250" ht="12.75" customHeight="1">
      <c r="I250" s="394"/>
    </row>
    <row r="251" ht="12.75" customHeight="1">
      <c r="I251" s="394"/>
    </row>
    <row r="252" ht="12.75" customHeight="1">
      <c r="I252" s="394"/>
    </row>
    <row r="253" ht="12.75" customHeight="1">
      <c r="I253" s="394"/>
    </row>
    <row r="254" ht="12.75" customHeight="1">
      <c r="I254" s="394"/>
    </row>
    <row r="255" ht="12.75" customHeight="1">
      <c r="I255" s="394"/>
    </row>
    <row r="256" ht="12.75" customHeight="1">
      <c r="I256" s="394"/>
    </row>
    <row r="257" ht="12.75" customHeight="1">
      <c r="I257" s="394"/>
    </row>
    <row r="258" ht="12.75" customHeight="1">
      <c r="I258" s="394"/>
    </row>
    <row r="259" ht="12.75" customHeight="1">
      <c r="I259" s="394"/>
    </row>
    <row r="260" ht="12.75" customHeight="1">
      <c r="I260" s="394"/>
    </row>
    <row r="261" ht="12.75" customHeight="1">
      <c r="I261" s="394"/>
    </row>
    <row r="262" ht="12.75" customHeight="1">
      <c r="I262" s="394"/>
    </row>
    <row r="263" ht="12.75" customHeight="1">
      <c r="I263" s="394"/>
    </row>
    <row r="264" ht="12.75" customHeight="1">
      <c r="I264" s="394"/>
    </row>
    <row r="265" ht="12.75" customHeight="1">
      <c r="I265" s="394"/>
    </row>
    <row r="266" ht="12.75" customHeight="1">
      <c r="I266" s="394"/>
    </row>
    <row r="267" ht="12.75" customHeight="1">
      <c r="I267" s="394"/>
    </row>
    <row r="268" ht="12.75" customHeight="1">
      <c r="I268" s="394"/>
    </row>
    <row r="269" ht="12.75" customHeight="1">
      <c r="I269" s="394"/>
    </row>
    <row r="270" ht="12.75" customHeight="1">
      <c r="I270" s="394"/>
    </row>
    <row r="271" ht="12.75" customHeight="1">
      <c r="I271" s="394"/>
    </row>
    <row r="272" ht="12.75" customHeight="1">
      <c r="I272" s="394"/>
    </row>
    <row r="273" ht="12.75" customHeight="1">
      <c r="I273" s="394"/>
    </row>
    <row r="274" ht="12.75" customHeight="1">
      <c r="I274" s="394"/>
    </row>
    <row r="275" ht="12.75" customHeight="1">
      <c r="I275" s="394"/>
    </row>
    <row r="276" ht="12.75" customHeight="1">
      <c r="I276" s="394"/>
    </row>
    <row r="277" ht="12.75" customHeight="1">
      <c r="I277" s="394"/>
    </row>
    <row r="278" ht="12.75" customHeight="1">
      <c r="I278" s="394"/>
    </row>
    <row r="279" ht="12.75" customHeight="1">
      <c r="I279" s="394"/>
    </row>
    <row r="280" ht="12.75" customHeight="1">
      <c r="I280" s="394"/>
    </row>
    <row r="281" ht="12.75" customHeight="1">
      <c r="I281" s="394"/>
    </row>
    <row r="282" ht="12.75" customHeight="1">
      <c r="I282" s="394"/>
    </row>
    <row r="283" ht="12.75" customHeight="1">
      <c r="I283" s="394"/>
    </row>
    <row r="284" ht="12.75" customHeight="1">
      <c r="I284" s="394"/>
    </row>
    <row r="285" ht="12.75" customHeight="1">
      <c r="I285" s="394"/>
    </row>
    <row r="286" ht="12.75" customHeight="1">
      <c r="I286" s="394"/>
    </row>
    <row r="287" ht="12.75" customHeight="1">
      <c r="I287" s="394"/>
    </row>
    <row r="288" ht="12.75" customHeight="1">
      <c r="I288" s="394"/>
    </row>
    <row r="289" ht="12.75" customHeight="1">
      <c r="I289" s="394"/>
    </row>
    <row r="290" ht="12.75" customHeight="1">
      <c r="I290" s="394"/>
    </row>
    <row r="291" ht="12.75" customHeight="1">
      <c r="I291" s="394"/>
    </row>
    <row r="292" ht="12.75" customHeight="1">
      <c r="I292" s="394"/>
    </row>
    <row r="293" ht="12.75" customHeight="1">
      <c r="I293" s="394"/>
    </row>
    <row r="294" ht="12.75" customHeight="1">
      <c r="I294" s="394"/>
    </row>
    <row r="295" ht="12.75" customHeight="1">
      <c r="I295" s="394"/>
    </row>
    <row r="296" ht="12.75" customHeight="1">
      <c r="I296" s="394"/>
    </row>
    <row r="297" ht="12.75" customHeight="1">
      <c r="I297" s="394"/>
    </row>
    <row r="298" ht="12.75" customHeight="1">
      <c r="I298" s="394"/>
    </row>
    <row r="299" ht="12.75" customHeight="1">
      <c r="I299" s="394"/>
    </row>
    <row r="300" ht="12.75" customHeight="1">
      <c r="I300" s="394"/>
    </row>
    <row r="301" ht="12.75" customHeight="1">
      <c r="I301" s="394"/>
    </row>
    <row r="302" ht="12.75" customHeight="1">
      <c r="I302" s="394"/>
    </row>
    <row r="303" ht="12.75" customHeight="1">
      <c r="I303" s="394"/>
    </row>
    <row r="304" ht="12.75" customHeight="1">
      <c r="I304" s="394"/>
    </row>
    <row r="305" ht="12.75" customHeight="1">
      <c r="I305" s="394"/>
    </row>
    <row r="306" ht="12.75" customHeight="1">
      <c r="I306" s="394"/>
    </row>
    <row r="307" ht="12.75" customHeight="1">
      <c r="I307" s="394"/>
    </row>
    <row r="308" ht="12.75" customHeight="1">
      <c r="I308" s="394"/>
    </row>
    <row r="309" ht="12.75" customHeight="1">
      <c r="I309" s="394"/>
    </row>
    <row r="310" ht="12.75" customHeight="1">
      <c r="I310" s="394"/>
    </row>
    <row r="311" ht="12.75" customHeight="1">
      <c r="I311" s="394"/>
    </row>
    <row r="312" ht="12.75" customHeight="1">
      <c r="I312" s="394"/>
    </row>
    <row r="313" ht="12.75" customHeight="1">
      <c r="I313" s="394"/>
    </row>
    <row r="314" ht="12.75" customHeight="1">
      <c r="I314" s="394"/>
    </row>
    <row r="315" ht="12.75" customHeight="1">
      <c r="I315" s="394"/>
    </row>
    <row r="316" ht="12.75" customHeight="1">
      <c r="I316" s="394"/>
    </row>
    <row r="317" ht="12.75" customHeight="1">
      <c r="I317" s="394"/>
    </row>
    <row r="318" ht="12.75" customHeight="1">
      <c r="I318" s="394"/>
    </row>
    <row r="319" ht="12.75" customHeight="1">
      <c r="I319" s="394"/>
    </row>
    <row r="320" ht="12.75" customHeight="1">
      <c r="I320" s="394"/>
    </row>
    <row r="321" ht="12.75" customHeight="1">
      <c r="I321" s="394"/>
    </row>
    <row r="322" ht="12.75" customHeight="1">
      <c r="I322" s="394"/>
    </row>
    <row r="323" ht="12.75" customHeight="1">
      <c r="I323" s="394"/>
    </row>
    <row r="324" ht="12.75" customHeight="1">
      <c r="I324" s="394"/>
    </row>
    <row r="325" ht="12.75" customHeight="1">
      <c r="I325" s="394"/>
    </row>
    <row r="326" ht="12.75" customHeight="1">
      <c r="I326" s="394"/>
    </row>
    <row r="327" ht="12.75" customHeight="1">
      <c r="I327" s="394"/>
    </row>
    <row r="328" ht="12.75" customHeight="1">
      <c r="I328" s="394"/>
    </row>
    <row r="329" ht="12.75" customHeight="1">
      <c r="I329" s="394"/>
    </row>
    <row r="330" ht="12.75" customHeight="1">
      <c r="I330" s="394"/>
    </row>
    <row r="331" ht="12.75" customHeight="1">
      <c r="I331" s="394"/>
    </row>
    <row r="332" ht="12.75" customHeight="1">
      <c r="I332" s="394"/>
    </row>
    <row r="333" ht="12.75" customHeight="1">
      <c r="I333" s="394"/>
    </row>
    <row r="334" ht="12.75" customHeight="1">
      <c r="I334" s="394"/>
    </row>
    <row r="335" ht="12.75" customHeight="1">
      <c r="I335" s="394"/>
    </row>
    <row r="336" ht="12.75" customHeight="1">
      <c r="I336" s="394"/>
    </row>
    <row r="337" ht="12.75" customHeight="1">
      <c r="I337" s="394"/>
    </row>
    <row r="338" ht="12.75" customHeight="1">
      <c r="I338" s="394"/>
    </row>
    <row r="339" ht="12.75" customHeight="1">
      <c r="I339" s="394"/>
    </row>
    <row r="340" ht="12.75" customHeight="1">
      <c r="I340" s="394"/>
    </row>
    <row r="341" ht="12.75" customHeight="1">
      <c r="I341" s="394"/>
    </row>
    <row r="342" ht="12.75" customHeight="1">
      <c r="I342" s="394"/>
    </row>
    <row r="343" ht="12.75" customHeight="1">
      <c r="I343" s="394"/>
    </row>
    <row r="344" ht="12.75" customHeight="1">
      <c r="I344" s="394"/>
    </row>
    <row r="345" ht="12.75" customHeight="1">
      <c r="I345" s="394"/>
    </row>
    <row r="346" ht="12.75" customHeight="1">
      <c r="I346" s="394"/>
    </row>
    <row r="347" ht="12.75" customHeight="1">
      <c r="I347" s="394"/>
    </row>
    <row r="348" ht="12.75" customHeight="1">
      <c r="I348" s="394"/>
    </row>
    <row r="349" ht="12.75" customHeight="1">
      <c r="I349" s="394"/>
    </row>
    <row r="350" ht="12.75" customHeight="1">
      <c r="I350" s="394"/>
    </row>
    <row r="351" ht="12.75" customHeight="1">
      <c r="I351" s="394"/>
    </row>
    <row r="352" ht="12.75" customHeight="1">
      <c r="I352" s="394"/>
    </row>
    <row r="353" ht="12.75" customHeight="1">
      <c r="I353" s="394"/>
    </row>
    <row r="354" ht="12.75" customHeight="1">
      <c r="I354" s="394"/>
    </row>
    <row r="355" ht="12.75" customHeight="1">
      <c r="I355" s="394"/>
    </row>
    <row r="356" ht="12.75" customHeight="1">
      <c r="I356" s="394"/>
    </row>
    <row r="357" ht="12.75" customHeight="1">
      <c r="I357" s="394"/>
    </row>
    <row r="358" ht="12.75" customHeight="1">
      <c r="I358" s="394"/>
    </row>
    <row r="359" ht="12.75" customHeight="1">
      <c r="I359" s="394"/>
    </row>
    <row r="360" ht="12.75" customHeight="1">
      <c r="I360" s="394"/>
    </row>
    <row r="361" ht="12.75" customHeight="1">
      <c r="I361" s="394"/>
    </row>
    <row r="362" ht="12.75" customHeight="1">
      <c r="I362" s="394"/>
    </row>
    <row r="363" ht="12.75" customHeight="1">
      <c r="I363" s="394"/>
    </row>
    <row r="364" ht="12.75" customHeight="1">
      <c r="I364" s="394"/>
    </row>
    <row r="365" ht="12.75" customHeight="1">
      <c r="I365" s="394"/>
    </row>
    <row r="366" ht="12.75" customHeight="1">
      <c r="I366" s="394"/>
    </row>
    <row r="367" ht="12.75" customHeight="1">
      <c r="I367" s="394"/>
    </row>
    <row r="368" ht="12.75" customHeight="1">
      <c r="I368" s="394"/>
    </row>
    <row r="369" ht="12.75" customHeight="1">
      <c r="I369" s="394"/>
    </row>
    <row r="370" ht="12.75" customHeight="1">
      <c r="I370" s="394"/>
    </row>
    <row r="371" ht="12.75" customHeight="1">
      <c r="I371" s="394"/>
    </row>
    <row r="372" ht="12.75" customHeight="1">
      <c r="I372" s="394"/>
    </row>
    <row r="373" ht="12.75" customHeight="1">
      <c r="I373" s="394"/>
    </row>
    <row r="374" ht="12.75" customHeight="1">
      <c r="I374" s="394"/>
    </row>
    <row r="375" ht="12.75" customHeight="1">
      <c r="I375" s="394"/>
    </row>
    <row r="376" ht="12.75" customHeight="1">
      <c r="I376" s="394"/>
    </row>
    <row r="377" ht="12.75" customHeight="1">
      <c r="I377" s="394"/>
    </row>
    <row r="378" ht="12.75" customHeight="1">
      <c r="I378" s="394"/>
    </row>
    <row r="379" ht="12.75" customHeight="1">
      <c r="I379" s="394"/>
    </row>
    <row r="380" ht="12.75" customHeight="1">
      <c r="I380" s="394"/>
    </row>
    <row r="381" ht="12.75" customHeight="1">
      <c r="I381" s="394"/>
    </row>
    <row r="382" ht="12.75" customHeight="1">
      <c r="I382" s="394"/>
    </row>
    <row r="383" ht="12.75" customHeight="1">
      <c r="I383" s="394"/>
    </row>
    <row r="384" ht="12.75" customHeight="1">
      <c r="I384" s="394"/>
    </row>
    <row r="385" ht="12.75" customHeight="1">
      <c r="I385" s="394"/>
    </row>
    <row r="386" ht="12.75" customHeight="1">
      <c r="I386" s="394"/>
    </row>
    <row r="387" ht="12.75" customHeight="1">
      <c r="I387" s="394"/>
    </row>
    <row r="388" ht="12.75" customHeight="1">
      <c r="I388" s="394"/>
    </row>
    <row r="389" ht="12.75" customHeight="1">
      <c r="I389" s="394"/>
    </row>
    <row r="390" ht="12.75" customHeight="1">
      <c r="I390" s="394"/>
    </row>
    <row r="391" ht="12.75" customHeight="1">
      <c r="I391" s="394"/>
    </row>
    <row r="392" ht="12.75" customHeight="1">
      <c r="I392" s="394"/>
    </row>
    <row r="393" ht="12.75" customHeight="1">
      <c r="I393" s="394"/>
    </row>
    <row r="394" ht="12.75" customHeight="1">
      <c r="I394" s="394"/>
    </row>
    <row r="395" ht="12.75" customHeight="1">
      <c r="I395" s="394"/>
    </row>
    <row r="396" ht="12.75" customHeight="1">
      <c r="I396" s="394"/>
    </row>
    <row r="397" ht="12.75" customHeight="1">
      <c r="I397" s="394"/>
    </row>
    <row r="398" ht="12.75" customHeight="1">
      <c r="I398" s="394"/>
    </row>
    <row r="399" ht="12.75" customHeight="1">
      <c r="I399" s="394"/>
    </row>
    <row r="400" ht="12.75" customHeight="1">
      <c r="I400" s="394"/>
    </row>
    <row r="401" ht="12.75" customHeight="1">
      <c r="I401" s="394"/>
    </row>
    <row r="402" ht="12.75" customHeight="1">
      <c r="I402" s="394"/>
    </row>
    <row r="403" ht="12.75" customHeight="1">
      <c r="I403" s="394"/>
    </row>
    <row r="404" ht="12.75" customHeight="1">
      <c r="I404" s="394"/>
    </row>
    <row r="405" ht="12.75" customHeight="1">
      <c r="I405" s="394"/>
    </row>
    <row r="406" ht="12.75" customHeight="1">
      <c r="I406" s="394"/>
    </row>
    <row r="407" ht="12.75" customHeight="1">
      <c r="I407" s="394"/>
    </row>
    <row r="408" ht="12.75" customHeight="1">
      <c r="I408" s="394"/>
    </row>
    <row r="409" ht="12.75" customHeight="1">
      <c r="I409" s="394"/>
    </row>
    <row r="410" ht="12.75" customHeight="1">
      <c r="I410" s="394"/>
    </row>
    <row r="411" ht="12.75" customHeight="1">
      <c r="I411" s="394"/>
    </row>
    <row r="412" ht="12.75" customHeight="1">
      <c r="I412" s="394"/>
    </row>
    <row r="413" ht="12.75" customHeight="1">
      <c r="I413" s="394"/>
    </row>
    <row r="414" ht="12.75" customHeight="1">
      <c r="I414" s="394"/>
    </row>
    <row r="415" ht="12.75" customHeight="1">
      <c r="I415" s="394"/>
    </row>
    <row r="416" ht="12.75" customHeight="1">
      <c r="I416" s="394"/>
    </row>
    <row r="417" ht="12.75" customHeight="1">
      <c r="I417" s="394"/>
    </row>
    <row r="418" ht="12.75" customHeight="1">
      <c r="I418" s="394"/>
    </row>
    <row r="419" ht="12.75" customHeight="1">
      <c r="I419" s="394"/>
    </row>
    <row r="420" ht="12.75" customHeight="1">
      <c r="I420" s="394"/>
    </row>
    <row r="421" ht="12.75" customHeight="1">
      <c r="I421" s="394"/>
    </row>
    <row r="422" ht="12.75" customHeight="1">
      <c r="I422" s="394"/>
    </row>
    <row r="423" ht="12.75" customHeight="1">
      <c r="I423" s="394"/>
    </row>
    <row r="424" ht="12.75" customHeight="1">
      <c r="I424" s="394"/>
    </row>
    <row r="425" ht="12.75" customHeight="1">
      <c r="I425" s="394"/>
    </row>
    <row r="426" ht="12.75" customHeight="1">
      <c r="I426" s="394"/>
    </row>
    <row r="427" ht="12.75" customHeight="1">
      <c r="I427" s="394"/>
    </row>
    <row r="428" ht="12.75" customHeight="1">
      <c r="I428" s="394"/>
    </row>
    <row r="429" ht="12.75" customHeight="1">
      <c r="I429" s="394"/>
    </row>
    <row r="430" ht="12.75" customHeight="1">
      <c r="I430" s="394"/>
    </row>
    <row r="431" ht="12.75" customHeight="1">
      <c r="I431" s="394"/>
    </row>
    <row r="432" ht="12.75" customHeight="1">
      <c r="I432" s="394"/>
    </row>
    <row r="433" ht="12.75" customHeight="1">
      <c r="I433" s="394"/>
    </row>
    <row r="434" ht="12.75" customHeight="1">
      <c r="I434" s="394"/>
    </row>
    <row r="435" ht="12.75" customHeight="1">
      <c r="I435" s="394"/>
    </row>
    <row r="436" ht="12.75" customHeight="1">
      <c r="I436" s="394"/>
    </row>
    <row r="437" ht="12.75" customHeight="1">
      <c r="I437" s="394"/>
    </row>
    <row r="438" ht="12.75" customHeight="1">
      <c r="I438" s="394"/>
    </row>
    <row r="439" ht="12.75" customHeight="1">
      <c r="I439" s="394"/>
    </row>
    <row r="440" ht="12.75" customHeight="1">
      <c r="I440" s="394"/>
    </row>
    <row r="441" ht="12.75" customHeight="1">
      <c r="I441" s="394"/>
    </row>
    <row r="442" ht="12.75" customHeight="1">
      <c r="I442" s="394"/>
    </row>
    <row r="443" ht="12.75" customHeight="1">
      <c r="I443" s="394"/>
    </row>
    <row r="444" ht="12.75" customHeight="1">
      <c r="I444" s="394"/>
    </row>
    <row r="445" ht="12.75" customHeight="1">
      <c r="I445" s="394"/>
    </row>
    <row r="446" ht="12.75" customHeight="1">
      <c r="I446" s="394"/>
    </row>
    <row r="447" ht="12.75" customHeight="1">
      <c r="I447" s="394"/>
    </row>
    <row r="448" ht="12.75" customHeight="1">
      <c r="I448" s="394"/>
    </row>
    <row r="449" ht="12.75" customHeight="1">
      <c r="I449" s="394"/>
    </row>
    <row r="450" ht="12.75" customHeight="1">
      <c r="I450" s="394"/>
    </row>
    <row r="451" ht="12.75" customHeight="1">
      <c r="I451" s="394"/>
    </row>
    <row r="452" ht="12.75" customHeight="1">
      <c r="I452" s="394"/>
    </row>
    <row r="453" ht="12.75" customHeight="1">
      <c r="I453" s="394"/>
    </row>
    <row r="454" ht="12.75" customHeight="1">
      <c r="I454" s="394"/>
    </row>
    <row r="455" ht="12.75" customHeight="1">
      <c r="I455" s="394"/>
    </row>
    <row r="456" ht="12.75" customHeight="1">
      <c r="I456" s="394"/>
    </row>
    <row r="457" ht="12.75" customHeight="1">
      <c r="I457" s="394"/>
    </row>
    <row r="458" ht="12.75" customHeight="1">
      <c r="I458" s="394"/>
    </row>
    <row r="459" ht="12.75" customHeight="1">
      <c r="I459" s="394"/>
    </row>
    <row r="460" ht="12.75" customHeight="1">
      <c r="I460" s="394"/>
    </row>
    <row r="461" ht="12.75" customHeight="1">
      <c r="I461" s="394"/>
    </row>
    <row r="462" ht="12.75" customHeight="1">
      <c r="I462" s="394"/>
    </row>
    <row r="463" ht="12.75" customHeight="1">
      <c r="I463" s="394"/>
    </row>
    <row r="464" ht="12.75" customHeight="1">
      <c r="I464" s="394"/>
    </row>
    <row r="465" ht="12.75" customHeight="1">
      <c r="I465" s="394"/>
    </row>
    <row r="466" ht="12.75" customHeight="1">
      <c r="I466" s="394"/>
    </row>
    <row r="467" ht="12.75" customHeight="1">
      <c r="I467" s="394"/>
    </row>
    <row r="468" ht="12.75" customHeight="1">
      <c r="I468" s="394"/>
    </row>
    <row r="469" ht="12.75" customHeight="1">
      <c r="I469" s="394"/>
    </row>
    <row r="470" ht="12.75" customHeight="1">
      <c r="I470" s="394"/>
    </row>
    <row r="471" ht="12.75" customHeight="1">
      <c r="I471" s="394"/>
    </row>
    <row r="472" ht="12.75" customHeight="1">
      <c r="I472" s="394"/>
    </row>
    <row r="473" ht="12.75" customHeight="1">
      <c r="I473" s="394"/>
    </row>
    <row r="474" ht="12.75" customHeight="1">
      <c r="I474" s="394"/>
    </row>
    <row r="475" ht="12.75" customHeight="1">
      <c r="I475" s="394"/>
    </row>
    <row r="476" ht="12.75" customHeight="1">
      <c r="I476" s="394"/>
    </row>
    <row r="477" ht="12.75" customHeight="1">
      <c r="I477" s="394"/>
    </row>
    <row r="478" ht="12.75" customHeight="1">
      <c r="I478" s="394"/>
    </row>
    <row r="479" ht="12.75" customHeight="1">
      <c r="I479" s="394"/>
    </row>
    <row r="480" ht="12.75" customHeight="1">
      <c r="I480" s="394"/>
    </row>
    <row r="481" ht="12.75" customHeight="1">
      <c r="I481" s="394"/>
    </row>
    <row r="482" ht="12.75" customHeight="1">
      <c r="I482" s="394"/>
    </row>
    <row r="483" ht="12.75" customHeight="1">
      <c r="I483" s="394"/>
    </row>
    <row r="484" ht="12.75" customHeight="1">
      <c r="I484" s="394"/>
    </row>
    <row r="485" ht="12.75" customHeight="1">
      <c r="I485" s="394"/>
    </row>
    <row r="486" ht="12.75" customHeight="1">
      <c r="I486" s="394"/>
    </row>
    <row r="487" ht="12.75" customHeight="1">
      <c r="I487" s="394"/>
    </row>
    <row r="488" ht="12.75" customHeight="1">
      <c r="I488" s="394"/>
    </row>
    <row r="489" ht="12.75" customHeight="1">
      <c r="I489" s="394"/>
    </row>
    <row r="490" ht="12.75" customHeight="1">
      <c r="I490" s="394"/>
    </row>
    <row r="491" ht="12.75" customHeight="1">
      <c r="I491" s="394"/>
    </row>
    <row r="492" ht="12.75" customHeight="1">
      <c r="I492" s="394"/>
    </row>
    <row r="493" ht="12.75" customHeight="1">
      <c r="I493" s="394"/>
    </row>
    <row r="494" ht="12.75" customHeight="1">
      <c r="I494" s="394"/>
    </row>
    <row r="495" ht="12.75" customHeight="1">
      <c r="I495" s="394"/>
    </row>
    <row r="496" ht="12.75" customHeight="1">
      <c r="I496" s="394"/>
    </row>
    <row r="497" ht="12.75" customHeight="1">
      <c r="I497" s="394"/>
    </row>
    <row r="498" ht="12.75" customHeight="1">
      <c r="I498" s="394"/>
    </row>
    <row r="499" ht="12.75" customHeight="1">
      <c r="I499" s="394"/>
    </row>
    <row r="500" ht="12.75" customHeight="1">
      <c r="I500" s="394"/>
    </row>
    <row r="501" ht="12.75" customHeight="1">
      <c r="I501" s="394"/>
    </row>
    <row r="502" ht="12.75" customHeight="1">
      <c r="I502" s="394"/>
    </row>
    <row r="503" ht="12.75" customHeight="1">
      <c r="I503" s="394"/>
    </row>
    <row r="504" ht="12.75" customHeight="1">
      <c r="I504" s="394"/>
    </row>
    <row r="505" ht="12.75" customHeight="1">
      <c r="I505" s="394"/>
    </row>
    <row r="506" ht="12.75" customHeight="1">
      <c r="I506" s="394"/>
    </row>
    <row r="507" ht="12.75" customHeight="1">
      <c r="I507" s="394"/>
    </row>
    <row r="508" ht="12.75" customHeight="1">
      <c r="I508" s="394"/>
    </row>
    <row r="509" ht="12.75" customHeight="1">
      <c r="I509" s="394"/>
    </row>
    <row r="510" ht="12.75" customHeight="1">
      <c r="I510" s="394"/>
    </row>
    <row r="511" ht="12.75" customHeight="1">
      <c r="I511" s="394"/>
    </row>
    <row r="512" ht="12.75" customHeight="1">
      <c r="I512" s="394"/>
    </row>
    <row r="513" ht="12.75" customHeight="1">
      <c r="I513" s="394"/>
    </row>
    <row r="514" ht="12.75" customHeight="1">
      <c r="I514" s="394"/>
    </row>
    <row r="515" ht="12.75" customHeight="1">
      <c r="I515" s="394"/>
    </row>
    <row r="516" ht="12.75" customHeight="1">
      <c r="I516" s="394"/>
    </row>
    <row r="517" ht="12.75" customHeight="1">
      <c r="I517" s="394"/>
    </row>
    <row r="518" ht="12.75" customHeight="1">
      <c r="I518" s="394"/>
    </row>
    <row r="519" ht="12.75" customHeight="1">
      <c r="I519" s="394"/>
    </row>
    <row r="520" ht="12.75" customHeight="1">
      <c r="I520" s="394"/>
    </row>
    <row r="521" ht="12.75" customHeight="1">
      <c r="I521" s="394"/>
    </row>
    <row r="522" ht="12.75" customHeight="1">
      <c r="I522" s="394"/>
    </row>
    <row r="523" ht="12.75" customHeight="1">
      <c r="I523" s="394"/>
    </row>
    <row r="524" ht="12.75" customHeight="1">
      <c r="I524" s="394"/>
    </row>
    <row r="525" ht="12.75" customHeight="1">
      <c r="I525" s="394"/>
    </row>
    <row r="526" ht="12.75" customHeight="1">
      <c r="I526" s="394"/>
    </row>
    <row r="527" ht="12.75" customHeight="1">
      <c r="I527" s="394"/>
    </row>
    <row r="528" ht="12.75" customHeight="1">
      <c r="I528" s="394"/>
    </row>
    <row r="529" ht="12.75" customHeight="1">
      <c r="I529" s="394"/>
    </row>
    <row r="530" ht="12.75" customHeight="1">
      <c r="I530" s="394"/>
    </row>
    <row r="531" ht="12.75" customHeight="1">
      <c r="I531" s="394"/>
    </row>
    <row r="532" ht="12.75" customHeight="1">
      <c r="I532" s="394"/>
    </row>
    <row r="533" ht="12.75" customHeight="1">
      <c r="I533" s="394"/>
    </row>
    <row r="534" ht="12.75" customHeight="1">
      <c r="I534" s="394"/>
    </row>
    <row r="535" ht="12.75" customHeight="1">
      <c r="I535" s="394"/>
    </row>
    <row r="536" ht="12.75" customHeight="1">
      <c r="I536" s="394"/>
    </row>
    <row r="537" ht="12.75" customHeight="1">
      <c r="I537" s="394"/>
    </row>
    <row r="538" ht="12.75" customHeight="1">
      <c r="I538" s="394"/>
    </row>
    <row r="539" ht="12.75" customHeight="1">
      <c r="I539" s="394"/>
    </row>
    <row r="540" ht="12.75" customHeight="1">
      <c r="I540" s="394"/>
    </row>
    <row r="541" ht="12.75" customHeight="1">
      <c r="I541" s="394"/>
    </row>
    <row r="542" ht="12.75" customHeight="1">
      <c r="I542" s="394"/>
    </row>
    <row r="543" ht="12.75" customHeight="1">
      <c r="I543" s="394"/>
    </row>
    <row r="544" ht="12.75" customHeight="1">
      <c r="I544" s="394"/>
    </row>
    <row r="545" ht="12.75" customHeight="1">
      <c r="I545" s="394"/>
    </row>
    <row r="546" ht="12.75" customHeight="1">
      <c r="I546" s="394"/>
    </row>
    <row r="547" ht="12.75" customHeight="1">
      <c r="I547" s="394"/>
    </row>
    <row r="548" ht="12.75" customHeight="1">
      <c r="I548" s="394"/>
    </row>
    <row r="549" ht="12.75" customHeight="1">
      <c r="I549" s="394"/>
    </row>
    <row r="550" ht="12.75" customHeight="1">
      <c r="I550" s="394"/>
    </row>
    <row r="551" ht="12.75" customHeight="1">
      <c r="I551" s="394"/>
    </row>
    <row r="552" ht="12.75" customHeight="1">
      <c r="I552" s="394"/>
    </row>
    <row r="553" ht="12.75" customHeight="1">
      <c r="I553" s="394"/>
    </row>
    <row r="554" ht="12.75" customHeight="1">
      <c r="I554" s="394"/>
    </row>
    <row r="555" ht="12.75" customHeight="1">
      <c r="I555" s="394"/>
    </row>
    <row r="556" ht="12.75" customHeight="1">
      <c r="I556" s="394"/>
    </row>
    <row r="557" ht="12.75" customHeight="1">
      <c r="I557" s="394"/>
    </row>
    <row r="558" ht="12.75" customHeight="1">
      <c r="I558" s="394"/>
    </row>
    <row r="559" ht="12.75" customHeight="1">
      <c r="I559" s="394"/>
    </row>
    <row r="560" ht="12.75" customHeight="1">
      <c r="I560" s="394"/>
    </row>
    <row r="561" ht="12.75" customHeight="1">
      <c r="I561" s="394"/>
    </row>
    <row r="562" ht="12.75" customHeight="1">
      <c r="I562" s="394"/>
    </row>
    <row r="563" ht="12.75" customHeight="1">
      <c r="I563" s="394"/>
    </row>
    <row r="564" ht="12.75" customHeight="1">
      <c r="I564" s="394"/>
    </row>
    <row r="565" ht="12.75" customHeight="1">
      <c r="I565" s="394"/>
    </row>
    <row r="566" ht="12.75" customHeight="1">
      <c r="I566" s="394"/>
    </row>
    <row r="567" ht="12.75" customHeight="1">
      <c r="I567" s="394"/>
    </row>
    <row r="568" ht="12.75" customHeight="1">
      <c r="I568" s="394"/>
    </row>
    <row r="569" ht="12.75" customHeight="1">
      <c r="I569" s="394"/>
    </row>
    <row r="570" ht="12.75" customHeight="1">
      <c r="I570" s="394"/>
    </row>
    <row r="571" ht="12.75" customHeight="1">
      <c r="I571" s="394"/>
    </row>
    <row r="572" ht="12.75" customHeight="1">
      <c r="I572" s="394"/>
    </row>
    <row r="573" ht="12.75" customHeight="1">
      <c r="I573" s="394"/>
    </row>
    <row r="574" ht="12.75" customHeight="1">
      <c r="I574" s="394"/>
    </row>
    <row r="575" ht="12.75" customHeight="1">
      <c r="I575" s="394"/>
    </row>
    <row r="576" ht="12.75" customHeight="1">
      <c r="I576" s="394"/>
    </row>
    <row r="577" ht="12.75" customHeight="1">
      <c r="I577" s="394"/>
    </row>
    <row r="578" ht="12.75" customHeight="1">
      <c r="I578" s="394"/>
    </row>
    <row r="579" ht="12.75" customHeight="1">
      <c r="I579" s="394"/>
    </row>
    <row r="580" ht="12.75" customHeight="1">
      <c r="I580" s="394"/>
    </row>
    <row r="581" ht="12.75" customHeight="1">
      <c r="I581" s="394"/>
    </row>
    <row r="582" ht="12.75" customHeight="1">
      <c r="I582" s="394"/>
    </row>
    <row r="583" ht="12.75" customHeight="1">
      <c r="I583" s="394"/>
    </row>
    <row r="584" ht="12.75" customHeight="1">
      <c r="I584" s="394"/>
    </row>
    <row r="585" ht="12.75" customHeight="1">
      <c r="I585" s="394"/>
    </row>
    <row r="586" ht="12.75" customHeight="1">
      <c r="I586" s="394"/>
    </row>
    <row r="587" ht="12.75" customHeight="1">
      <c r="I587" s="394"/>
    </row>
    <row r="588" ht="12.75" customHeight="1">
      <c r="I588" s="394"/>
    </row>
    <row r="589" ht="12.75" customHeight="1">
      <c r="I589" s="394"/>
    </row>
    <row r="590" ht="12.75" customHeight="1">
      <c r="I590" s="394"/>
    </row>
    <row r="591" ht="12.75" customHeight="1">
      <c r="I591" s="394"/>
    </row>
    <row r="592" ht="12.75" customHeight="1">
      <c r="I592" s="394"/>
    </row>
    <row r="593" ht="12.75" customHeight="1">
      <c r="I593" s="394"/>
    </row>
    <row r="594" ht="12.75" customHeight="1">
      <c r="I594" s="394"/>
    </row>
    <row r="595" ht="12.75" customHeight="1">
      <c r="I595" s="394"/>
    </row>
    <row r="596" ht="12.75" customHeight="1">
      <c r="I596" s="394"/>
    </row>
    <row r="597" ht="12.75" customHeight="1">
      <c r="I597" s="394"/>
    </row>
    <row r="598" ht="12.75" customHeight="1">
      <c r="I598" s="394"/>
    </row>
    <row r="599" ht="12.75" customHeight="1">
      <c r="I599" s="394"/>
    </row>
    <row r="600" ht="12.75" customHeight="1">
      <c r="I600" s="394"/>
    </row>
    <row r="601" ht="12.75" customHeight="1">
      <c r="I601" s="394"/>
    </row>
    <row r="602" ht="12.75" customHeight="1">
      <c r="I602" s="394"/>
    </row>
    <row r="603" ht="12.75" customHeight="1">
      <c r="I603" s="394"/>
    </row>
    <row r="604" ht="12.75" customHeight="1">
      <c r="I604" s="394"/>
    </row>
    <row r="605" ht="12.75" customHeight="1">
      <c r="I605" s="394"/>
    </row>
    <row r="606" ht="12.75" customHeight="1">
      <c r="I606" s="394"/>
    </row>
    <row r="607" ht="12.75" customHeight="1">
      <c r="I607" s="394"/>
    </row>
    <row r="608" ht="12.75" customHeight="1">
      <c r="I608" s="394"/>
    </row>
    <row r="609" ht="12.75" customHeight="1">
      <c r="I609" s="394"/>
    </row>
    <row r="610" ht="12.75" customHeight="1">
      <c r="I610" s="394"/>
    </row>
    <row r="611" ht="12.75" customHeight="1">
      <c r="I611" s="394"/>
    </row>
    <row r="612" ht="12.75" customHeight="1">
      <c r="I612" s="394"/>
    </row>
    <row r="613" ht="12.75" customHeight="1">
      <c r="I613" s="394"/>
    </row>
    <row r="614" ht="12.75" customHeight="1">
      <c r="I614" s="394"/>
    </row>
    <row r="615" ht="12.75" customHeight="1">
      <c r="I615" s="394"/>
    </row>
    <row r="616" ht="12.75" customHeight="1">
      <c r="I616" s="394"/>
    </row>
    <row r="617" ht="12.75" customHeight="1">
      <c r="I617" s="394"/>
    </row>
    <row r="618" ht="12.75" customHeight="1">
      <c r="I618" s="394"/>
    </row>
    <row r="619" ht="12.75" customHeight="1">
      <c r="I619" s="394"/>
    </row>
    <row r="620" ht="12.75" customHeight="1">
      <c r="I620" s="394"/>
    </row>
    <row r="621" ht="12.75" customHeight="1">
      <c r="I621" s="394"/>
    </row>
    <row r="622" ht="12.75" customHeight="1">
      <c r="I622" s="394"/>
    </row>
    <row r="623" ht="12.75" customHeight="1">
      <c r="I623" s="394"/>
    </row>
    <row r="624" ht="12.75" customHeight="1">
      <c r="I624" s="394"/>
    </row>
    <row r="625" ht="12.75" customHeight="1">
      <c r="I625" s="394"/>
    </row>
    <row r="626" ht="12.75" customHeight="1">
      <c r="I626" s="394"/>
    </row>
    <row r="627" ht="12.75" customHeight="1">
      <c r="I627" s="394"/>
    </row>
    <row r="628" ht="12.75" customHeight="1">
      <c r="I628" s="394"/>
    </row>
    <row r="629" ht="12.75" customHeight="1">
      <c r="I629" s="394"/>
    </row>
    <row r="630" ht="12.75" customHeight="1">
      <c r="I630" s="394"/>
    </row>
    <row r="631" ht="12.75" customHeight="1">
      <c r="I631" s="394"/>
    </row>
    <row r="632" ht="12.75" customHeight="1">
      <c r="I632" s="394"/>
    </row>
    <row r="633" ht="12.75" customHeight="1">
      <c r="I633" s="394"/>
    </row>
    <row r="634" ht="12.75" customHeight="1">
      <c r="I634" s="394"/>
    </row>
    <row r="635" ht="12.75" customHeight="1">
      <c r="I635" s="394"/>
    </row>
    <row r="636" ht="12.75" customHeight="1">
      <c r="I636" s="394"/>
    </row>
    <row r="637" ht="12.75" customHeight="1">
      <c r="I637" s="394"/>
    </row>
    <row r="638" ht="12.75" customHeight="1">
      <c r="I638" s="394"/>
    </row>
    <row r="639" ht="12.75" customHeight="1">
      <c r="I639" s="394"/>
    </row>
    <row r="640" ht="12.75" customHeight="1">
      <c r="I640" s="394"/>
    </row>
    <row r="641" ht="12.75" customHeight="1">
      <c r="I641" s="394"/>
    </row>
    <row r="642" ht="12.75" customHeight="1">
      <c r="I642" s="394"/>
    </row>
    <row r="643" ht="12.75" customHeight="1">
      <c r="I643" s="394"/>
    </row>
    <row r="644" ht="12.75" customHeight="1">
      <c r="I644" s="394"/>
    </row>
    <row r="645" ht="12.75" customHeight="1">
      <c r="I645" s="394"/>
    </row>
    <row r="646" ht="12.75" customHeight="1">
      <c r="I646" s="394"/>
    </row>
    <row r="647" ht="12.75" customHeight="1">
      <c r="I647" s="394"/>
    </row>
    <row r="648" ht="12.75" customHeight="1">
      <c r="I648" s="394"/>
    </row>
    <row r="649" ht="12.75" customHeight="1">
      <c r="I649" s="394"/>
    </row>
    <row r="650" ht="12.75" customHeight="1">
      <c r="I650" s="394"/>
    </row>
    <row r="651" ht="12.75" customHeight="1">
      <c r="I651" s="394"/>
    </row>
    <row r="652" ht="12.75" customHeight="1">
      <c r="I652" s="394"/>
    </row>
    <row r="653" ht="12.75" customHeight="1">
      <c r="I653" s="394"/>
    </row>
    <row r="654" ht="12.75" customHeight="1">
      <c r="I654" s="394"/>
    </row>
    <row r="655" ht="12.75" customHeight="1">
      <c r="I655" s="394"/>
    </row>
    <row r="656" ht="12.75" customHeight="1">
      <c r="I656" s="394"/>
    </row>
    <row r="657" ht="12.75" customHeight="1">
      <c r="I657" s="394"/>
    </row>
    <row r="658" ht="12.75" customHeight="1">
      <c r="I658" s="394"/>
    </row>
    <row r="659" ht="12.75" customHeight="1">
      <c r="I659" s="394"/>
    </row>
    <row r="660" ht="12.75" customHeight="1">
      <c r="I660" s="394"/>
    </row>
    <row r="661" ht="12.75" customHeight="1">
      <c r="I661" s="394"/>
    </row>
    <row r="662" ht="12.75" customHeight="1">
      <c r="I662" s="394"/>
    </row>
    <row r="663" ht="12.75" customHeight="1">
      <c r="I663" s="394"/>
    </row>
    <row r="664" ht="12.75" customHeight="1">
      <c r="I664" s="394"/>
    </row>
    <row r="665" ht="12.75" customHeight="1">
      <c r="I665" s="394"/>
    </row>
    <row r="666" ht="12.75" customHeight="1">
      <c r="I666" s="394"/>
    </row>
    <row r="667" ht="12.75" customHeight="1">
      <c r="I667" s="394"/>
    </row>
    <row r="668" ht="12.75" customHeight="1">
      <c r="I668" s="394"/>
    </row>
    <row r="669" ht="12.75" customHeight="1">
      <c r="I669" s="394"/>
    </row>
    <row r="670" ht="12.75" customHeight="1">
      <c r="I670" s="394"/>
    </row>
    <row r="671" ht="12.75" customHeight="1">
      <c r="I671" s="394"/>
    </row>
    <row r="672" ht="12.75" customHeight="1">
      <c r="I672" s="394"/>
    </row>
    <row r="673" ht="12.75" customHeight="1">
      <c r="I673" s="394"/>
    </row>
    <row r="674" ht="12.75" customHeight="1">
      <c r="I674" s="394"/>
    </row>
    <row r="675" ht="12.75" customHeight="1">
      <c r="I675" s="394"/>
    </row>
    <row r="676" ht="12.75" customHeight="1">
      <c r="I676" s="394"/>
    </row>
    <row r="677" ht="12.75" customHeight="1">
      <c r="I677" s="394"/>
    </row>
    <row r="678" ht="12.75" customHeight="1">
      <c r="I678" s="394"/>
    </row>
    <row r="679" ht="12.75" customHeight="1">
      <c r="I679" s="394"/>
    </row>
    <row r="680" ht="12.75" customHeight="1">
      <c r="I680" s="394"/>
    </row>
    <row r="681" ht="12.75" customHeight="1">
      <c r="I681" s="394"/>
    </row>
    <row r="682" ht="12.75" customHeight="1">
      <c r="I682" s="394"/>
    </row>
    <row r="683" ht="12.75" customHeight="1">
      <c r="I683" s="394"/>
    </row>
    <row r="684" ht="12.75" customHeight="1">
      <c r="I684" s="394"/>
    </row>
    <row r="685" ht="12.75" customHeight="1">
      <c r="I685" s="394"/>
    </row>
    <row r="686" ht="12.75" customHeight="1">
      <c r="I686" s="394"/>
    </row>
    <row r="687" ht="12.75" customHeight="1">
      <c r="I687" s="394"/>
    </row>
    <row r="688" ht="12.75" customHeight="1">
      <c r="I688" s="394"/>
    </row>
    <row r="689" ht="12.75" customHeight="1">
      <c r="I689" s="394"/>
    </row>
    <row r="690" ht="12.75" customHeight="1">
      <c r="I690" s="394"/>
    </row>
    <row r="691" ht="12.75" customHeight="1">
      <c r="I691" s="394"/>
    </row>
    <row r="692" ht="12.75" customHeight="1">
      <c r="I692" s="394"/>
    </row>
    <row r="693" ht="12.75" customHeight="1">
      <c r="I693" s="394"/>
    </row>
    <row r="694" ht="12.75" customHeight="1">
      <c r="I694" s="394"/>
    </row>
    <row r="695" ht="12.75" customHeight="1">
      <c r="I695" s="394"/>
    </row>
    <row r="696" ht="12.75" customHeight="1">
      <c r="I696" s="394"/>
    </row>
    <row r="697" ht="12.75" customHeight="1">
      <c r="I697" s="394"/>
    </row>
    <row r="698" ht="12.75" customHeight="1">
      <c r="I698" s="394"/>
    </row>
    <row r="699" ht="12.75" customHeight="1">
      <c r="I699" s="394"/>
    </row>
    <row r="700" ht="12.75" customHeight="1">
      <c r="I700" s="394"/>
    </row>
    <row r="701" ht="12.75" customHeight="1">
      <c r="I701" s="394"/>
    </row>
    <row r="702" ht="12.75" customHeight="1">
      <c r="I702" s="394"/>
    </row>
    <row r="703" ht="12.75" customHeight="1">
      <c r="I703" s="394"/>
    </row>
    <row r="704" ht="12.75" customHeight="1">
      <c r="I704" s="394"/>
    </row>
    <row r="705" ht="12.75" customHeight="1">
      <c r="I705" s="394"/>
    </row>
    <row r="706" ht="12.75" customHeight="1">
      <c r="I706" s="394"/>
    </row>
    <row r="707" ht="12.75" customHeight="1">
      <c r="I707" s="394"/>
    </row>
    <row r="708" ht="12.75" customHeight="1">
      <c r="I708" s="394"/>
    </row>
    <row r="709" ht="12.75" customHeight="1">
      <c r="I709" s="394"/>
    </row>
    <row r="710" ht="12.75" customHeight="1">
      <c r="I710" s="394"/>
    </row>
    <row r="711" ht="12.75" customHeight="1">
      <c r="I711" s="394"/>
    </row>
    <row r="712" ht="12.75" customHeight="1">
      <c r="I712" s="394"/>
    </row>
    <row r="713" ht="12.75" customHeight="1">
      <c r="I713" s="394"/>
    </row>
    <row r="714" ht="12.75" customHeight="1">
      <c r="I714" s="394"/>
    </row>
    <row r="715" ht="12.75" customHeight="1">
      <c r="I715" s="394"/>
    </row>
    <row r="716" ht="12.75" customHeight="1">
      <c r="I716" s="394"/>
    </row>
    <row r="717" ht="12.75" customHeight="1">
      <c r="I717" s="394"/>
    </row>
    <row r="718" ht="12.75" customHeight="1">
      <c r="I718" s="394"/>
    </row>
    <row r="719" ht="12.75" customHeight="1">
      <c r="I719" s="394"/>
    </row>
    <row r="720" ht="12.75" customHeight="1">
      <c r="I720" s="394"/>
    </row>
    <row r="721" ht="12.75" customHeight="1">
      <c r="I721" s="394"/>
    </row>
    <row r="722" ht="12.75" customHeight="1">
      <c r="I722" s="394"/>
    </row>
    <row r="723" ht="12.75" customHeight="1">
      <c r="I723" s="394"/>
    </row>
    <row r="724" ht="12.75" customHeight="1">
      <c r="I724" s="394"/>
    </row>
    <row r="725" ht="12.75" customHeight="1">
      <c r="I725" s="394"/>
    </row>
    <row r="726" ht="12.75" customHeight="1">
      <c r="I726" s="394"/>
    </row>
    <row r="727" ht="12.75" customHeight="1">
      <c r="I727" s="394"/>
    </row>
    <row r="728" ht="12.75" customHeight="1">
      <c r="I728" s="394"/>
    </row>
    <row r="729" ht="12.75" customHeight="1">
      <c r="I729" s="394"/>
    </row>
    <row r="730" ht="12.75" customHeight="1">
      <c r="I730" s="394"/>
    </row>
    <row r="731" ht="12.75" customHeight="1">
      <c r="I731" s="394"/>
    </row>
    <row r="732" ht="12.75" customHeight="1">
      <c r="I732" s="394"/>
    </row>
    <row r="733" ht="12.75" customHeight="1">
      <c r="I733" s="394"/>
    </row>
    <row r="734" ht="12.75" customHeight="1">
      <c r="I734" s="394"/>
    </row>
    <row r="735" ht="12.75" customHeight="1">
      <c r="I735" s="394"/>
    </row>
    <row r="736" ht="12.75" customHeight="1">
      <c r="I736" s="394"/>
    </row>
    <row r="737" ht="12.75" customHeight="1">
      <c r="I737" s="394"/>
    </row>
    <row r="738" ht="12.75" customHeight="1">
      <c r="I738" s="394"/>
    </row>
    <row r="739" ht="12.75" customHeight="1">
      <c r="I739" s="394"/>
    </row>
    <row r="740" ht="12.75" customHeight="1">
      <c r="I740" s="394"/>
    </row>
    <row r="741" ht="12.75" customHeight="1">
      <c r="I741" s="394"/>
    </row>
    <row r="742" ht="12.75" customHeight="1">
      <c r="I742" s="394"/>
    </row>
    <row r="743" ht="12.75" customHeight="1">
      <c r="I743" s="394"/>
    </row>
    <row r="744" ht="12.75" customHeight="1">
      <c r="I744" s="394"/>
    </row>
    <row r="745" ht="12.75" customHeight="1">
      <c r="I745" s="394"/>
    </row>
    <row r="746" ht="12.75" customHeight="1">
      <c r="I746" s="394"/>
    </row>
    <row r="747" ht="12.75" customHeight="1">
      <c r="I747" s="394"/>
    </row>
    <row r="748" ht="12.75" customHeight="1">
      <c r="I748" s="394"/>
    </row>
    <row r="749" ht="12.75" customHeight="1">
      <c r="I749" s="394"/>
    </row>
    <row r="750" ht="12.75" customHeight="1">
      <c r="I750" s="394"/>
    </row>
    <row r="751" ht="12.75" customHeight="1">
      <c r="I751" s="394"/>
    </row>
    <row r="752" ht="12.75" customHeight="1">
      <c r="I752" s="394"/>
    </row>
    <row r="753" ht="12.75" customHeight="1">
      <c r="I753" s="394"/>
    </row>
    <row r="754" ht="12.75" customHeight="1">
      <c r="I754" s="394"/>
    </row>
    <row r="755" ht="12.75" customHeight="1">
      <c r="I755" s="394"/>
    </row>
    <row r="756" ht="12.75" customHeight="1">
      <c r="I756" s="394"/>
    </row>
    <row r="757" ht="12.75" customHeight="1">
      <c r="I757" s="394"/>
    </row>
    <row r="758" ht="12.75" customHeight="1">
      <c r="I758" s="394"/>
    </row>
    <row r="759" ht="12.75" customHeight="1">
      <c r="I759" s="394"/>
    </row>
    <row r="760" ht="12.75" customHeight="1">
      <c r="I760" s="394"/>
    </row>
    <row r="761" ht="12.75" customHeight="1">
      <c r="I761" s="394"/>
    </row>
    <row r="762" ht="12.75" customHeight="1">
      <c r="I762" s="394"/>
    </row>
    <row r="763" ht="12.75" customHeight="1">
      <c r="I763" s="394"/>
    </row>
    <row r="764" ht="12.75" customHeight="1">
      <c r="I764" s="394"/>
    </row>
    <row r="765" ht="12.75" customHeight="1">
      <c r="I765" s="394"/>
    </row>
    <row r="766" ht="12.75" customHeight="1">
      <c r="I766" s="394"/>
    </row>
    <row r="767" ht="12.75" customHeight="1">
      <c r="I767" s="394"/>
    </row>
    <row r="768" ht="12.75" customHeight="1">
      <c r="I768" s="394"/>
    </row>
    <row r="769" ht="12.75" customHeight="1">
      <c r="I769" s="394"/>
    </row>
    <row r="770" ht="12.75" customHeight="1">
      <c r="I770" s="394"/>
    </row>
    <row r="771" ht="12.75" customHeight="1">
      <c r="I771" s="394"/>
    </row>
    <row r="772" ht="12.75" customHeight="1">
      <c r="I772" s="394"/>
    </row>
    <row r="773" ht="12.75" customHeight="1">
      <c r="I773" s="394"/>
    </row>
    <row r="774" ht="12.75" customHeight="1">
      <c r="I774" s="394"/>
    </row>
    <row r="775" ht="12.75" customHeight="1">
      <c r="I775" s="394"/>
    </row>
    <row r="776" ht="12.75" customHeight="1">
      <c r="I776" s="394"/>
    </row>
    <row r="777" ht="12.75" customHeight="1">
      <c r="I777" s="394"/>
    </row>
    <row r="778" ht="12.75" customHeight="1">
      <c r="I778" s="394"/>
    </row>
    <row r="779" ht="12.75" customHeight="1">
      <c r="I779" s="394"/>
    </row>
    <row r="780" ht="12.75" customHeight="1">
      <c r="I780" s="394"/>
    </row>
    <row r="781" ht="12.75" customHeight="1">
      <c r="I781" s="394"/>
    </row>
    <row r="782" ht="12.75" customHeight="1">
      <c r="I782" s="394"/>
    </row>
    <row r="783" ht="12.75" customHeight="1">
      <c r="I783" s="394"/>
    </row>
    <row r="784" ht="12.75" customHeight="1">
      <c r="I784" s="394"/>
    </row>
    <row r="785" ht="12.75" customHeight="1">
      <c r="I785" s="394"/>
    </row>
    <row r="786" ht="12.75" customHeight="1">
      <c r="I786" s="394"/>
    </row>
    <row r="787" ht="12.75" customHeight="1">
      <c r="I787" s="394"/>
    </row>
    <row r="788" ht="12.75" customHeight="1">
      <c r="I788" s="394"/>
    </row>
    <row r="789" ht="12.75" customHeight="1">
      <c r="I789" s="394"/>
    </row>
    <row r="790" ht="12.75" customHeight="1">
      <c r="I790" s="394"/>
    </row>
    <row r="791" ht="12.75" customHeight="1">
      <c r="I791" s="394"/>
    </row>
    <row r="792" ht="12.75" customHeight="1">
      <c r="I792" s="394"/>
    </row>
    <row r="793" ht="12.75" customHeight="1">
      <c r="I793" s="394"/>
    </row>
    <row r="794" ht="12.75" customHeight="1">
      <c r="I794" s="394"/>
    </row>
    <row r="795" ht="12.75" customHeight="1">
      <c r="I795" s="394"/>
    </row>
    <row r="796" ht="12.75" customHeight="1">
      <c r="I796" s="394"/>
    </row>
    <row r="797" ht="12.75" customHeight="1">
      <c r="I797" s="394"/>
    </row>
    <row r="798" ht="12.75" customHeight="1">
      <c r="I798" s="394"/>
    </row>
    <row r="799" ht="12.75" customHeight="1">
      <c r="I799" s="394"/>
    </row>
    <row r="800" ht="12.75" customHeight="1">
      <c r="I800" s="394"/>
    </row>
    <row r="801" ht="12.75" customHeight="1">
      <c r="I801" s="394"/>
    </row>
    <row r="802" ht="12.75" customHeight="1">
      <c r="I802" s="394"/>
    </row>
    <row r="803" ht="12.75" customHeight="1">
      <c r="I803" s="394"/>
    </row>
    <row r="804" ht="12.75" customHeight="1">
      <c r="I804" s="394"/>
    </row>
    <row r="805" ht="12.75" customHeight="1">
      <c r="I805" s="394"/>
    </row>
    <row r="806" ht="12.75" customHeight="1">
      <c r="I806" s="394"/>
    </row>
    <row r="807" ht="12.75" customHeight="1">
      <c r="I807" s="394"/>
    </row>
    <row r="808" ht="12.75" customHeight="1">
      <c r="I808" s="394"/>
    </row>
    <row r="809" ht="12.75" customHeight="1">
      <c r="I809" s="394"/>
    </row>
    <row r="810" ht="12.75" customHeight="1">
      <c r="I810" s="394"/>
    </row>
    <row r="811" ht="12.75" customHeight="1">
      <c r="I811" s="394"/>
    </row>
    <row r="812" ht="12.75" customHeight="1">
      <c r="I812" s="394"/>
    </row>
    <row r="813" ht="12.75" customHeight="1">
      <c r="I813" s="394"/>
    </row>
    <row r="814" ht="12.75" customHeight="1">
      <c r="I814" s="394"/>
    </row>
    <row r="815" ht="12.75" customHeight="1">
      <c r="I815" s="394"/>
    </row>
    <row r="816" ht="12.75" customHeight="1">
      <c r="I816" s="394"/>
    </row>
    <row r="817" ht="12.75" customHeight="1">
      <c r="I817" s="394"/>
    </row>
    <row r="818" ht="12.75" customHeight="1">
      <c r="I818" s="394"/>
    </row>
    <row r="819" ht="12.75" customHeight="1">
      <c r="I819" s="394"/>
    </row>
    <row r="820" ht="12.75" customHeight="1">
      <c r="I820" s="394"/>
    </row>
    <row r="821" ht="12.75" customHeight="1">
      <c r="I821" s="394"/>
    </row>
    <row r="822" ht="12.75" customHeight="1">
      <c r="I822" s="394"/>
    </row>
    <row r="823" ht="12.75" customHeight="1">
      <c r="I823" s="394"/>
    </row>
    <row r="824" ht="12.75" customHeight="1">
      <c r="I824" s="394"/>
    </row>
    <row r="825" ht="12.75" customHeight="1">
      <c r="I825" s="394"/>
    </row>
    <row r="826" ht="12.75" customHeight="1">
      <c r="I826" s="394"/>
    </row>
    <row r="827" ht="12.75" customHeight="1">
      <c r="I827" s="394"/>
    </row>
    <row r="828" ht="12.75" customHeight="1">
      <c r="I828" s="394"/>
    </row>
    <row r="829" ht="12.75" customHeight="1">
      <c r="I829" s="394"/>
    </row>
    <row r="830" ht="12.75" customHeight="1">
      <c r="I830" s="394"/>
    </row>
    <row r="831" ht="12.75" customHeight="1">
      <c r="I831" s="394"/>
    </row>
    <row r="832" ht="12.75" customHeight="1">
      <c r="I832" s="394"/>
    </row>
    <row r="833" ht="12.75" customHeight="1">
      <c r="I833" s="394"/>
    </row>
    <row r="834" ht="12.75" customHeight="1">
      <c r="I834" s="394"/>
    </row>
    <row r="835" ht="12.75" customHeight="1">
      <c r="I835" s="394"/>
    </row>
    <row r="836" ht="12.75" customHeight="1">
      <c r="I836" s="394"/>
    </row>
    <row r="837" ht="12.75" customHeight="1">
      <c r="I837" s="394"/>
    </row>
    <row r="838" ht="12.75" customHeight="1">
      <c r="I838" s="394"/>
    </row>
    <row r="839" ht="12.75" customHeight="1">
      <c r="I839" s="394"/>
    </row>
    <row r="840" ht="12.75" customHeight="1">
      <c r="I840" s="394"/>
    </row>
    <row r="841" ht="12.75" customHeight="1">
      <c r="I841" s="394"/>
    </row>
    <row r="842" ht="12.75" customHeight="1">
      <c r="I842" s="394"/>
    </row>
    <row r="843" ht="12.75" customHeight="1">
      <c r="I843" s="394"/>
    </row>
    <row r="844" ht="12.75" customHeight="1">
      <c r="I844" s="394"/>
    </row>
    <row r="845" ht="12.75" customHeight="1">
      <c r="I845" s="394"/>
    </row>
    <row r="846" ht="12.75" customHeight="1">
      <c r="I846" s="394"/>
    </row>
    <row r="847" ht="12.75" customHeight="1">
      <c r="I847" s="394"/>
    </row>
    <row r="848" ht="12.75" customHeight="1">
      <c r="I848" s="394"/>
    </row>
    <row r="849" ht="12.75" customHeight="1">
      <c r="I849" s="394"/>
    </row>
    <row r="850" ht="12.75" customHeight="1">
      <c r="I850" s="394"/>
    </row>
    <row r="851" ht="12.75" customHeight="1">
      <c r="I851" s="394"/>
    </row>
    <row r="852" ht="12.75" customHeight="1">
      <c r="I852" s="394"/>
    </row>
    <row r="853" ht="12.75" customHeight="1">
      <c r="I853" s="394"/>
    </row>
    <row r="854" ht="12.75" customHeight="1">
      <c r="I854" s="394"/>
    </row>
    <row r="855" ht="12.75" customHeight="1">
      <c r="I855" s="394"/>
    </row>
    <row r="856" ht="12.75" customHeight="1">
      <c r="I856" s="394"/>
    </row>
    <row r="857" ht="12.75" customHeight="1">
      <c r="I857" s="394"/>
    </row>
    <row r="858" ht="12.75" customHeight="1">
      <c r="I858" s="394"/>
    </row>
    <row r="859" ht="12.75" customHeight="1">
      <c r="I859" s="394"/>
    </row>
    <row r="860" ht="12.75" customHeight="1">
      <c r="I860" s="394"/>
    </row>
    <row r="861" ht="12.75" customHeight="1">
      <c r="I861" s="394"/>
    </row>
    <row r="862" ht="12.75" customHeight="1">
      <c r="I862" s="394"/>
    </row>
    <row r="863" ht="12.75" customHeight="1">
      <c r="I863" s="394"/>
    </row>
    <row r="864" ht="12.75" customHeight="1">
      <c r="I864" s="394"/>
    </row>
    <row r="865" ht="12.75" customHeight="1">
      <c r="I865" s="394"/>
    </row>
    <row r="866" ht="12.75" customHeight="1">
      <c r="I866" s="394"/>
    </row>
    <row r="867" ht="12.75" customHeight="1">
      <c r="I867" s="394"/>
    </row>
    <row r="868" ht="12.75" customHeight="1">
      <c r="I868" s="394"/>
    </row>
    <row r="869" ht="12.75" customHeight="1">
      <c r="I869" s="394"/>
    </row>
    <row r="870" ht="12.75" customHeight="1">
      <c r="I870" s="394"/>
    </row>
    <row r="871" ht="12.75" customHeight="1">
      <c r="I871" s="394"/>
    </row>
    <row r="872" ht="12.75" customHeight="1">
      <c r="I872" s="394"/>
    </row>
    <row r="873" ht="12.75" customHeight="1">
      <c r="I873" s="394"/>
    </row>
    <row r="874" ht="12.75" customHeight="1">
      <c r="I874" s="394"/>
    </row>
    <row r="875" ht="12.75" customHeight="1">
      <c r="I875" s="394"/>
    </row>
    <row r="876" ht="12.75" customHeight="1">
      <c r="I876" s="394"/>
    </row>
    <row r="877" ht="12.75" customHeight="1">
      <c r="I877" s="394"/>
    </row>
    <row r="878" ht="12.75" customHeight="1">
      <c r="I878" s="394"/>
    </row>
    <row r="879" ht="12.75" customHeight="1">
      <c r="I879" s="394"/>
    </row>
    <row r="880" ht="12.75" customHeight="1">
      <c r="I880" s="394"/>
    </row>
    <row r="881" ht="12.75" customHeight="1">
      <c r="I881" s="394"/>
    </row>
    <row r="882" ht="12.75" customHeight="1">
      <c r="I882" s="394"/>
    </row>
    <row r="883" ht="12.75" customHeight="1">
      <c r="I883" s="394"/>
    </row>
    <row r="884" ht="12.75" customHeight="1">
      <c r="I884" s="394"/>
    </row>
    <row r="885" ht="12.75" customHeight="1">
      <c r="I885" s="394"/>
    </row>
    <row r="886" ht="12.75" customHeight="1">
      <c r="I886" s="394"/>
    </row>
    <row r="887" ht="12.75" customHeight="1">
      <c r="I887" s="394"/>
    </row>
    <row r="888" ht="12.75" customHeight="1">
      <c r="I888" s="394"/>
    </row>
    <row r="889" ht="12.75" customHeight="1">
      <c r="I889" s="394"/>
    </row>
    <row r="890" ht="12.75" customHeight="1">
      <c r="I890" s="394"/>
    </row>
    <row r="891" ht="12.75" customHeight="1">
      <c r="I891" s="394"/>
    </row>
    <row r="892" ht="12.75" customHeight="1">
      <c r="I892" s="394"/>
    </row>
    <row r="893" ht="12.75" customHeight="1">
      <c r="I893" s="394"/>
    </row>
    <row r="894" ht="12.75" customHeight="1">
      <c r="I894" s="394"/>
    </row>
    <row r="895" ht="12.75" customHeight="1">
      <c r="I895" s="394"/>
    </row>
    <row r="896" ht="12.75" customHeight="1">
      <c r="I896" s="394"/>
    </row>
    <row r="897" ht="12.75" customHeight="1">
      <c r="I897" s="394"/>
    </row>
    <row r="898" ht="12.75" customHeight="1">
      <c r="I898" s="394"/>
    </row>
    <row r="899" ht="12.75" customHeight="1">
      <c r="I899" s="394"/>
    </row>
    <row r="900" ht="12.75" customHeight="1">
      <c r="I900" s="394"/>
    </row>
    <row r="901" ht="12.75" customHeight="1">
      <c r="I901" s="394"/>
    </row>
    <row r="902" ht="12.75" customHeight="1">
      <c r="I902" s="394"/>
    </row>
    <row r="903" ht="12.75" customHeight="1">
      <c r="I903" s="394"/>
    </row>
    <row r="904" ht="12.75" customHeight="1">
      <c r="I904" s="394"/>
    </row>
    <row r="905" ht="12.75" customHeight="1">
      <c r="I905" s="394"/>
    </row>
    <row r="906" ht="12.75" customHeight="1">
      <c r="I906" s="394"/>
    </row>
    <row r="907" ht="12.75" customHeight="1">
      <c r="I907" s="394"/>
    </row>
    <row r="908" ht="12.75" customHeight="1">
      <c r="I908" s="394"/>
    </row>
    <row r="909" ht="12.75" customHeight="1">
      <c r="I909" s="394"/>
    </row>
    <row r="910" ht="12.75" customHeight="1">
      <c r="I910" s="394"/>
    </row>
    <row r="911" ht="12.75" customHeight="1">
      <c r="I911" s="394"/>
    </row>
    <row r="912" ht="12.75" customHeight="1">
      <c r="I912" s="394"/>
    </row>
    <row r="913" ht="12.75" customHeight="1">
      <c r="I913" s="394"/>
    </row>
    <row r="914" ht="12.75" customHeight="1">
      <c r="I914" s="394"/>
    </row>
    <row r="915" ht="12.75" customHeight="1">
      <c r="I915" s="394"/>
    </row>
    <row r="916" ht="12.75" customHeight="1">
      <c r="I916" s="394"/>
    </row>
    <row r="917" ht="12.75" customHeight="1">
      <c r="I917" s="394"/>
    </row>
    <row r="918" ht="12.75" customHeight="1">
      <c r="I918" s="394"/>
    </row>
    <row r="919" ht="12.75" customHeight="1">
      <c r="I919" s="394"/>
    </row>
    <row r="920" ht="12.75" customHeight="1">
      <c r="I920" s="394"/>
    </row>
    <row r="921" ht="12.75" customHeight="1">
      <c r="I921" s="394"/>
    </row>
    <row r="922" ht="12.75" customHeight="1">
      <c r="I922" s="394"/>
    </row>
    <row r="923" ht="12.75" customHeight="1">
      <c r="I923" s="394"/>
    </row>
    <row r="924" ht="12.75" customHeight="1">
      <c r="I924" s="394"/>
    </row>
    <row r="925" ht="12.75" customHeight="1">
      <c r="I925" s="394"/>
    </row>
    <row r="926" ht="12.75" customHeight="1">
      <c r="I926" s="394"/>
    </row>
    <row r="927" ht="12.75" customHeight="1">
      <c r="I927" s="394"/>
    </row>
    <row r="928" ht="12.75" customHeight="1">
      <c r="I928" s="394"/>
    </row>
    <row r="929" ht="12.75" customHeight="1">
      <c r="I929" s="394"/>
    </row>
    <row r="930" ht="12.75" customHeight="1">
      <c r="I930" s="394"/>
    </row>
    <row r="931" ht="12.75" customHeight="1">
      <c r="I931" s="394"/>
    </row>
    <row r="932" ht="12.75" customHeight="1">
      <c r="I932" s="394"/>
    </row>
    <row r="933" ht="12.75" customHeight="1">
      <c r="I933" s="394"/>
    </row>
    <row r="934" ht="12.75" customHeight="1">
      <c r="I934" s="394"/>
    </row>
    <row r="935" ht="12.75" customHeight="1">
      <c r="I935" s="394"/>
    </row>
    <row r="936" ht="12.75" customHeight="1">
      <c r="I936" s="394"/>
    </row>
    <row r="937" ht="12.75" customHeight="1">
      <c r="I937" s="394"/>
    </row>
    <row r="938" ht="12.75" customHeight="1">
      <c r="I938" s="394"/>
    </row>
    <row r="939" ht="12.75" customHeight="1">
      <c r="I939" s="394"/>
    </row>
    <row r="940" ht="12.75" customHeight="1">
      <c r="I940" s="394"/>
    </row>
    <row r="941" ht="12.75" customHeight="1">
      <c r="I941" s="394"/>
    </row>
    <row r="942" ht="12.75" customHeight="1">
      <c r="I942" s="394"/>
    </row>
    <row r="943" ht="12.75" customHeight="1">
      <c r="I943" s="394"/>
    </row>
    <row r="944" ht="12.75" customHeight="1">
      <c r="I944" s="394"/>
    </row>
    <row r="945" ht="12.75" customHeight="1">
      <c r="I945" s="394"/>
    </row>
    <row r="946" ht="12.75" customHeight="1">
      <c r="I946" s="394"/>
    </row>
    <row r="947" ht="12.75" customHeight="1">
      <c r="I947" s="394"/>
    </row>
    <row r="948" ht="12.75" customHeight="1">
      <c r="I948" s="394"/>
    </row>
    <row r="949" ht="12.75" customHeight="1">
      <c r="I949" s="394"/>
    </row>
    <row r="950" ht="12.75" customHeight="1">
      <c r="I950" s="394"/>
    </row>
    <row r="951" ht="12.75" customHeight="1">
      <c r="I951" s="394"/>
    </row>
    <row r="952" ht="12.75" customHeight="1">
      <c r="I952" s="394"/>
    </row>
    <row r="953" ht="12.75" customHeight="1">
      <c r="I953" s="394"/>
    </row>
    <row r="954" ht="12.75" customHeight="1">
      <c r="I954" s="394"/>
    </row>
    <row r="955" ht="12.75" customHeight="1">
      <c r="I955" s="394"/>
    </row>
    <row r="956" ht="12.75" customHeight="1">
      <c r="I956" s="394"/>
    </row>
    <row r="957" ht="12.75" customHeight="1">
      <c r="I957" s="394"/>
    </row>
    <row r="958" ht="12.75" customHeight="1">
      <c r="I958" s="394"/>
    </row>
    <row r="959" ht="12.75" customHeight="1">
      <c r="I959" s="394"/>
    </row>
    <row r="960" ht="12.75" customHeight="1">
      <c r="I960" s="394"/>
    </row>
    <row r="961" ht="12.75" customHeight="1">
      <c r="I961" s="394"/>
    </row>
    <row r="962" ht="12.75" customHeight="1">
      <c r="I962" s="394"/>
    </row>
    <row r="963" ht="12.75" customHeight="1">
      <c r="I963" s="394"/>
    </row>
    <row r="964" ht="12.75" customHeight="1">
      <c r="I964" s="394"/>
    </row>
    <row r="965" ht="12.75" customHeight="1">
      <c r="I965" s="394"/>
    </row>
    <row r="966" ht="12.75" customHeight="1">
      <c r="I966" s="394"/>
    </row>
    <row r="967" ht="12.75" customHeight="1">
      <c r="I967" s="394"/>
    </row>
    <row r="968" ht="12.75" customHeight="1">
      <c r="I968" s="394"/>
    </row>
    <row r="969" ht="12.75" customHeight="1">
      <c r="I969" s="394"/>
    </row>
    <row r="970" ht="12.75" customHeight="1">
      <c r="I970" s="394"/>
    </row>
    <row r="971" ht="12.75" customHeight="1">
      <c r="I971" s="394"/>
    </row>
    <row r="972" ht="12.75" customHeight="1">
      <c r="I972" s="394"/>
    </row>
    <row r="973" ht="12.75" customHeight="1">
      <c r="I973" s="394"/>
    </row>
    <row r="974" ht="12.75" customHeight="1">
      <c r="I974" s="394"/>
    </row>
    <row r="975" ht="12.75" customHeight="1">
      <c r="I975" s="394"/>
    </row>
    <row r="976" ht="12.75" customHeight="1">
      <c r="I976" s="394"/>
    </row>
    <row r="977" ht="12.75" customHeight="1">
      <c r="I977" s="394"/>
    </row>
    <row r="978" ht="12.75" customHeight="1">
      <c r="I978" s="394"/>
    </row>
    <row r="979" ht="12.75" customHeight="1">
      <c r="I979" s="394"/>
    </row>
    <row r="980" ht="12.75" customHeight="1">
      <c r="I980" s="394"/>
    </row>
    <row r="981" ht="12.75" customHeight="1">
      <c r="I981" s="394"/>
    </row>
    <row r="982" ht="12.75" customHeight="1">
      <c r="I982" s="394"/>
    </row>
    <row r="983" ht="12.75" customHeight="1">
      <c r="I983" s="394"/>
    </row>
    <row r="984" ht="12.75" customHeight="1">
      <c r="I984" s="394"/>
    </row>
    <row r="985" ht="12.75" customHeight="1">
      <c r="I985" s="394"/>
    </row>
    <row r="986" ht="12.75" customHeight="1">
      <c r="I986" s="394"/>
    </row>
    <row r="987" ht="12.75" customHeight="1">
      <c r="I987" s="394"/>
    </row>
    <row r="988" ht="12.75" customHeight="1">
      <c r="I988" s="394"/>
    </row>
    <row r="989" ht="12.75" customHeight="1">
      <c r="I989" s="394"/>
    </row>
    <row r="990" ht="12.75" customHeight="1">
      <c r="I990" s="394"/>
    </row>
    <row r="991" ht="12.75" customHeight="1">
      <c r="I991" s="394"/>
    </row>
    <row r="992" ht="12.75" customHeight="1">
      <c r="I992" s="394"/>
    </row>
    <row r="993" ht="12.75" customHeight="1">
      <c r="I993" s="394"/>
    </row>
    <row r="994" ht="12.75" customHeight="1">
      <c r="I994" s="394"/>
    </row>
    <row r="995" ht="12.75" customHeight="1">
      <c r="I995" s="394"/>
    </row>
    <row r="996" ht="12.75" customHeight="1">
      <c r="I996" s="394"/>
    </row>
    <row r="997" ht="12.75" customHeight="1">
      <c r="I997" s="394"/>
    </row>
    <row r="998" ht="12.75" customHeight="1">
      <c r="I998" s="394"/>
    </row>
    <row r="999" ht="12.75" customHeight="1">
      <c r="I999" s="394"/>
    </row>
    <row r="1000" ht="12.75" customHeight="1">
      <c r="I1000" s="394"/>
    </row>
    <row r="1001" ht="12.75" customHeight="1">
      <c r="I1001" s="394"/>
    </row>
    <row r="1002" ht="12.75" customHeight="1">
      <c r="I1002" s="394"/>
    </row>
    <row r="1003" ht="12.75" customHeight="1">
      <c r="I1003" s="394"/>
    </row>
    <row r="1004" ht="12.75" customHeight="1">
      <c r="I1004" s="394"/>
    </row>
    <row r="1005" ht="12.75" customHeight="1">
      <c r="I1005" s="394"/>
    </row>
    <row r="1006" ht="12.75" customHeight="1">
      <c r="I1006" s="394"/>
    </row>
    <row r="1007" ht="12.75" customHeight="1">
      <c r="I1007" s="394"/>
    </row>
    <row r="1008" ht="12.75" customHeight="1">
      <c r="I1008" s="394"/>
    </row>
    <row r="1009" ht="12.75" customHeight="1">
      <c r="I1009" s="394"/>
    </row>
    <row r="1010" ht="12.75" customHeight="1">
      <c r="I1010" s="394"/>
    </row>
    <row r="1011" ht="12.75" customHeight="1">
      <c r="I1011" s="394"/>
    </row>
    <row r="1012" ht="12.75" customHeight="1">
      <c r="I1012" s="394"/>
    </row>
    <row r="1013" ht="12.75" customHeight="1">
      <c r="I1013" s="394"/>
    </row>
    <row r="1014" ht="12.75" customHeight="1">
      <c r="I1014" s="394"/>
    </row>
    <row r="1015" ht="12.75" customHeight="1">
      <c r="I1015" s="394"/>
    </row>
    <row r="1016" ht="12.75" customHeight="1">
      <c r="I1016" s="394"/>
    </row>
    <row r="1017" ht="12.75" customHeight="1">
      <c r="I1017" s="394"/>
    </row>
    <row r="1018" ht="12.75" customHeight="1">
      <c r="I1018" s="394"/>
    </row>
    <row r="1019" ht="12.75" customHeight="1">
      <c r="I1019" s="394"/>
    </row>
    <row r="1020" ht="12.75" customHeight="1">
      <c r="I1020" s="394"/>
    </row>
    <row r="1021" ht="12.75" customHeight="1">
      <c r="I1021" s="394"/>
    </row>
    <row r="1022" ht="12.75" customHeight="1">
      <c r="I1022" s="394"/>
    </row>
    <row r="1023" ht="12.75" customHeight="1">
      <c r="I1023" s="394"/>
    </row>
    <row r="1024" ht="12.75" customHeight="1">
      <c r="I1024" s="394"/>
    </row>
    <row r="1025" ht="12.75" customHeight="1">
      <c r="I1025" s="394"/>
    </row>
    <row r="1026" ht="12.75" customHeight="1">
      <c r="I1026" s="394"/>
    </row>
    <row r="1027" ht="12.75" customHeight="1">
      <c r="I1027" s="394"/>
    </row>
    <row r="1028" ht="12.75" customHeight="1">
      <c r="I1028" s="394"/>
    </row>
    <row r="1029" ht="12.75" customHeight="1">
      <c r="I1029" s="394"/>
    </row>
    <row r="1030" ht="12.75" customHeight="1">
      <c r="I1030" s="394"/>
    </row>
    <row r="1031" ht="12.75" customHeight="1">
      <c r="I1031" s="394"/>
    </row>
    <row r="1032" ht="12.75" customHeight="1">
      <c r="I1032" s="394"/>
    </row>
    <row r="1033" ht="12.75" customHeight="1">
      <c r="I1033" s="394"/>
    </row>
    <row r="1034" ht="12.75" customHeight="1">
      <c r="I1034" s="394"/>
    </row>
    <row r="1035" ht="12.75" customHeight="1">
      <c r="I1035" s="394"/>
    </row>
    <row r="1036" ht="12.75" customHeight="1">
      <c r="I1036" s="394"/>
    </row>
    <row r="1037" ht="12.75" customHeight="1">
      <c r="I1037" s="394"/>
    </row>
    <row r="1038" ht="12.75" customHeight="1">
      <c r="I1038" s="394"/>
    </row>
    <row r="1039" ht="12.75" customHeight="1">
      <c r="I1039" s="394"/>
    </row>
    <row r="1040" ht="12.75" customHeight="1">
      <c r="I1040" s="394"/>
    </row>
    <row r="1041" ht="12.75" customHeight="1">
      <c r="I1041" s="394"/>
    </row>
    <row r="1042" ht="12.75" customHeight="1">
      <c r="I1042" s="394"/>
    </row>
    <row r="1043" ht="12.75" customHeight="1">
      <c r="I1043" s="394"/>
    </row>
    <row r="1044" ht="12.75" customHeight="1">
      <c r="I1044" s="394"/>
    </row>
    <row r="1045" ht="12.75" customHeight="1">
      <c r="I1045" s="394"/>
    </row>
  </sheetData>
  <mergeCells count="2">
    <mergeCell ref="A48:K48"/>
    <mergeCell ref="G49:H49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min="21" max="24" width="11.25"/>
    <col customWidth="1" min="25" max="26" width="7.63"/>
  </cols>
  <sheetData>
    <row r="1">
      <c r="A1" s="409" t="s">
        <v>1841</v>
      </c>
    </row>
    <row r="3">
      <c r="B3" s="410" t="s">
        <v>1842</v>
      </c>
      <c r="C3" s="410"/>
      <c r="D3" s="410"/>
      <c r="E3" s="410"/>
      <c r="F3" s="410"/>
      <c r="G3" s="410"/>
      <c r="H3" s="410"/>
      <c r="I3" s="410"/>
      <c r="J3" s="410"/>
      <c r="K3" s="410"/>
      <c r="L3" s="410"/>
      <c r="M3" s="410"/>
      <c r="N3" s="410"/>
      <c r="O3" s="410"/>
      <c r="P3" s="410"/>
      <c r="Q3" s="410"/>
      <c r="R3" s="410"/>
      <c r="S3" s="410"/>
      <c r="T3" s="410"/>
      <c r="U3" s="410"/>
      <c r="V3" s="410"/>
      <c r="W3" s="410"/>
      <c r="X3" s="410"/>
    </row>
    <row r="4">
      <c r="C4" s="411" t="s">
        <v>1843</v>
      </c>
      <c r="D4" s="412"/>
      <c r="E4" s="412"/>
      <c r="F4" s="412"/>
      <c r="G4" s="412"/>
      <c r="I4" s="413" t="s">
        <v>1844</v>
      </c>
      <c r="J4" s="414"/>
      <c r="K4" s="414"/>
      <c r="L4" s="414"/>
      <c r="M4" s="414"/>
      <c r="O4" s="415" t="s">
        <v>1845</v>
      </c>
      <c r="P4" s="416"/>
      <c r="Q4" s="416"/>
      <c r="R4" s="416"/>
      <c r="S4" s="416"/>
      <c r="U4" s="417" t="s">
        <v>1846</v>
      </c>
      <c r="V4" s="418"/>
      <c r="W4" s="418"/>
      <c r="X4" s="418"/>
    </row>
    <row r="5">
      <c r="B5" s="157" t="s">
        <v>1847</v>
      </c>
      <c r="C5" s="419" t="s">
        <v>1848</v>
      </c>
      <c r="D5" s="419" t="s">
        <v>1849</v>
      </c>
      <c r="E5" s="419" t="s">
        <v>1850</v>
      </c>
      <c r="F5" s="419" t="s">
        <v>1851</v>
      </c>
      <c r="G5" s="419" t="s">
        <v>111</v>
      </c>
      <c r="I5" s="420" t="s">
        <v>1848</v>
      </c>
      <c r="J5" s="420" t="s">
        <v>1849</v>
      </c>
      <c r="K5" s="420" t="s">
        <v>1850</v>
      </c>
      <c r="L5" s="420" t="s">
        <v>1851</v>
      </c>
      <c r="M5" s="420" t="s">
        <v>111</v>
      </c>
      <c r="O5" s="421" t="s">
        <v>1848</v>
      </c>
      <c r="P5" s="421" t="s">
        <v>1849</v>
      </c>
      <c r="Q5" s="421" t="s">
        <v>1850</v>
      </c>
      <c r="R5" s="421" t="s">
        <v>1851</v>
      </c>
      <c r="S5" s="421" t="s">
        <v>111</v>
      </c>
      <c r="U5" s="422" t="s">
        <v>1852</v>
      </c>
      <c r="V5" s="422" t="s">
        <v>1853</v>
      </c>
      <c r="W5" s="422" t="s">
        <v>1854</v>
      </c>
      <c r="X5" s="422" t="s">
        <v>1855</v>
      </c>
    </row>
    <row r="6">
      <c r="B6" s="423" t="s">
        <v>163</v>
      </c>
      <c r="C6" s="423"/>
      <c r="D6" s="423"/>
      <c r="E6" s="423"/>
      <c r="F6" s="423"/>
      <c r="G6" s="423"/>
      <c r="H6" s="423"/>
      <c r="I6" s="423"/>
      <c r="J6" s="423"/>
      <c r="K6" s="423"/>
      <c r="L6" s="423"/>
      <c r="M6" s="423"/>
      <c r="N6" s="423"/>
      <c r="O6" s="423"/>
      <c r="P6" s="423"/>
      <c r="Q6" s="423"/>
      <c r="R6" s="423"/>
      <c r="S6" s="423"/>
      <c r="T6" s="423"/>
      <c r="U6" s="423"/>
      <c r="V6" s="423"/>
      <c r="W6" s="423"/>
      <c r="X6" s="423"/>
    </row>
    <row r="7">
      <c r="B7" s="424" t="s">
        <v>56</v>
      </c>
      <c r="C7" s="425">
        <v>0.0</v>
      </c>
      <c r="D7" s="425">
        <v>19.17</v>
      </c>
      <c r="E7" s="425">
        <v>210.0</v>
      </c>
      <c r="F7" s="425">
        <v>123.91</v>
      </c>
      <c r="G7" s="426">
        <f t="shared" ref="G7:G12" si="2">SUM(C7:F7)</f>
        <v>353.08</v>
      </c>
      <c r="I7" s="425">
        <v>0.0</v>
      </c>
      <c r="J7" s="425">
        <v>19.17</v>
      </c>
      <c r="K7" s="425">
        <v>151.8</v>
      </c>
      <c r="L7" s="425">
        <v>171.02</v>
      </c>
      <c r="M7" s="426">
        <f t="shared" ref="M7:M12" si="3">SUM(I7:L7)</f>
        <v>341.99</v>
      </c>
      <c r="O7" s="427" t="str">
        <f t="shared" ref="O7:S7" si="1">IFERROR(I7/C7-1,"")</f>
        <v/>
      </c>
      <c r="P7" s="427">
        <f t="shared" si="1"/>
        <v>0</v>
      </c>
      <c r="Q7" s="427">
        <f t="shared" si="1"/>
        <v>-0.2771428571</v>
      </c>
      <c r="R7" s="427">
        <f t="shared" si="1"/>
        <v>0.380195303</v>
      </c>
      <c r="S7" s="427">
        <f t="shared" si="1"/>
        <v>-0.03140931234</v>
      </c>
      <c r="U7" s="428">
        <v>548.53</v>
      </c>
      <c r="V7" s="428">
        <v>-13.67</v>
      </c>
      <c r="W7" s="428">
        <v>-30.47</v>
      </c>
      <c r="X7" s="429">
        <f t="shared" ref="X7:X12" si="5">IFERROR(W7-V7,"")</f>
        <v>-16.8</v>
      </c>
    </row>
    <row r="8">
      <c r="B8" s="424" t="s">
        <v>57</v>
      </c>
      <c r="C8" s="425">
        <v>0.0</v>
      </c>
      <c r="D8" s="425">
        <v>24.35</v>
      </c>
      <c r="E8" s="425">
        <v>307.22</v>
      </c>
      <c r="F8" s="425">
        <v>234.25</v>
      </c>
      <c r="G8" s="426">
        <f t="shared" si="2"/>
        <v>565.82</v>
      </c>
      <c r="I8" s="425">
        <v>0.0</v>
      </c>
      <c r="J8" s="425">
        <v>24.35</v>
      </c>
      <c r="K8" s="425">
        <v>246.46</v>
      </c>
      <c r="L8" s="425">
        <v>309.41</v>
      </c>
      <c r="M8" s="426">
        <f t="shared" si="3"/>
        <v>580.22</v>
      </c>
      <c r="O8" s="427" t="str">
        <f t="shared" ref="O8:S8" si="4">IFERROR(I8/C8-1,"")</f>
        <v/>
      </c>
      <c r="P8" s="427">
        <f t="shared" si="4"/>
        <v>0</v>
      </c>
      <c r="Q8" s="427">
        <f t="shared" si="4"/>
        <v>-0.1977735824</v>
      </c>
      <c r="R8" s="427">
        <f t="shared" si="4"/>
        <v>0.3208537887</v>
      </c>
      <c r="S8" s="427">
        <f t="shared" si="4"/>
        <v>0.02544978969</v>
      </c>
      <c r="U8" s="428">
        <v>1186.82</v>
      </c>
      <c r="V8" s="428">
        <v>19.02</v>
      </c>
      <c r="W8" s="428">
        <v>49.71</v>
      </c>
      <c r="X8" s="429">
        <f t="shared" si="5"/>
        <v>30.69</v>
      </c>
    </row>
    <row r="9">
      <c r="B9" s="424" t="s">
        <v>58</v>
      </c>
      <c r="C9" s="425">
        <v>0.0</v>
      </c>
      <c r="D9" s="425">
        <v>23.22</v>
      </c>
      <c r="E9" s="425">
        <v>463.47</v>
      </c>
      <c r="F9" s="425">
        <v>387.22</v>
      </c>
      <c r="G9" s="426">
        <f t="shared" si="2"/>
        <v>873.91</v>
      </c>
      <c r="I9" s="425">
        <v>0.0</v>
      </c>
      <c r="J9" s="425">
        <v>23.22</v>
      </c>
      <c r="K9" s="425">
        <v>389.47</v>
      </c>
      <c r="L9" s="425">
        <v>479.86</v>
      </c>
      <c r="M9" s="426">
        <f t="shared" si="3"/>
        <v>892.55</v>
      </c>
      <c r="O9" s="427" t="str">
        <f t="shared" ref="O9:S9" si="6">IFERROR(I9/C9-1,"")</f>
        <v/>
      </c>
      <c r="P9" s="427">
        <f t="shared" si="6"/>
        <v>0</v>
      </c>
      <c r="Q9" s="427">
        <f t="shared" si="6"/>
        <v>-0.1596651347</v>
      </c>
      <c r="R9" s="427">
        <f t="shared" si="6"/>
        <v>0.2392438407</v>
      </c>
      <c r="S9" s="427">
        <f t="shared" si="6"/>
        <v>0.02132942752</v>
      </c>
      <c r="U9" s="428">
        <v>1790.1</v>
      </c>
      <c r="V9" s="428">
        <v>21.24</v>
      </c>
      <c r="W9" s="428">
        <v>59.88</v>
      </c>
      <c r="X9" s="429">
        <f t="shared" si="5"/>
        <v>38.64</v>
      </c>
    </row>
    <row r="10">
      <c r="B10" s="424" t="s">
        <v>59</v>
      </c>
      <c r="C10" s="425">
        <v>0.0</v>
      </c>
      <c r="D10" s="425">
        <v>29.4</v>
      </c>
      <c r="E10" s="425">
        <v>878.04</v>
      </c>
      <c r="F10" s="425">
        <v>692.51</v>
      </c>
      <c r="G10" s="426">
        <f t="shared" si="2"/>
        <v>1599.95</v>
      </c>
      <c r="I10" s="425">
        <v>0.0</v>
      </c>
      <c r="J10" s="425">
        <v>29.4</v>
      </c>
      <c r="K10" s="425">
        <v>761.14</v>
      </c>
      <c r="L10" s="425">
        <v>833.27</v>
      </c>
      <c r="M10" s="426">
        <f t="shared" si="3"/>
        <v>1623.81</v>
      </c>
      <c r="O10" s="427" t="str">
        <f t="shared" ref="O10:S10" si="7">IFERROR(I10/C10-1,"")</f>
        <v/>
      </c>
      <c r="P10" s="427">
        <f t="shared" si="7"/>
        <v>0</v>
      </c>
      <c r="Q10" s="427">
        <f t="shared" si="7"/>
        <v>-0.1331374425</v>
      </c>
      <c r="R10" s="427">
        <f t="shared" si="7"/>
        <v>0.2032606027</v>
      </c>
      <c r="S10" s="427">
        <f t="shared" si="7"/>
        <v>0.01491296603</v>
      </c>
      <c r="U10" s="428">
        <v>2906.43</v>
      </c>
      <c r="V10" s="428">
        <v>5.4</v>
      </c>
      <c r="W10" s="428">
        <v>48.82</v>
      </c>
      <c r="X10" s="429">
        <f t="shared" si="5"/>
        <v>43.42</v>
      </c>
    </row>
    <row r="11">
      <c r="B11" s="424" t="s">
        <v>60</v>
      </c>
      <c r="C11" s="425">
        <v>0.0</v>
      </c>
      <c r="D11" s="425">
        <v>28.84</v>
      </c>
      <c r="E11" s="425">
        <v>1333.37</v>
      </c>
      <c r="F11" s="425">
        <v>770.81</v>
      </c>
      <c r="G11" s="426">
        <f t="shared" si="2"/>
        <v>2133.02</v>
      </c>
      <c r="I11" s="425">
        <v>0.0</v>
      </c>
      <c r="J11" s="425">
        <v>28.84</v>
      </c>
      <c r="K11" s="425">
        <v>1179.08</v>
      </c>
      <c r="L11" s="425">
        <v>1038.82</v>
      </c>
      <c r="M11" s="426">
        <f t="shared" si="3"/>
        <v>2246.74</v>
      </c>
      <c r="O11" s="427" t="str">
        <f t="shared" ref="O11:S11" si="8">IFERROR(I11/C11-1,"")</f>
        <v/>
      </c>
      <c r="P11" s="427">
        <f t="shared" si="8"/>
        <v>0</v>
      </c>
      <c r="Q11" s="427">
        <f t="shared" si="8"/>
        <v>-0.1157143179</v>
      </c>
      <c r="R11" s="427">
        <f t="shared" si="8"/>
        <v>0.3476991736</v>
      </c>
      <c r="S11" s="427">
        <f t="shared" si="8"/>
        <v>0.05331408051</v>
      </c>
      <c r="U11" s="428">
        <v>3933.06</v>
      </c>
      <c r="V11" s="428">
        <v>-432.62</v>
      </c>
      <c r="W11" s="428">
        <v>-246.0</v>
      </c>
      <c r="X11" s="429">
        <f t="shared" si="5"/>
        <v>186.62</v>
      </c>
    </row>
    <row r="12">
      <c r="B12" s="430" t="s">
        <v>1856</v>
      </c>
      <c r="C12" s="431">
        <v>0.0</v>
      </c>
      <c r="D12" s="431">
        <v>22.2</v>
      </c>
      <c r="E12" s="431">
        <v>351.76</v>
      </c>
      <c r="F12" s="431">
        <v>254.86</v>
      </c>
      <c r="G12" s="432">
        <f t="shared" si="2"/>
        <v>628.82</v>
      </c>
      <c r="I12" s="431">
        <v>0.0</v>
      </c>
      <c r="J12" s="431">
        <v>22.2</v>
      </c>
      <c r="K12" s="431">
        <v>283.73</v>
      </c>
      <c r="L12" s="431">
        <v>328.09</v>
      </c>
      <c r="M12" s="432">
        <f t="shared" si="3"/>
        <v>634.02</v>
      </c>
      <c r="O12" s="433" t="str">
        <f t="shared" ref="O12:S12" si="9">IFERROR(I12/C12-1,"")</f>
        <v/>
      </c>
      <c r="P12" s="433">
        <f t="shared" si="9"/>
        <v>0</v>
      </c>
      <c r="Q12" s="433">
        <f t="shared" si="9"/>
        <v>-0.1933989083</v>
      </c>
      <c r="R12" s="433">
        <f t="shared" si="9"/>
        <v>0.2873342227</v>
      </c>
      <c r="S12" s="433">
        <f t="shared" si="9"/>
        <v>0.008269457078</v>
      </c>
      <c r="U12" s="434">
        <v>1172.56</v>
      </c>
      <c r="V12" s="434">
        <v>-4.09</v>
      </c>
      <c r="W12" s="434">
        <v>8.62</v>
      </c>
      <c r="X12" s="435">
        <f t="shared" si="5"/>
        <v>12.71</v>
      </c>
    </row>
    <row r="13">
      <c r="B13" s="423" t="s">
        <v>1857</v>
      </c>
      <c r="C13" s="423"/>
      <c r="D13" s="423"/>
      <c r="E13" s="423"/>
      <c r="F13" s="423"/>
      <c r="G13" s="423"/>
      <c r="H13" s="423"/>
      <c r="I13" s="423"/>
      <c r="J13" s="423"/>
      <c r="K13" s="423"/>
      <c r="L13" s="423"/>
      <c r="M13" s="423"/>
      <c r="N13" s="423"/>
      <c r="O13" s="423"/>
      <c r="P13" s="423"/>
      <c r="Q13" s="423"/>
      <c r="R13" s="423"/>
      <c r="S13" s="423"/>
      <c r="T13" s="423"/>
      <c r="U13" s="423"/>
      <c r="V13" s="423"/>
      <c r="W13" s="423"/>
      <c r="X13" s="423"/>
    </row>
    <row r="14">
      <c r="B14" s="424" t="s">
        <v>56</v>
      </c>
      <c r="C14" s="425">
        <v>0.0</v>
      </c>
      <c r="D14" s="425">
        <v>36.47</v>
      </c>
      <c r="E14" s="425">
        <v>266.14</v>
      </c>
      <c r="F14" s="425">
        <v>207.62</v>
      </c>
      <c r="G14" s="426">
        <f t="shared" ref="G14:G19" si="11">SUM(C14:F14)</f>
        <v>510.23</v>
      </c>
      <c r="I14" s="425">
        <v>0.0</v>
      </c>
      <c r="J14" s="425">
        <v>36.47</v>
      </c>
      <c r="K14" s="425">
        <v>188.69</v>
      </c>
      <c r="L14" s="425">
        <v>265.51</v>
      </c>
      <c r="M14" s="426">
        <f t="shared" ref="M14:M19" si="12">SUM(I14:L14)</f>
        <v>490.67</v>
      </c>
      <c r="O14" s="427" t="str">
        <f t="shared" ref="O14:S14" si="10">IFERROR(I14/C14-1,"")</f>
        <v/>
      </c>
      <c r="P14" s="427">
        <f t="shared" si="10"/>
        <v>0</v>
      </c>
      <c r="Q14" s="427">
        <f t="shared" si="10"/>
        <v>-0.2910122492</v>
      </c>
      <c r="R14" s="427">
        <f t="shared" si="10"/>
        <v>0.2788267026</v>
      </c>
      <c r="S14" s="427">
        <f t="shared" si="10"/>
        <v>-0.03833565255</v>
      </c>
      <c r="U14" s="428">
        <v>1082.35</v>
      </c>
      <c r="V14" s="428">
        <v>-33.36</v>
      </c>
      <c r="W14" s="428">
        <v>-73.58</v>
      </c>
      <c r="X14" s="429">
        <f t="shared" ref="X14:X19" si="14">IFERROR(W14-V14,"")</f>
        <v>-40.22</v>
      </c>
    </row>
    <row r="15">
      <c r="B15" s="424" t="s">
        <v>57</v>
      </c>
      <c r="C15" s="425">
        <v>0.0</v>
      </c>
      <c r="D15" s="425">
        <v>28.86</v>
      </c>
      <c r="E15" s="425">
        <v>294.27</v>
      </c>
      <c r="F15" s="425">
        <v>293.15</v>
      </c>
      <c r="G15" s="426">
        <f t="shared" si="11"/>
        <v>616.28</v>
      </c>
      <c r="I15" s="425">
        <v>0.0</v>
      </c>
      <c r="J15" s="425">
        <v>28.86</v>
      </c>
      <c r="K15" s="425">
        <v>234.38</v>
      </c>
      <c r="L15" s="425">
        <v>370.53</v>
      </c>
      <c r="M15" s="426">
        <f t="shared" si="12"/>
        <v>633.77</v>
      </c>
      <c r="O15" s="427" t="str">
        <f t="shared" ref="O15:S15" si="13">IFERROR(I15/C15-1,"")</f>
        <v/>
      </c>
      <c r="P15" s="427">
        <f t="shared" si="13"/>
        <v>0</v>
      </c>
      <c r="Q15" s="427">
        <f t="shared" si="13"/>
        <v>-0.2035205763</v>
      </c>
      <c r="R15" s="427">
        <f t="shared" si="13"/>
        <v>0.2639604298</v>
      </c>
      <c r="S15" s="427">
        <f t="shared" si="13"/>
        <v>0.02837995716</v>
      </c>
      <c r="U15" s="428">
        <v>2288.8</v>
      </c>
      <c r="V15" s="428">
        <v>-20.13</v>
      </c>
      <c r="W15" s="428">
        <v>44.26</v>
      </c>
      <c r="X15" s="429">
        <f t="shared" si="14"/>
        <v>64.39</v>
      </c>
    </row>
    <row r="16">
      <c r="B16" s="424" t="s">
        <v>58</v>
      </c>
      <c r="C16" s="425">
        <v>0.0</v>
      </c>
      <c r="D16" s="425">
        <v>24.66</v>
      </c>
      <c r="E16" s="425">
        <v>415.64</v>
      </c>
      <c r="F16" s="425">
        <v>437.52</v>
      </c>
      <c r="G16" s="426">
        <f t="shared" si="11"/>
        <v>877.82</v>
      </c>
      <c r="I16" s="425">
        <v>0.0</v>
      </c>
      <c r="J16" s="425">
        <v>24.66</v>
      </c>
      <c r="K16" s="425">
        <v>346.38</v>
      </c>
      <c r="L16" s="425">
        <v>526.57</v>
      </c>
      <c r="M16" s="426">
        <f t="shared" si="12"/>
        <v>897.61</v>
      </c>
      <c r="O16" s="427" t="str">
        <f t="shared" ref="O16:S16" si="15">IFERROR(I16/C16-1,"")</f>
        <v/>
      </c>
      <c r="P16" s="427">
        <f t="shared" si="15"/>
        <v>0</v>
      </c>
      <c r="Q16" s="427">
        <f t="shared" si="15"/>
        <v>-0.1666345876</v>
      </c>
      <c r="R16" s="427">
        <f t="shared" si="15"/>
        <v>0.2035335528</v>
      </c>
      <c r="S16" s="427">
        <f t="shared" si="15"/>
        <v>0.0225444852</v>
      </c>
      <c r="U16" s="428">
        <v>3506.0</v>
      </c>
      <c r="V16" s="428">
        <v>-23.96</v>
      </c>
      <c r="W16" s="428">
        <v>54.54</v>
      </c>
      <c r="X16" s="429">
        <f t="shared" si="14"/>
        <v>78.5</v>
      </c>
    </row>
    <row r="17">
      <c r="B17" s="424" t="s">
        <v>59</v>
      </c>
      <c r="C17" s="425">
        <v>0.0</v>
      </c>
      <c r="D17" s="425">
        <v>25.06</v>
      </c>
      <c r="E17" s="425">
        <v>752.83</v>
      </c>
      <c r="F17" s="425">
        <v>734.67</v>
      </c>
      <c r="G17" s="426">
        <f t="shared" si="11"/>
        <v>1512.56</v>
      </c>
      <c r="I17" s="425">
        <v>0.0</v>
      </c>
      <c r="J17" s="425">
        <v>25.06</v>
      </c>
      <c r="K17" s="425">
        <v>649.92</v>
      </c>
      <c r="L17" s="425">
        <v>859.94</v>
      </c>
      <c r="M17" s="426">
        <f t="shared" si="12"/>
        <v>1534.92</v>
      </c>
      <c r="O17" s="427" t="str">
        <f t="shared" ref="O17:S17" si="16">IFERROR(I17/C17-1,"")</f>
        <v/>
      </c>
      <c r="P17" s="427">
        <f t="shared" si="16"/>
        <v>0</v>
      </c>
      <c r="Q17" s="427">
        <f t="shared" si="16"/>
        <v>-0.136697528</v>
      </c>
      <c r="R17" s="427">
        <f t="shared" si="16"/>
        <v>0.1705119305</v>
      </c>
      <c r="S17" s="427">
        <f t="shared" si="16"/>
        <v>0.01478288465</v>
      </c>
      <c r="U17" s="428">
        <v>5772.12</v>
      </c>
      <c r="V17" s="428">
        <v>-67.44</v>
      </c>
      <c r="W17" s="428">
        <v>16.89</v>
      </c>
      <c r="X17" s="429">
        <f t="shared" si="14"/>
        <v>84.33</v>
      </c>
    </row>
    <row r="18">
      <c r="B18" s="424" t="s">
        <v>60</v>
      </c>
      <c r="C18" s="425">
        <v>0.0</v>
      </c>
      <c r="D18" s="425">
        <v>24.43</v>
      </c>
      <c r="E18" s="425">
        <v>1206.09</v>
      </c>
      <c r="F18" s="425">
        <v>885.5</v>
      </c>
      <c r="G18" s="426">
        <f t="shared" si="11"/>
        <v>2116.02</v>
      </c>
      <c r="I18" s="425">
        <v>0.0</v>
      </c>
      <c r="J18" s="425">
        <v>24.43</v>
      </c>
      <c r="K18" s="425">
        <v>1056.32</v>
      </c>
      <c r="L18" s="425">
        <v>1188.86</v>
      </c>
      <c r="M18" s="426">
        <f t="shared" si="12"/>
        <v>2269.61</v>
      </c>
      <c r="O18" s="427" t="str">
        <f t="shared" ref="O18:S18" si="17">IFERROR(I18/C18-1,"")</f>
        <v/>
      </c>
      <c r="P18" s="427">
        <f t="shared" si="17"/>
        <v>0</v>
      </c>
      <c r="Q18" s="427">
        <f t="shared" si="17"/>
        <v>-0.1241781293</v>
      </c>
      <c r="R18" s="427">
        <f t="shared" si="17"/>
        <v>0.3425861095</v>
      </c>
      <c r="S18" s="427">
        <f t="shared" si="17"/>
        <v>0.07258438011</v>
      </c>
      <c r="U18" s="428">
        <v>7653.26</v>
      </c>
      <c r="V18" s="428">
        <v>-229.29</v>
      </c>
      <c r="W18" s="428">
        <v>309.57</v>
      </c>
      <c r="X18" s="429">
        <f t="shared" si="14"/>
        <v>538.86</v>
      </c>
    </row>
    <row r="19">
      <c r="B19" s="430" t="s">
        <v>1856</v>
      </c>
      <c r="C19" s="431">
        <v>0.0</v>
      </c>
      <c r="D19" s="431">
        <v>31.84</v>
      </c>
      <c r="E19" s="431">
        <v>344.2</v>
      </c>
      <c r="F19" s="431">
        <v>311.77</v>
      </c>
      <c r="G19" s="432">
        <f t="shared" si="11"/>
        <v>687.81</v>
      </c>
      <c r="I19" s="431">
        <v>0.0</v>
      </c>
      <c r="J19" s="431">
        <v>31.84</v>
      </c>
      <c r="K19" s="431">
        <v>269.37</v>
      </c>
      <c r="L19" s="431">
        <v>387.07</v>
      </c>
      <c r="M19" s="432">
        <f t="shared" si="12"/>
        <v>688.28</v>
      </c>
      <c r="O19" s="433" t="str">
        <f t="shared" ref="O19:S19" si="18">IFERROR(I19/C19-1,"")</f>
        <v/>
      </c>
      <c r="P19" s="433">
        <f t="shared" si="18"/>
        <v>0</v>
      </c>
      <c r="Q19" s="433">
        <f t="shared" si="18"/>
        <v>-0.2174026729</v>
      </c>
      <c r="R19" s="433">
        <f t="shared" si="18"/>
        <v>0.2415242005</v>
      </c>
      <c r="S19" s="433">
        <f t="shared" si="18"/>
        <v>0.0006833282447</v>
      </c>
      <c r="U19" s="434">
        <v>2178.6</v>
      </c>
      <c r="V19" s="434">
        <v>-33.66</v>
      </c>
      <c r="W19" s="434">
        <v>-14.67</v>
      </c>
      <c r="X19" s="435">
        <f t="shared" si="14"/>
        <v>18.99</v>
      </c>
    </row>
    <row r="21" ht="15.75" customHeight="1"/>
    <row r="22" ht="15.75" customHeight="1">
      <c r="B22" s="410" t="s">
        <v>1858</v>
      </c>
      <c r="C22" s="410"/>
      <c r="D22" s="410"/>
      <c r="E22" s="410"/>
      <c r="F22" s="410"/>
      <c r="G22" s="410"/>
      <c r="H22" s="410"/>
      <c r="I22" s="410"/>
      <c r="J22" s="410"/>
      <c r="K22" s="410"/>
      <c r="L22" s="410"/>
      <c r="M22" s="410"/>
      <c r="N22" s="410"/>
      <c r="O22" s="410"/>
      <c r="P22" s="410"/>
      <c r="Q22" s="410"/>
      <c r="R22" s="410"/>
      <c r="S22" s="410"/>
      <c r="T22" s="410"/>
      <c r="U22" s="410"/>
      <c r="V22" s="410"/>
      <c r="W22" s="410"/>
      <c r="X22" s="410"/>
    </row>
    <row r="23" ht="15.75" customHeight="1">
      <c r="C23" s="411" t="s">
        <v>1843</v>
      </c>
      <c r="D23" s="412"/>
      <c r="E23" s="412"/>
      <c r="F23" s="412"/>
      <c r="G23" s="412"/>
      <c r="I23" s="413" t="s">
        <v>1844</v>
      </c>
      <c r="J23" s="414"/>
      <c r="K23" s="414"/>
      <c r="L23" s="414"/>
      <c r="M23" s="414"/>
      <c r="O23" s="415" t="s">
        <v>1845</v>
      </c>
      <c r="P23" s="416"/>
      <c r="Q23" s="416"/>
      <c r="R23" s="416"/>
      <c r="S23" s="416"/>
      <c r="U23" s="417" t="s">
        <v>1846</v>
      </c>
      <c r="V23" s="418"/>
      <c r="W23" s="418"/>
      <c r="X23" s="418"/>
    </row>
    <row r="24" ht="15.75" customHeight="1">
      <c r="B24" s="157" t="s">
        <v>1847</v>
      </c>
      <c r="C24" s="419" t="s">
        <v>1848</v>
      </c>
      <c r="D24" s="419" t="s">
        <v>1849</v>
      </c>
      <c r="E24" s="419" t="s">
        <v>1850</v>
      </c>
      <c r="F24" s="419" t="s">
        <v>1851</v>
      </c>
      <c r="G24" s="419" t="s">
        <v>111</v>
      </c>
      <c r="I24" s="420" t="s">
        <v>1848</v>
      </c>
      <c r="J24" s="420" t="s">
        <v>1849</v>
      </c>
      <c r="K24" s="420" t="s">
        <v>1850</v>
      </c>
      <c r="L24" s="420" t="s">
        <v>1851</v>
      </c>
      <c r="M24" s="420" t="s">
        <v>111</v>
      </c>
      <c r="O24" s="421" t="s">
        <v>1848</v>
      </c>
      <c r="P24" s="421" t="s">
        <v>1849</v>
      </c>
      <c r="Q24" s="421" t="s">
        <v>1850</v>
      </c>
      <c r="R24" s="421" t="s">
        <v>1851</v>
      </c>
      <c r="S24" s="421" t="s">
        <v>111</v>
      </c>
      <c r="U24" s="422" t="s">
        <v>1852</v>
      </c>
      <c r="V24" s="422" t="s">
        <v>1853</v>
      </c>
      <c r="W24" s="422" t="s">
        <v>1854</v>
      </c>
      <c r="X24" s="422" t="s">
        <v>1855</v>
      </c>
    </row>
    <row r="25" ht="15.75" customHeight="1">
      <c r="B25" s="423" t="s">
        <v>163</v>
      </c>
      <c r="C25" s="423"/>
      <c r="D25" s="423"/>
      <c r="E25" s="423"/>
      <c r="F25" s="423"/>
      <c r="G25" s="423"/>
      <c r="H25" s="423"/>
      <c r="I25" s="423"/>
      <c r="J25" s="423"/>
      <c r="K25" s="423"/>
      <c r="L25" s="423"/>
      <c r="M25" s="423"/>
      <c r="N25" s="423"/>
      <c r="O25" s="423"/>
      <c r="P25" s="423"/>
      <c r="Q25" s="423"/>
      <c r="R25" s="423"/>
      <c r="S25" s="423"/>
      <c r="T25" s="423"/>
      <c r="U25" s="423"/>
      <c r="V25" s="423"/>
      <c r="W25" s="423"/>
      <c r="X25" s="423"/>
    </row>
    <row r="26" ht="15.75" customHeight="1">
      <c r="B26" s="424" t="s">
        <v>56</v>
      </c>
      <c r="C26" s="425">
        <v>0.0</v>
      </c>
      <c r="D26" s="425">
        <v>0.59</v>
      </c>
      <c r="E26" s="425">
        <v>2.87</v>
      </c>
      <c r="F26" s="425">
        <v>2.38</v>
      </c>
      <c r="G26" s="426">
        <f t="shared" ref="G26:G31" si="20">SUM(C26:F26)</f>
        <v>5.84</v>
      </c>
      <c r="I26" s="425">
        <v>0.0</v>
      </c>
      <c r="J26" s="425">
        <v>0.59</v>
      </c>
      <c r="K26" s="425">
        <v>2.87</v>
      </c>
      <c r="L26" s="425">
        <v>5.69</v>
      </c>
      <c r="M26" s="426">
        <f t="shared" ref="M26:M31" si="21">SUM(I26:L26)</f>
        <v>9.15</v>
      </c>
      <c r="O26" s="427" t="str">
        <f t="shared" ref="O26:S26" si="19">IFERROR(I26/C26-1,"")</f>
        <v/>
      </c>
      <c r="P26" s="427">
        <f t="shared" si="19"/>
        <v>0</v>
      </c>
      <c r="Q26" s="427">
        <f t="shared" si="19"/>
        <v>0</v>
      </c>
      <c r="R26" s="427">
        <f t="shared" si="19"/>
        <v>1.390756303</v>
      </c>
      <c r="S26" s="427">
        <f t="shared" si="19"/>
        <v>0.5667808219</v>
      </c>
      <c r="U26" s="428">
        <v>6.43</v>
      </c>
      <c r="V26" s="428">
        <v>-0.13</v>
      </c>
      <c r="W26" s="428">
        <v>3.44</v>
      </c>
      <c r="X26" s="429">
        <f t="shared" ref="X26:X31" si="23">IFERROR(W26-V26,"")</f>
        <v>3.57</v>
      </c>
    </row>
    <row r="27" ht="15.75" customHeight="1">
      <c r="B27" s="424" t="s">
        <v>57</v>
      </c>
      <c r="C27" s="425">
        <v>0.0</v>
      </c>
      <c r="D27" s="425">
        <v>0.65</v>
      </c>
      <c r="E27" s="425">
        <v>3.66</v>
      </c>
      <c r="F27" s="425">
        <v>3.47</v>
      </c>
      <c r="G27" s="426">
        <f t="shared" si="20"/>
        <v>7.78</v>
      </c>
      <c r="I27" s="425">
        <v>0.0</v>
      </c>
      <c r="J27" s="425">
        <v>0.65</v>
      </c>
      <c r="K27" s="425">
        <v>3.66</v>
      </c>
      <c r="L27" s="425">
        <v>13.05</v>
      </c>
      <c r="M27" s="426">
        <f t="shared" si="21"/>
        <v>17.36</v>
      </c>
      <c r="O27" s="427" t="str">
        <f t="shared" ref="O27:S27" si="22">IFERROR(I27/C27-1,"")</f>
        <v/>
      </c>
      <c r="P27" s="427">
        <f t="shared" si="22"/>
        <v>0</v>
      </c>
      <c r="Q27" s="427">
        <f t="shared" si="22"/>
        <v>0</v>
      </c>
      <c r="R27" s="427">
        <f t="shared" si="22"/>
        <v>2.760806916</v>
      </c>
      <c r="S27" s="427">
        <f t="shared" si="22"/>
        <v>1.231362468</v>
      </c>
      <c r="U27" s="428">
        <v>13.52</v>
      </c>
      <c r="V27" s="428">
        <v>0.13</v>
      </c>
      <c r="W27" s="428">
        <v>16.95</v>
      </c>
      <c r="X27" s="429">
        <f t="shared" si="23"/>
        <v>16.82</v>
      </c>
    </row>
    <row r="28" ht="15.75" customHeight="1">
      <c r="B28" s="424" t="s">
        <v>58</v>
      </c>
      <c r="C28" s="425">
        <v>0.0</v>
      </c>
      <c r="D28" s="425">
        <v>0.58</v>
      </c>
      <c r="E28" s="425">
        <v>4.65</v>
      </c>
      <c r="F28" s="425">
        <v>4.15</v>
      </c>
      <c r="G28" s="426">
        <f t="shared" si="20"/>
        <v>9.38</v>
      </c>
      <c r="I28" s="425">
        <v>0.0</v>
      </c>
      <c r="J28" s="425">
        <v>0.58</v>
      </c>
      <c r="K28" s="425">
        <v>4.65</v>
      </c>
      <c r="L28" s="425">
        <v>16.92</v>
      </c>
      <c r="M28" s="426">
        <f t="shared" si="21"/>
        <v>22.15</v>
      </c>
      <c r="O28" s="427" t="str">
        <f t="shared" ref="O28:S28" si="24">IFERROR(I28/C28-1,"")</f>
        <v/>
      </c>
      <c r="P28" s="427">
        <f t="shared" si="24"/>
        <v>0</v>
      </c>
      <c r="Q28" s="427">
        <f t="shared" si="24"/>
        <v>0</v>
      </c>
      <c r="R28" s="427">
        <f t="shared" si="24"/>
        <v>3.077108434</v>
      </c>
      <c r="S28" s="427">
        <f t="shared" si="24"/>
        <v>1.361407249</v>
      </c>
      <c r="U28" s="428">
        <v>17.51</v>
      </c>
      <c r="V28" s="428">
        <v>0.04</v>
      </c>
      <c r="W28" s="428">
        <v>23.93</v>
      </c>
      <c r="X28" s="429">
        <f t="shared" si="23"/>
        <v>23.89</v>
      </c>
    </row>
    <row r="29" ht="15.75" customHeight="1">
      <c r="B29" s="424" t="s">
        <v>59</v>
      </c>
      <c r="C29" s="425">
        <v>0.0</v>
      </c>
      <c r="D29" s="425">
        <v>0.68</v>
      </c>
      <c r="E29" s="425">
        <v>7.71</v>
      </c>
      <c r="F29" s="425">
        <v>5.13</v>
      </c>
      <c r="G29" s="426">
        <f t="shared" si="20"/>
        <v>13.52</v>
      </c>
      <c r="I29" s="425">
        <v>0.0</v>
      </c>
      <c r="J29" s="425">
        <v>0.68</v>
      </c>
      <c r="K29" s="425">
        <v>7.71</v>
      </c>
      <c r="L29" s="425">
        <v>23.38</v>
      </c>
      <c r="M29" s="426">
        <f t="shared" si="21"/>
        <v>31.77</v>
      </c>
      <c r="O29" s="427" t="str">
        <f t="shared" ref="O29:S29" si="25">IFERROR(I29/C29-1,"")</f>
        <v/>
      </c>
      <c r="P29" s="427">
        <f t="shared" si="25"/>
        <v>0</v>
      </c>
      <c r="Q29" s="427">
        <f t="shared" si="25"/>
        <v>0</v>
      </c>
      <c r="R29" s="427">
        <f t="shared" si="25"/>
        <v>3.557504873</v>
      </c>
      <c r="S29" s="427">
        <f t="shared" si="25"/>
        <v>1.349852071</v>
      </c>
      <c r="U29" s="428">
        <v>24.78</v>
      </c>
      <c r="V29" s="428">
        <v>-0.62</v>
      </c>
      <c r="W29" s="428">
        <v>31.99</v>
      </c>
      <c r="X29" s="429">
        <f t="shared" si="23"/>
        <v>32.61</v>
      </c>
    </row>
    <row r="30" ht="15.75" customHeight="1">
      <c r="B30" s="424" t="s">
        <v>60</v>
      </c>
      <c r="C30" s="425">
        <v>0.0</v>
      </c>
      <c r="D30" s="425">
        <v>0.63</v>
      </c>
      <c r="E30" s="425">
        <v>11.81</v>
      </c>
      <c r="F30" s="425">
        <v>4.42</v>
      </c>
      <c r="G30" s="426">
        <f t="shared" si="20"/>
        <v>16.86</v>
      </c>
      <c r="I30" s="425">
        <v>0.0</v>
      </c>
      <c r="J30" s="425">
        <v>0.63</v>
      </c>
      <c r="K30" s="425">
        <v>11.81</v>
      </c>
      <c r="L30" s="425">
        <v>23.64</v>
      </c>
      <c r="M30" s="426">
        <f t="shared" si="21"/>
        <v>36.08</v>
      </c>
      <c r="O30" s="427" t="str">
        <f t="shared" ref="O30:S30" si="26">IFERROR(I30/C30-1,"")</f>
        <v/>
      </c>
      <c r="P30" s="427">
        <f t="shared" si="26"/>
        <v>0</v>
      </c>
      <c r="Q30" s="427">
        <f t="shared" si="26"/>
        <v>0</v>
      </c>
      <c r="R30" s="427">
        <f t="shared" si="26"/>
        <v>4.34841629</v>
      </c>
      <c r="S30" s="427">
        <f t="shared" si="26"/>
        <v>1.139976275</v>
      </c>
      <c r="U30" s="428">
        <v>29.83</v>
      </c>
      <c r="V30" s="428">
        <v>-1.98</v>
      </c>
      <c r="W30" s="428">
        <v>29.77</v>
      </c>
      <c r="X30" s="429">
        <f t="shared" si="23"/>
        <v>31.75</v>
      </c>
    </row>
    <row r="31" ht="15.75" customHeight="1">
      <c r="B31" s="430" t="s">
        <v>1856</v>
      </c>
      <c r="C31" s="431">
        <v>0.0</v>
      </c>
      <c r="D31" s="431">
        <v>0.61</v>
      </c>
      <c r="E31" s="431">
        <v>3.92</v>
      </c>
      <c r="F31" s="431">
        <v>3.22</v>
      </c>
      <c r="G31" s="432">
        <f t="shared" si="20"/>
        <v>7.75</v>
      </c>
      <c r="I31" s="431">
        <v>0.0</v>
      </c>
      <c r="J31" s="431">
        <v>0.61</v>
      </c>
      <c r="K31" s="431">
        <v>3.92</v>
      </c>
      <c r="L31" s="431">
        <v>11.23</v>
      </c>
      <c r="M31" s="432">
        <f t="shared" si="21"/>
        <v>15.76</v>
      </c>
      <c r="O31" s="433" t="str">
        <f t="shared" ref="O31:S31" si="27">IFERROR(I31/C31-1,"")</f>
        <v/>
      </c>
      <c r="P31" s="433">
        <f t="shared" si="27"/>
        <v>0</v>
      </c>
      <c r="Q31" s="433">
        <f t="shared" si="27"/>
        <v>0</v>
      </c>
      <c r="R31" s="433">
        <f t="shared" si="27"/>
        <v>2.48757764</v>
      </c>
      <c r="S31" s="433">
        <f t="shared" si="27"/>
        <v>1.033548387</v>
      </c>
      <c r="U31" s="434">
        <v>12.02</v>
      </c>
      <c r="V31" s="434">
        <v>-0.11</v>
      </c>
      <c r="W31" s="434">
        <v>13.15</v>
      </c>
      <c r="X31" s="435">
        <f t="shared" si="23"/>
        <v>13.26</v>
      </c>
    </row>
    <row r="32" ht="15.75" customHeight="1">
      <c r="B32" s="423" t="s">
        <v>1857</v>
      </c>
      <c r="C32" s="423"/>
      <c r="D32" s="423"/>
      <c r="E32" s="423"/>
      <c r="F32" s="423"/>
      <c r="G32" s="423"/>
      <c r="H32" s="423"/>
      <c r="I32" s="423"/>
      <c r="J32" s="423"/>
      <c r="K32" s="423"/>
      <c r="L32" s="423"/>
      <c r="M32" s="423"/>
      <c r="N32" s="423"/>
      <c r="O32" s="423"/>
      <c r="P32" s="423"/>
      <c r="Q32" s="423"/>
      <c r="R32" s="423"/>
      <c r="S32" s="423"/>
      <c r="T32" s="423"/>
      <c r="U32" s="423"/>
      <c r="V32" s="423"/>
      <c r="W32" s="423"/>
      <c r="X32" s="423"/>
    </row>
    <row r="33" ht="15.75" customHeight="1">
      <c r="B33" s="424" t="s">
        <v>56</v>
      </c>
      <c r="C33" s="425">
        <v>0.0</v>
      </c>
      <c r="D33" s="425">
        <v>1.02</v>
      </c>
      <c r="E33" s="425">
        <v>3.36</v>
      </c>
      <c r="F33" s="425">
        <v>3.39</v>
      </c>
      <c r="G33" s="426">
        <f t="shared" ref="G33:G38" si="29">SUM(C33:F33)</f>
        <v>7.77</v>
      </c>
      <c r="I33" s="425">
        <v>0.0</v>
      </c>
      <c r="J33" s="425">
        <v>1.02</v>
      </c>
      <c r="K33" s="425">
        <v>3.36</v>
      </c>
      <c r="L33" s="425">
        <v>7.81</v>
      </c>
      <c r="M33" s="426">
        <f t="shared" ref="M33:M38" si="30">SUM(I33:L33)</f>
        <v>12.19</v>
      </c>
      <c r="O33" s="427" t="str">
        <f t="shared" ref="O33:S33" si="28">IFERROR(I33/C33-1,"")</f>
        <v/>
      </c>
      <c r="P33" s="427">
        <f t="shared" si="28"/>
        <v>0</v>
      </c>
      <c r="Q33" s="427">
        <f t="shared" si="28"/>
        <v>0</v>
      </c>
      <c r="R33" s="427">
        <f t="shared" si="28"/>
        <v>1.303834808</v>
      </c>
      <c r="S33" s="427">
        <f t="shared" si="28"/>
        <v>0.5688545689</v>
      </c>
      <c r="U33" s="428">
        <v>10.63</v>
      </c>
      <c r="V33" s="428">
        <v>-0.55</v>
      </c>
      <c r="W33" s="428">
        <v>5.19</v>
      </c>
      <c r="X33" s="429">
        <f t="shared" ref="X33:X38" si="32">IFERROR(W33-V33,"")</f>
        <v>5.74</v>
      </c>
    </row>
    <row r="34" ht="15.75" customHeight="1">
      <c r="B34" s="424" t="s">
        <v>57</v>
      </c>
      <c r="C34" s="425">
        <v>0.0</v>
      </c>
      <c r="D34" s="425">
        <v>0.75</v>
      </c>
      <c r="E34" s="425">
        <v>3.44</v>
      </c>
      <c r="F34" s="425">
        <v>4.23</v>
      </c>
      <c r="G34" s="426">
        <f t="shared" si="29"/>
        <v>8.42</v>
      </c>
      <c r="I34" s="425">
        <v>0.0</v>
      </c>
      <c r="J34" s="425">
        <v>0.75</v>
      </c>
      <c r="K34" s="425">
        <v>3.44</v>
      </c>
      <c r="L34" s="425">
        <v>14.33</v>
      </c>
      <c r="M34" s="426">
        <f t="shared" si="30"/>
        <v>18.52</v>
      </c>
      <c r="O34" s="427" t="str">
        <f t="shared" ref="O34:S34" si="31">IFERROR(I34/C34-1,"")</f>
        <v/>
      </c>
      <c r="P34" s="427">
        <f t="shared" si="31"/>
        <v>0</v>
      </c>
      <c r="Q34" s="427">
        <f t="shared" si="31"/>
        <v>0</v>
      </c>
      <c r="R34" s="427">
        <f t="shared" si="31"/>
        <v>2.387706856</v>
      </c>
      <c r="S34" s="427">
        <f t="shared" si="31"/>
        <v>1.199524941</v>
      </c>
      <c r="U34" s="428">
        <v>18.65</v>
      </c>
      <c r="V34" s="428">
        <v>-0.21</v>
      </c>
      <c r="W34" s="428">
        <v>21.91</v>
      </c>
      <c r="X34" s="429">
        <f t="shared" si="32"/>
        <v>22.12</v>
      </c>
    </row>
    <row r="35" ht="15.75" customHeight="1">
      <c r="B35" s="424" t="s">
        <v>58</v>
      </c>
      <c r="C35" s="425">
        <v>0.0</v>
      </c>
      <c r="D35" s="425">
        <v>0.6</v>
      </c>
      <c r="E35" s="425">
        <v>4.25</v>
      </c>
      <c r="F35" s="425">
        <v>5.0</v>
      </c>
      <c r="G35" s="426">
        <f t="shared" si="29"/>
        <v>9.85</v>
      </c>
      <c r="I35" s="425">
        <v>0.0</v>
      </c>
      <c r="J35" s="425">
        <v>0.6</v>
      </c>
      <c r="K35" s="425">
        <v>4.25</v>
      </c>
      <c r="L35" s="425">
        <v>17.64</v>
      </c>
      <c r="M35" s="426">
        <f t="shared" si="30"/>
        <v>22.49</v>
      </c>
      <c r="O35" s="427" t="str">
        <f t="shared" ref="O35:S35" si="33">IFERROR(I35/C35-1,"")</f>
        <v/>
      </c>
      <c r="P35" s="427">
        <f t="shared" si="33"/>
        <v>0</v>
      </c>
      <c r="Q35" s="427">
        <f t="shared" si="33"/>
        <v>0</v>
      </c>
      <c r="R35" s="427">
        <f t="shared" si="33"/>
        <v>2.528</v>
      </c>
      <c r="S35" s="427">
        <f t="shared" si="33"/>
        <v>1.283248731</v>
      </c>
      <c r="U35" s="428">
        <v>23.48</v>
      </c>
      <c r="V35" s="428">
        <v>-0.09</v>
      </c>
      <c r="W35" s="428">
        <v>29.92</v>
      </c>
      <c r="X35" s="429">
        <f t="shared" si="32"/>
        <v>30.01</v>
      </c>
    </row>
    <row r="36" ht="15.75" customHeight="1">
      <c r="B36" s="424" t="s">
        <v>59</v>
      </c>
      <c r="C36" s="425">
        <v>0.0</v>
      </c>
      <c r="D36" s="425">
        <v>0.58</v>
      </c>
      <c r="E36" s="425">
        <v>6.82</v>
      </c>
      <c r="F36" s="425">
        <v>6.37</v>
      </c>
      <c r="G36" s="426">
        <f t="shared" si="29"/>
        <v>13.77</v>
      </c>
      <c r="I36" s="425">
        <v>0.0</v>
      </c>
      <c r="J36" s="425">
        <v>0.58</v>
      </c>
      <c r="K36" s="425">
        <v>6.82</v>
      </c>
      <c r="L36" s="425">
        <v>24.23</v>
      </c>
      <c r="M36" s="426">
        <f t="shared" si="30"/>
        <v>31.63</v>
      </c>
      <c r="O36" s="427" t="str">
        <f t="shared" ref="O36:S36" si="34">IFERROR(I36/C36-1,"")</f>
        <v/>
      </c>
      <c r="P36" s="427">
        <f t="shared" si="34"/>
        <v>0</v>
      </c>
      <c r="Q36" s="427">
        <f t="shared" si="34"/>
        <v>0</v>
      </c>
      <c r="R36" s="427">
        <f t="shared" si="34"/>
        <v>2.803767661</v>
      </c>
      <c r="S36" s="427">
        <f t="shared" si="34"/>
        <v>1.297022513</v>
      </c>
      <c r="U36" s="428">
        <v>33.09</v>
      </c>
      <c r="V36" s="428">
        <v>-0.23</v>
      </c>
      <c r="W36" s="428">
        <v>42.38</v>
      </c>
      <c r="X36" s="429">
        <f t="shared" si="32"/>
        <v>42.61</v>
      </c>
    </row>
    <row r="37" ht="15.75" customHeight="1">
      <c r="B37" s="424" t="s">
        <v>60</v>
      </c>
      <c r="C37" s="425">
        <v>0.0</v>
      </c>
      <c r="D37" s="425">
        <v>0.54</v>
      </c>
      <c r="E37" s="425">
        <v>11.02</v>
      </c>
      <c r="F37" s="425">
        <v>6.61</v>
      </c>
      <c r="G37" s="426">
        <f t="shared" si="29"/>
        <v>18.17</v>
      </c>
      <c r="I37" s="425">
        <v>0.0</v>
      </c>
      <c r="J37" s="425">
        <v>0.54</v>
      </c>
      <c r="K37" s="425">
        <v>11.02</v>
      </c>
      <c r="L37" s="425">
        <v>28.19</v>
      </c>
      <c r="M37" s="426">
        <f t="shared" si="30"/>
        <v>39.75</v>
      </c>
      <c r="O37" s="427" t="str">
        <f t="shared" ref="O37:S37" si="35">IFERROR(I37/C37-1,"")</f>
        <v/>
      </c>
      <c r="P37" s="427">
        <f t="shared" si="35"/>
        <v>0</v>
      </c>
      <c r="Q37" s="427">
        <f t="shared" si="35"/>
        <v>0</v>
      </c>
      <c r="R37" s="427">
        <f t="shared" si="35"/>
        <v>3.264750378</v>
      </c>
      <c r="S37" s="427">
        <f t="shared" si="35"/>
        <v>1.187671987</v>
      </c>
      <c r="U37" s="428">
        <v>42.1</v>
      </c>
      <c r="V37" s="428">
        <v>-1.09</v>
      </c>
      <c r="W37" s="428">
        <v>47.61</v>
      </c>
      <c r="X37" s="429">
        <f t="shared" si="32"/>
        <v>48.7</v>
      </c>
    </row>
    <row r="38" ht="15.75" customHeight="1">
      <c r="B38" s="430" t="s">
        <v>1856</v>
      </c>
      <c r="C38" s="431">
        <v>0.0</v>
      </c>
      <c r="D38" s="431">
        <v>0.85</v>
      </c>
      <c r="E38" s="431">
        <v>3.87</v>
      </c>
      <c r="F38" s="431">
        <v>4.1</v>
      </c>
      <c r="G38" s="432">
        <f t="shared" si="29"/>
        <v>8.82</v>
      </c>
      <c r="I38" s="431">
        <v>0.0</v>
      </c>
      <c r="J38" s="431">
        <v>0.85</v>
      </c>
      <c r="K38" s="431">
        <v>3.87</v>
      </c>
      <c r="L38" s="431">
        <v>12.37</v>
      </c>
      <c r="M38" s="432">
        <f t="shared" si="30"/>
        <v>17.09</v>
      </c>
      <c r="O38" s="433" t="str">
        <f t="shared" ref="O38:S38" si="36">IFERROR(I38/C38-1,"")</f>
        <v/>
      </c>
      <c r="P38" s="433">
        <f t="shared" si="36"/>
        <v>0</v>
      </c>
      <c r="Q38" s="433">
        <f t="shared" si="36"/>
        <v>0</v>
      </c>
      <c r="R38" s="433">
        <f t="shared" si="36"/>
        <v>2.017073171</v>
      </c>
      <c r="S38" s="433">
        <f t="shared" si="36"/>
        <v>0.9376417234</v>
      </c>
      <c r="U38" s="434">
        <v>16.6</v>
      </c>
      <c r="V38" s="434">
        <v>-0.38</v>
      </c>
      <c r="W38" s="434">
        <v>16.31</v>
      </c>
      <c r="X38" s="435">
        <f t="shared" si="32"/>
        <v>16.69</v>
      </c>
    </row>
    <row r="39" ht="15.75" customHeight="1"/>
    <row r="40" ht="15.75" customHeight="1"/>
    <row r="41" ht="15.75" customHeight="1">
      <c r="B41" s="410" t="s">
        <v>1859</v>
      </c>
      <c r="C41" s="410"/>
      <c r="D41" s="410"/>
      <c r="E41" s="410"/>
      <c r="F41" s="410"/>
      <c r="G41" s="410"/>
      <c r="H41" s="410"/>
      <c r="I41" s="410"/>
      <c r="J41" s="410"/>
      <c r="K41" s="410"/>
      <c r="L41" s="410"/>
      <c r="M41" s="410"/>
      <c r="N41" s="410"/>
      <c r="O41" s="410"/>
      <c r="P41" s="410"/>
      <c r="Q41" s="410"/>
      <c r="R41" s="410"/>
      <c r="S41" s="410"/>
      <c r="T41" s="410"/>
      <c r="U41" s="410"/>
      <c r="V41" s="410"/>
      <c r="W41" s="410"/>
      <c r="X41" s="410"/>
    </row>
    <row r="42" ht="15.75" customHeight="1">
      <c r="C42" s="411" t="s">
        <v>1843</v>
      </c>
      <c r="D42" s="412"/>
      <c r="E42" s="412"/>
      <c r="F42" s="412"/>
      <c r="G42" s="412"/>
      <c r="I42" s="413" t="s">
        <v>1844</v>
      </c>
      <c r="J42" s="414"/>
      <c r="K42" s="414"/>
      <c r="L42" s="414"/>
      <c r="M42" s="414"/>
      <c r="O42" s="415" t="s">
        <v>1845</v>
      </c>
      <c r="P42" s="416"/>
      <c r="Q42" s="416"/>
      <c r="R42" s="416"/>
      <c r="S42" s="416"/>
      <c r="U42" s="417" t="s">
        <v>1846</v>
      </c>
      <c r="V42" s="418"/>
      <c r="W42" s="418"/>
      <c r="X42" s="418"/>
    </row>
    <row r="43" ht="15.75" customHeight="1">
      <c r="B43" s="157" t="s">
        <v>1847</v>
      </c>
      <c r="C43" s="419" t="s">
        <v>1848</v>
      </c>
      <c r="D43" s="419" t="s">
        <v>1849</v>
      </c>
      <c r="E43" s="419" t="s">
        <v>1850</v>
      </c>
      <c r="F43" s="419" t="s">
        <v>1851</v>
      </c>
      <c r="G43" s="419" t="s">
        <v>111</v>
      </c>
      <c r="I43" s="420" t="s">
        <v>1848</v>
      </c>
      <c r="J43" s="420" t="s">
        <v>1849</v>
      </c>
      <c r="K43" s="420" t="s">
        <v>1850</v>
      </c>
      <c r="L43" s="420" t="s">
        <v>1851</v>
      </c>
      <c r="M43" s="420" t="s">
        <v>111</v>
      </c>
      <c r="O43" s="421" t="s">
        <v>1848</v>
      </c>
      <c r="P43" s="421" t="s">
        <v>1849</v>
      </c>
      <c r="Q43" s="421" t="s">
        <v>1850</v>
      </c>
      <c r="R43" s="421" t="s">
        <v>1851</v>
      </c>
      <c r="S43" s="421" t="s">
        <v>111</v>
      </c>
      <c r="U43" s="422" t="s">
        <v>1852</v>
      </c>
      <c r="V43" s="422" t="s">
        <v>1853</v>
      </c>
      <c r="W43" s="422" t="s">
        <v>1854</v>
      </c>
      <c r="X43" s="422" t="s">
        <v>1855</v>
      </c>
    </row>
    <row r="44" ht="15.75" customHeight="1">
      <c r="B44" s="423" t="s">
        <v>163</v>
      </c>
      <c r="C44" s="423"/>
      <c r="D44" s="423"/>
      <c r="E44" s="423"/>
      <c r="F44" s="423"/>
      <c r="G44" s="423"/>
      <c r="H44" s="423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</row>
    <row r="45" ht="15.75" customHeight="1">
      <c r="B45" s="424" t="s">
        <v>56</v>
      </c>
      <c r="C45" s="425">
        <v>0.0</v>
      </c>
      <c r="D45" s="425">
        <v>0.62</v>
      </c>
      <c r="E45" s="425">
        <v>2.46</v>
      </c>
      <c r="F45" s="425">
        <v>1.91</v>
      </c>
      <c r="G45" s="426">
        <f t="shared" ref="G45:G50" si="38">SUM(C45:F45)</f>
        <v>4.99</v>
      </c>
      <c r="I45" s="425">
        <v>0.0</v>
      </c>
      <c r="J45" s="425">
        <v>0.62</v>
      </c>
      <c r="K45" s="425">
        <v>2.46</v>
      </c>
      <c r="L45" s="425">
        <v>2.31</v>
      </c>
      <c r="M45" s="426">
        <f t="shared" ref="M45:M50" si="39">SUM(I45:L45)</f>
        <v>5.39</v>
      </c>
      <c r="O45" s="427" t="str">
        <f t="shared" ref="O45:S45" si="37">IFERROR(I45/C45-1,"")</f>
        <v/>
      </c>
      <c r="P45" s="427">
        <f t="shared" si="37"/>
        <v>0</v>
      </c>
      <c r="Q45" s="427">
        <f t="shared" si="37"/>
        <v>0</v>
      </c>
      <c r="R45" s="427">
        <f t="shared" si="37"/>
        <v>0.2094240838</v>
      </c>
      <c r="S45" s="427">
        <f t="shared" si="37"/>
        <v>0.08016032064</v>
      </c>
      <c r="U45" s="428">
        <v>5.33</v>
      </c>
      <c r="V45" s="428">
        <v>-0.05</v>
      </c>
      <c r="W45" s="428">
        <v>0.37</v>
      </c>
      <c r="X45" s="429">
        <f t="shared" ref="X45:X50" si="41">IFERROR(W45-V45,"")</f>
        <v>0.42</v>
      </c>
    </row>
    <row r="46" ht="15.75" customHeight="1">
      <c r="B46" s="424" t="s">
        <v>57</v>
      </c>
      <c r="C46" s="425">
        <v>0.0</v>
      </c>
      <c r="D46" s="425">
        <v>0.65</v>
      </c>
      <c r="E46" s="425">
        <v>3.26</v>
      </c>
      <c r="F46" s="425">
        <v>3.29</v>
      </c>
      <c r="G46" s="426">
        <f t="shared" si="38"/>
        <v>7.2</v>
      </c>
      <c r="I46" s="425">
        <v>0.0</v>
      </c>
      <c r="J46" s="425">
        <v>0.65</v>
      </c>
      <c r="K46" s="425">
        <v>3.26</v>
      </c>
      <c r="L46" s="425">
        <v>5.77</v>
      </c>
      <c r="M46" s="426">
        <f t="shared" si="39"/>
        <v>9.68</v>
      </c>
      <c r="O46" s="427" t="str">
        <f t="shared" ref="O46:S46" si="40">IFERROR(I46/C46-1,"")</f>
        <v/>
      </c>
      <c r="P46" s="427">
        <f t="shared" si="40"/>
        <v>0</v>
      </c>
      <c r="Q46" s="427">
        <f t="shared" si="40"/>
        <v>0</v>
      </c>
      <c r="R46" s="427">
        <f t="shared" si="40"/>
        <v>0.7537993921</v>
      </c>
      <c r="S46" s="427">
        <f t="shared" si="40"/>
        <v>0.3444444444</v>
      </c>
      <c r="U46" s="428">
        <v>12.42</v>
      </c>
      <c r="V46" s="428">
        <v>0.3</v>
      </c>
      <c r="W46" s="428">
        <v>4.69</v>
      </c>
      <c r="X46" s="429">
        <f t="shared" si="41"/>
        <v>4.39</v>
      </c>
    </row>
    <row r="47" ht="15.75" customHeight="1">
      <c r="B47" s="424" t="s">
        <v>58</v>
      </c>
      <c r="C47" s="425">
        <v>0.0</v>
      </c>
      <c r="D47" s="425">
        <v>0.56</v>
      </c>
      <c r="E47" s="425">
        <v>4.62</v>
      </c>
      <c r="F47" s="425">
        <v>4.48</v>
      </c>
      <c r="G47" s="426">
        <f t="shared" si="38"/>
        <v>9.66</v>
      </c>
      <c r="I47" s="425">
        <v>0.0</v>
      </c>
      <c r="J47" s="425">
        <v>0.56</v>
      </c>
      <c r="K47" s="425">
        <v>4.62</v>
      </c>
      <c r="L47" s="425">
        <v>8.73</v>
      </c>
      <c r="M47" s="426">
        <f t="shared" si="39"/>
        <v>13.91</v>
      </c>
      <c r="O47" s="427" t="str">
        <f t="shared" ref="O47:S47" si="42">IFERROR(I47/C47-1,"")</f>
        <v/>
      </c>
      <c r="P47" s="427">
        <f t="shared" si="42"/>
        <v>0</v>
      </c>
      <c r="Q47" s="427">
        <f t="shared" si="42"/>
        <v>0</v>
      </c>
      <c r="R47" s="427">
        <f t="shared" si="42"/>
        <v>0.9486607143</v>
      </c>
      <c r="S47" s="427">
        <f t="shared" si="42"/>
        <v>0.4399585921</v>
      </c>
      <c r="U47" s="428">
        <v>18.0</v>
      </c>
      <c r="V47" s="428">
        <v>0.33</v>
      </c>
      <c r="W47" s="428">
        <v>8.39</v>
      </c>
      <c r="X47" s="429">
        <f t="shared" si="41"/>
        <v>8.06</v>
      </c>
    </row>
    <row r="48" ht="15.75" customHeight="1">
      <c r="B48" s="424" t="s">
        <v>59</v>
      </c>
      <c r="C48" s="425">
        <v>0.0</v>
      </c>
      <c r="D48" s="425">
        <v>0.67</v>
      </c>
      <c r="E48" s="425">
        <v>8.58</v>
      </c>
      <c r="F48" s="425">
        <v>5.72</v>
      </c>
      <c r="G48" s="426">
        <f t="shared" si="38"/>
        <v>14.97</v>
      </c>
      <c r="I48" s="425">
        <v>0.0</v>
      </c>
      <c r="J48" s="425">
        <v>0.67</v>
      </c>
      <c r="K48" s="425">
        <v>8.58</v>
      </c>
      <c r="L48" s="425">
        <v>13.49</v>
      </c>
      <c r="M48" s="426">
        <f t="shared" si="39"/>
        <v>22.74</v>
      </c>
      <c r="O48" s="427" t="str">
        <f t="shared" ref="O48:S48" si="43">IFERROR(I48/C48-1,"")</f>
        <v/>
      </c>
      <c r="P48" s="427">
        <f t="shared" si="43"/>
        <v>0</v>
      </c>
      <c r="Q48" s="427">
        <f t="shared" si="43"/>
        <v>0</v>
      </c>
      <c r="R48" s="427">
        <f t="shared" si="43"/>
        <v>1.358391608</v>
      </c>
      <c r="S48" s="427">
        <f t="shared" si="43"/>
        <v>0.5190380762</v>
      </c>
      <c r="U48" s="428">
        <v>26.88</v>
      </c>
      <c r="V48" s="428">
        <v>-0.05</v>
      </c>
      <c r="W48" s="428">
        <v>13.87</v>
      </c>
      <c r="X48" s="429">
        <f t="shared" si="41"/>
        <v>13.92</v>
      </c>
    </row>
    <row r="49" ht="15.75" customHeight="1">
      <c r="B49" s="424" t="s">
        <v>60</v>
      </c>
      <c r="C49" s="425">
        <v>0.0</v>
      </c>
      <c r="D49" s="425">
        <v>0.64</v>
      </c>
      <c r="E49" s="425">
        <v>13.59</v>
      </c>
      <c r="F49" s="425">
        <v>4.83</v>
      </c>
      <c r="G49" s="426">
        <f t="shared" si="38"/>
        <v>19.06</v>
      </c>
      <c r="I49" s="425">
        <v>0.0</v>
      </c>
      <c r="J49" s="425">
        <v>0.64</v>
      </c>
      <c r="K49" s="425">
        <v>13.59</v>
      </c>
      <c r="L49" s="425">
        <v>15.64</v>
      </c>
      <c r="M49" s="426">
        <f t="shared" si="39"/>
        <v>29.87</v>
      </c>
      <c r="O49" s="427" t="str">
        <f t="shared" ref="O49:S49" si="44">IFERROR(I49/C49-1,"")</f>
        <v/>
      </c>
      <c r="P49" s="427">
        <f t="shared" si="44"/>
        <v>0</v>
      </c>
      <c r="Q49" s="427">
        <f t="shared" si="44"/>
        <v>0</v>
      </c>
      <c r="R49" s="427">
        <f t="shared" si="44"/>
        <v>2.238095238</v>
      </c>
      <c r="S49" s="427">
        <f t="shared" si="44"/>
        <v>0.5671563484</v>
      </c>
      <c r="U49" s="428">
        <v>42.46</v>
      </c>
      <c r="V49" s="428">
        <v>-10.95</v>
      </c>
      <c r="W49" s="428">
        <v>6.91</v>
      </c>
      <c r="X49" s="429">
        <f t="shared" si="41"/>
        <v>17.86</v>
      </c>
    </row>
    <row r="50" ht="15.75" customHeight="1">
      <c r="B50" s="430" t="s">
        <v>1856</v>
      </c>
      <c r="C50" s="431">
        <v>0.0</v>
      </c>
      <c r="D50" s="431">
        <v>0.62</v>
      </c>
      <c r="E50" s="431">
        <v>3.72</v>
      </c>
      <c r="F50" s="431">
        <v>3.06</v>
      </c>
      <c r="G50" s="432">
        <f t="shared" si="38"/>
        <v>7.4</v>
      </c>
      <c r="I50" s="431">
        <v>0.0</v>
      </c>
      <c r="J50" s="431">
        <v>0.62</v>
      </c>
      <c r="K50" s="431">
        <v>3.72</v>
      </c>
      <c r="L50" s="431">
        <v>5.43</v>
      </c>
      <c r="M50" s="432">
        <f t="shared" si="39"/>
        <v>9.77</v>
      </c>
      <c r="O50" s="433" t="str">
        <f t="shared" ref="O50:S50" si="45">IFERROR(I50/C50-1,"")</f>
        <v/>
      </c>
      <c r="P50" s="433">
        <f t="shared" si="45"/>
        <v>0</v>
      </c>
      <c r="Q50" s="433">
        <f t="shared" si="45"/>
        <v>0</v>
      </c>
      <c r="R50" s="433">
        <f t="shared" si="45"/>
        <v>0.7745098039</v>
      </c>
      <c r="S50" s="433">
        <f t="shared" si="45"/>
        <v>0.3202702703</v>
      </c>
      <c r="U50" s="434">
        <v>11.66</v>
      </c>
      <c r="V50" s="434">
        <v>-0.06</v>
      </c>
      <c r="W50" s="434">
        <v>4.07</v>
      </c>
      <c r="X50" s="435">
        <f t="shared" si="41"/>
        <v>4.13</v>
      </c>
    </row>
    <row r="51" ht="15.75" customHeight="1">
      <c r="B51" s="423" t="s">
        <v>1857</v>
      </c>
      <c r="C51" s="423"/>
      <c r="D51" s="423"/>
      <c r="E51" s="423"/>
      <c r="F51" s="423"/>
      <c r="G51" s="423"/>
      <c r="H51" s="423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</row>
    <row r="52" ht="15.75" customHeight="1">
      <c r="B52" s="424" t="s">
        <v>56</v>
      </c>
      <c r="C52" s="425">
        <v>0.0</v>
      </c>
      <c r="D52" s="425">
        <v>1.06</v>
      </c>
      <c r="E52" s="425">
        <v>2.84</v>
      </c>
      <c r="F52" s="425">
        <v>2.8</v>
      </c>
      <c r="G52" s="426">
        <f t="shared" ref="G52:G57" si="47">SUM(C52:F52)</f>
        <v>6.7</v>
      </c>
      <c r="I52" s="425">
        <v>0.0</v>
      </c>
      <c r="J52" s="425">
        <v>1.06</v>
      </c>
      <c r="K52" s="425">
        <v>2.84</v>
      </c>
      <c r="L52" s="425">
        <v>3.55</v>
      </c>
      <c r="M52" s="426">
        <f t="shared" ref="M52:M57" si="48">SUM(I52:L52)</f>
        <v>7.45</v>
      </c>
      <c r="O52" s="427" t="str">
        <f t="shared" ref="O52:S52" si="46">IFERROR(I52/C52-1,"")</f>
        <v/>
      </c>
      <c r="P52" s="427">
        <f t="shared" si="46"/>
        <v>0</v>
      </c>
      <c r="Q52" s="427">
        <f t="shared" si="46"/>
        <v>0</v>
      </c>
      <c r="R52" s="427">
        <f t="shared" si="46"/>
        <v>0.2678571429</v>
      </c>
      <c r="S52" s="427">
        <f t="shared" si="46"/>
        <v>0.1119402985</v>
      </c>
      <c r="U52" s="428">
        <v>8.95</v>
      </c>
      <c r="V52" s="428">
        <v>-0.35</v>
      </c>
      <c r="W52" s="428">
        <v>0.61</v>
      </c>
      <c r="X52" s="429">
        <f t="shared" ref="X52:X57" si="50">IFERROR(W52-V52,"")</f>
        <v>0.96</v>
      </c>
    </row>
    <row r="53" ht="15.75" customHeight="1">
      <c r="B53" s="424" t="s">
        <v>57</v>
      </c>
      <c r="C53" s="425">
        <v>0.0</v>
      </c>
      <c r="D53" s="425">
        <v>0.75</v>
      </c>
      <c r="E53" s="425">
        <v>3.05</v>
      </c>
      <c r="F53" s="425">
        <v>3.94</v>
      </c>
      <c r="G53" s="426">
        <f t="shared" si="47"/>
        <v>7.74</v>
      </c>
      <c r="I53" s="425">
        <v>0.0</v>
      </c>
      <c r="J53" s="425">
        <v>0.75</v>
      </c>
      <c r="K53" s="425">
        <v>3.05</v>
      </c>
      <c r="L53" s="425">
        <v>6.62</v>
      </c>
      <c r="M53" s="426">
        <f t="shared" si="48"/>
        <v>10.42</v>
      </c>
      <c r="O53" s="427" t="str">
        <f t="shared" ref="O53:S53" si="49">IFERROR(I53/C53-1,"")</f>
        <v/>
      </c>
      <c r="P53" s="427">
        <f t="shared" si="49"/>
        <v>0</v>
      </c>
      <c r="Q53" s="427">
        <f t="shared" si="49"/>
        <v>0</v>
      </c>
      <c r="R53" s="427">
        <f t="shared" si="49"/>
        <v>0.6802030457</v>
      </c>
      <c r="S53" s="427">
        <f t="shared" si="49"/>
        <v>0.34625323</v>
      </c>
      <c r="U53" s="428">
        <v>17.07</v>
      </c>
      <c r="V53" s="428">
        <v>0.0</v>
      </c>
      <c r="W53" s="428">
        <v>5.91</v>
      </c>
      <c r="X53" s="429">
        <f t="shared" si="50"/>
        <v>5.91</v>
      </c>
    </row>
    <row r="54" ht="15.75" customHeight="1">
      <c r="B54" s="424" t="s">
        <v>58</v>
      </c>
      <c r="C54" s="425">
        <v>0.0</v>
      </c>
      <c r="D54" s="425">
        <v>0.59</v>
      </c>
      <c r="E54" s="425">
        <v>4.15</v>
      </c>
      <c r="F54" s="425">
        <v>5.08</v>
      </c>
      <c r="G54" s="426">
        <f t="shared" si="47"/>
        <v>9.82</v>
      </c>
      <c r="I54" s="425">
        <v>0.0</v>
      </c>
      <c r="J54" s="425">
        <v>0.59</v>
      </c>
      <c r="K54" s="425">
        <v>4.15</v>
      </c>
      <c r="L54" s="425">
        <v>9.4</v>
      </c>
      <c r="M54" s="426">
        <f t="shared" si="48"/>
        <v>14.14</v>
      </c>
      <c r="O54" s="427" t="str">
        <f t="shared" ref="O54:S54" si="51">IFERROR(I54/C54-1,"")</f>
        <v/>
      </c>
      <c r="P54" s="427">
        <f t="shared" si="51"/>
        <v>0</v>
      </c>
      <c r="Q54" s="427">
        <f t="shared" si="51"/>
        <v>0</v>
      </c>
      <c r="R54" s="427">
        <f t="shared" si="51"/>
        <v>0.8503937008</v>
      </c>
      <c r="S54" s="427">
        <f t="shared" si="51"/>
        <v>0.4399185336</v>
      </c>
      <c r="U54" s="428">
        <v>23.23</v>
      </c>
      <c r="V54" s="428">
        <v>0.16</v>
      </c>
      <c r="W54" s="428">
        <v>10.45</v>
      </c>
      <c r="X54" s="429">
        <f t="shared" si="50"/>
        <v>10.29</v>
      </c>
    </row>
    <row r="55" ht="15.75" customHeight="1">
      <c r="B55" s="424" t="s">
        <v>59</v>
      </c>
      <c r="C55" s="425">
        <v>0.0</v>
      </c>
      <c r="D55" s="425">
        <v>0.57</v>
      </c>
      <c r="E55" s="425">
        <v>7.38</v>
      </c>
      <c r="F55" s="425">
        <v>6.57</v>
      </c>
      <c r="G55" s="426">
        <f t="shared" si="47"/>
        <v>14.52</v>
      </c>
      <c r="I55" s="425">
        <v>0.0</v>
      </c>
      <c r="J55" s="425">
        <v>0.57</v>
      </c>
      <c r="K55" s="425">
        <v>7.38</v>
      </c>
      <c r="L55" s="425">
        <v>14.19</v>
      </c>
      <c r="M55" s="426">
        <f t="shared" si="48"/>
        <v>22.14</v>
      </c>
      <c r="O55" s="427" t="str">
        <f t="shared" ref="O55:S55" si="52">IFERROR(I55/C55-1,"")</f>
        <v/>
      </c>
      <c r="P55" s="427">
        <f t="shared" si="52"/>
        <v>0</v>
      </c>
      <c r="Q55" s="427">
        <f t="shared" si="52"/>
        <v>0</v>
      </c>
      <c r="R55" s="427">
        <f t="shared" si="52"/>
        <v>1.159817352</v>
      </c>
      <c r="S55" s="427">
        <f t="shared" si="52"/>
        <v>0.5247933884</v>
      </c>
      <c r="U55" s="428">
        <v>34.18</v>
      </c>
      <c r="V55" s="428">
        <v>0.07</v>
      </c>
      <c r="W55" s="428">
        <v>18.04</v>
      </c>
      <c r="X55" s="429">
        <f t="shared" si="50"/>
        <v>17.97</v>
      </c>
    </row>
    <row r="56" ht="15.75" customHeight="1">
      <c r="B56" s="424" t="s">
        <v>60</v>
      </c>
      <c r="C56" s="425">
        <v>0.0</v>
      </c>
      <c r="D56" s="425">
        <v>0.54</v>
      </c>
      <c r="E56" s="425">
        <v>12.71</v>
      </c>
      <c r="F56" s="425">
        <v>6.58</v>
      </c>
      <c r="G56" s="426">
        <f t="shared" si="47"/>
        <v>19.83</v>
      </c>
      <c r="I56" s="425">
        <v>0.0</v>
      </c>
      <c r="J56" s="425">
        <v>0.54</v>
      </c>
      <c r="K56" s="425">
        <v>12.71</v>
      </c>
      <c r="L56" s="425">
        <v>19.11</v>
      </c>
      <c r="M56" s="426">
        <f t="shared" si="48"/>
        <v>32.36</v>
      </c>
      <c r="O56" s="427" t="str">
        <f t="shared" ref="O56:S56" si="53">IFERROR(I56/C56-1,"")</f>
        <v/>
      </c>
      <c r="P56" s="427">
        <f t="shared" si="53"/>
        <v>0</v>
      </c>
      <c r="Q56" s="427">
        <f t="shared" si="53"/>
        <v>0</v>
      </c>
      <c r="R56" s="427">
        <f t="shared" si="53"/>
        <v>1.904255319</v>
      </c>
      <c r="S56" s="427">
        <f t="shared" si="53"/>
        <v>0.6318709027</v>
      </c>
      <c r="U56" s="428">
        <v>44.43</v>
      </c>
      <c r="V56" s="428">
        <v>-0.9</v>
      </c>
      <c r="W56" s="428">
        <v>26.6</v>
      </c>
      <c r="X56" s="429">
        <f t="shared" si="50"/>
        <v>27.5</v>
      </c>
    </row>
    <row r="57" ht="15.75" customHeight="1">
      <c r="B57" s="430" t="s">
        <v>1856</v>
      </c>
      <c r="C57" s="431">
        <v>0.0</v>
      </c>
      <c r="D57" s="431">
        <v>0.87</v>
      </c>
      <c r="E57" s="431">
        <v>3.56</v>
      </c>
      <c r="F57" s="431">
        <v>3.76</v>
      </c>
      <c r="G57" s="432">
        <f t="shared" si="47"/>
        <v>8.19</v>
      </c>
      <c r="I57" s="431">
        <v>0.0</v>
      </c>
      <c r="J57" s="431">
        <v>0.87</v>
      </c>
      <c r="K57" s="431">
        <v>3.56</v>
      </c>
      <c r="L57" s="431">
        <v>6.18</v>
      </c>
      <c r="M57" s="432">
        <f t="shared" si="48"/>
        <v>10.61</v>
      </c>
      <c r="O57" s="433" t="str">
        <f t="shared" ref="O57:S57" si="54">IFERROR(I57/C57-1,"")</f>
        <v/>
      </c>
      <c r="P57" s="433">
        <f t="shared" si="54"/>
        <v>0</v>
      </c>
      <c r="Q57" s="433">
        <f t="shared" si="54"/>
        <v>0</v>
      </c>
      <c r="R57" s="433">
        <f t="shared" si="54"/>
        <v>0.6436170213</v>
      </c>
      <c r="S57" s="433">
        <f t="shared" si="54"/>
        <v>0.2954822955</v>
      </c>
      <c r="U57" s="434">
        <v>15.43</v>
      </c>
      <c r="V57" s="434">
        <v>-0.16</v>
      </c>
      <c r="W57" s="434">
        <v>5.02</v>
      </c>
      <c r="X57" s="435">
        <f t="shared" si="50"/>
        <v>5.18</v>
      </c>
    </row>
    <row r="58" ht="15.75" customHeight="1"/>
    <row r="59" ht="15.75" customHeight="1"/>
    <row r="60" ht="15.75" customHeight="1">
      <c r="B60" s="410" t="s">
        <v>1860</v>
      </c>
      <c r="C60" s="410"/>
      <c r="D60" s="410"/>
      <c r="E60" s="410"/>
      <c r="F60" s="410"/>
      <c r="G60" s="410"/>
      <c r="H60" s="410"/>
      <c r="I60" s="410"/>
      <c r="J60" s="410"/>
      <c r="K60" s="410"/>
      <c r="L60" s="410"/>
      <c r="M60" s="410"/>
      <c r="N60" s="410"/>
      <c r="O60" s="410"/>
      <c r="P60" s="410"/>
      <c r="Q60" s="410"/>
      <c r="R60" s="410"/>
      <c r="S60" s="410"/>
      <c r="T60" s="410"/>
      <c r="U60" s="410"/>
      <c r="V60" s="410"/>
      <c r="W60" s="410"/>
      <c r="X60" s="410"/>
    </row>
    <row r="61" ht="15.75" customHeight="1">
      <c r="C61" s="411" t="s">
        <v>1843</v>
      </c>
      <c r="D61" s="412"/>
      <c r="E61" s="412"/>
      <c r="F61" s="412"/>
      <c r="G61" s="412"/>
      <c r="I61" s="413" t="s">
        <v>1844</v>
      </c>
      <c r="J61" s="414"/>
      <c r="K61" s="414"/>
      <c r="L61" s="414"/>
      <c r="M61" s="414"/>
      <c r="O61" s="415" t="s">
        <v>1845</v>
      </c>
      <c r="P61" s="416"/>
      <c r="Q61" s="416"/>
      <c r="R61" s="416"/>
      <c r="S61" s="416"/>
      <c r="U61" s="417" t="s">
        <v>1846</v>
      </c>
      <c r="V61" s="418"/>
      <c r="W61" s="418"/>
      <c r="X61" s="418"/>
    </row>
    <row r="62" ht="15.75" customHeight="1">
      <c r="B62" s="157" t="s">
        <v>1847</v>
      </c>
      <c r="C62" s="419" t="s">
        <v>1848</v>
      </c>
      <c r="D62" s="419" t="s">
        <v>1849</v>
      </c>
      <c r="E62" s="419" t="s">
        <v>1850</v>
      </c>
      <c r="F62" s="419" t="s">
        <v>1851</v>
      </c>
      <c r="G62" s="419" t="s">
        <v>111</v>
      </c>
      <c r="I62" s="420" t="s">
        <v>1848</v>
      </c>
      <c r="J62" s="420" t="s">
        <v>1849</v>
      </c>
      <c r="K62" s="420" t="s">
        <v>1850</v>
      </c>
      <c r="L62" s="420" t="s">
        <v>1851</v>
      </c>
      <c r="M62" s="420" t="s">
        <v>111</v>
      </c>
      <c r="O62" s="421" t="s">
        <v>1848</v>
      </c>
      <c r="P62" s="421" t="s">
        <v>1849</v>
      </c>
      <c r="Q62" s="421" t="s">
        <v>1850</v>
      </c>
      <c r="R62" s="421" t="s">
        <v>1851</v>
      </c>
      <c r="S62" s="421" t="s">
        <v>111</v>
      </c>
      <c r="U62" s="422" t="s">
        <v>1852</v>
      </c>
      <c r="V62" s="422" t="s">
        <v>1853</v>
      </c>
      <c r="W62" s="422" t="s">
        <v>1854</v>
      </c>
      <c r="X62" s="422" t="s">
        <v>1855</v>
      </c>
    </row>
    <row r="63" ht="15.75" customHeight="1">
      <c r="B63" s="423" t="s">
        <v>163</v>
      </c>
      <c r="C63" s="423"/>
      <c r="D63" s="423"/>
      <c r="E63" s="423"/>
      <c r="F63" s="423"/>
      <c r="G63" s="423"/>
      <c r="H63" s="423"/>
      <c r="I63" s="423"/>
      <c r="J63" s="423"/>
      <c r="K63" s="423"/>
      <c r="L63" s="423"/>
      <c r="M63" s="423"/>
      <c r="N63" s="423"/>
      <c r="O63" s="423"/>
      <c r="P63" s="423"/>
      <c r="Q63" s="423"/>
      <c r="R63" s="423"/>
      <c r="S63" s="423"/>
      <c r="T63" s="423"/>
      <c r="U63" s="423"/>
      <c r="V63" s="423"/>
      <c r="W63" s="423"/>
      <c r="X63" s="423"/>
    </row>
    <row r="64" ht="15.75" customHeight="1">
      <c r="B64" s="424" t="s">
        <v>56</v>
      </c>
      <c r="C64" s="425">
        <v>0.0</v>
      </c>
      <c r="D64" s="425">
        <v>0.35</v>
      </c>
      <c r="E64" s="425">
        <v>1.32</v>
      </c>
      <c r="F64" s="425">
        <v>1.43</v>
      </c>
      <c r="G64" s="426">
        <f t="shared" ref="G64:G69" si="56">SUM(C64:F64)</f>
        <v>3.1</v>
      </c>
      <c r="I64" s="425">
        <v>0.0</v>
      </c>
      <c r="J64" s="425">
        <v>0.35</v>
      </c>
      <c r="K64" s="425">
        <v>1.32</v>
      </c>
      <c r="L64" s="425">
        <v>1.53</v>
      </c>
      <c r="M64" s="426">
        <f t="shared" ref="M64:M69" si="57">SUM(I64:L64)</f>
        <v>3.2</v>
      </c>
      <c r="O64" s="427" t="str">
        <f t="shared" ref="O64:S64" si="55">IFERROR(I64/C64-1,"")</f>
        <v/>
      </c>
      <c r="P64" s="427">
        <f t="shared" si="55"/>
        <v>0</v>
      </c>
      <c r="Q64" s="427">
        <f t="shared" si="55"/>
        <v>0</v>
      </c>
      <c r="R64" s="427">
        <f t="shared" si="55"/>
        <v>0.06993006993</v>
      </c>
      <c r="S64" s="427">
        <f t="shared" si="55"/>
        <v>0.03225806452</v>
      </c>
      <c r="U64" s="428">
        <v>2.61</v>
      </c>
      <c r="V64" s="428">
        <v>0.1</v>
      </c>
      <c r="W64" s="428">
        <v>0.19</v>
      </c>
      <c r="X64" s="429">
        <f t="shared" ref="X64:X69" si="59">IFERROR(W64-V64,"")</f>
        <v>0.09</v>
      </c>
    </row>
    <row r="65" ht="15.75" customHeight="1">
      <c r="B65" s="424" t="s">
        <v>57</v>
      </c>
      <c r="C65" s="425">
        <v>0.0</v>
      </c>
      <c r="D65" s="425">
        <v>0.35</v>
      </c>
      <c r="E65" s="425">
        <v>2.03</v>
      </c>
      <c r="F65" s="425">
        <v>1.8</v>
      </c>
      <c r="G65" s="426">
        <f t="shared" si="56"/>
        <v>4.18</v>
      </c>
      <c r="I65" s="425">
        <v>0.0</v>
      </c>
      <c r="J65" s="425">
        <v>0.35</v>
      </c>
      <c r="K65" s="425">
        <v>2.03</v>
      </c>
      <c r="L65" s="425">
        <v>3.94</v>
      </c>
      <c r="M65" s="426">
        <f t="shared" si="57"/>
        <v>6.32</v>
      </c>
      <c r="O65" s="427" t="str">
        <f t="shared" ref="O65:S65" si="58">IFERROR(I65/C65-1,"")</f>
        <v/>
      </c>
      <c r="P65" s="427">
        <f t="shared" si="58"/>
        <v>0</v>
      </c>
      <c r="Q65" s="427">
        <f t="shared" si="58"/>
        <v>0</v>
      </c>
      <c r="R65" s="427">
        <f t="shared" si="58"/>
        <v>1.188888889</v>
      </c>
      <c r="S65" s="427">
        <f t="shared" si="58"/>
        <v>0.5119617225</v>
      </c>
      <c r="U65" s="428">
        <v>6.24</v>
      </c>
      <c r="V65" s="428">
        <v>0.27</v>
      </c>
      <c r="W65" s="428">
        <v>3.6</v>
      </c>
      <c r="X65" s="429">
        <f t="shared" si="59"/>
        <v>3.33</v>
      </c>
    </row>
    <row r="66" ht="15.75" customHeight="1">
      <c r="B66" s="424" t="s">
        <v>58</v>
      </c>
      <c r="C66" s="425">
        <v>0.0</v>
      </c>
      <c r="D66" s="425">
        <v>0.29</v>
      </c>
      <c r="E66" s="425">
        <v>3.02</v>
      </c>
      <c r="F66" s="425">
        <v>2.44</v>
      </c>
      <c r="G66" s="426">
        <f t="shared" si="56"/>
        <v>5.75</v>
      </c>
      <c r="I66" s="425">
        <v>0.0</v>
      </c>
      <c r="J66" s="425">
        <v>0.29</v>
      </c>
      <c r="K66" s="425">
        <v>3.02</v>
      </c>
      <c r="L66" s="425">
        <v>6.65</v>
      </c>
      <c r="M66" s="426">
        <f t="shared" si="57"/>
        <v>9.96</v>
      </c>
      <c r="O66" s="427" t="str">
        <f t="shared" ref="O66:S66" si="60">IFERROR(I66/C66-1,"")</f>
        <v/>
      </c>
      <c r="P66" s="427">
        <f t="shared" si="60"/>
        <v>0</v>
      </c>
      <c r="Q66" s="427">
        <f t="shared" si="60"/>
        <v>0</v>
      </c>
      <c r="R66" s="427">
        <f t="shared" si="60"/>
        <v>1.725409836</v>
      </c>
      <c r="S66" s="427">
        <f t="shared" si="60"/>
        <v>0.732173913</v>
      </c>
      <c r="U66" s="428">
        <v>9.69</v>
      </c>
      <c r="V66" s="428">
        <v>0.39</v>
      </c>
      <c r="W66" s="428">
        <v>7.76</v>
      </c>
      <c r="X66" s="429">
        <f t="shared" si="59"/>
        <v>7.37</v>
      </c>
    </row>
    <row r="67" ht="15.75" customHeight="1">
      <c r="B67" s="424" t="s">
        <v>59</v>
      </c>
      <c r="C67" s="425">
        <v>0.0</v>
      </c>
      <c r="D67" s="425">
        <v>0.33</v>
      </c>
      <c r="E67" s="425">
        <v>5.54</v>
      </c>
      <c r="F67" s="425">
        <v>4.09</v>
      </c>
      <c r="G67" s="426">
        <f t="shared" si="56"/>
        <v>9.96</v>
      </c>
      <c r="I67" s="425">
        <v>0.0</v>
      </c>
      <c r="J67" s="425">
        <v>0.33</v>
      </c>
      <c r="K67" s="425">
        <v>5.54</v>
      </c>
      <c r="L67" s="425">
        <v>13.11</v>
      </c>
      <c r="M67" s="426">
        <f t="shared" si="57"/>
        <v>18.98</v>
      </c>
      <c r="O67" s="427" t="str">
        <f t="shared" ref="O67:S67" si="61">IFERROR(I67/C67-1,"")</f>
        <v/>
      </c>
      <c r="P67" s="427">
        <f t="shared" si="61"/>
        <v>0</v>
      </c>
      <c r="Q67" s="427">
        <f t="shared" si="61"/>
        <v>0</v>
      </c>
      <c r="R67" s="427">
        <f t="shared" si="61"/>
        <v>2.205378973</v>
      </c>
      <c r="S67" s="427">
        <f t="shared" si="61"/>
        <v>0.90562249</v>
      </c>
      <c r="U67" s="428">
        <v>17.31</v>
      </c>
      <c r="V67" s="428">
        <v>-0.14</v>
      </c>
      <c r="W67" s="428">
        <v>15.41</v>
      </c>
      <c r="X67" s="429">
        <f t="shared" si="59"/>
        <v>15.55</v>
      </c>
    </row>
    <row r="68" ht="15.75" customHeight="1">
      <c r="B68" s="424" t="s">
        <v>60</v>
      </c>
      <c r="C68" s="425">
        <v>0.0</v>
      </c>
      <c r="D68" s="425">
        <v>0.3</v>
      </c>
      <c r="E68" s="425">
        <v>8.29</v>
      </c>
      <c r="F68" s="425">
        <v>4.49</v>
      </c>
      <c r="G68" s="426">
        <f t="shared" si="56"/>
        <v>13.08</v>
      </c>
      <c r="I68" s="425">
        <v>0.0</v>
      </c>
      <c r="J68" s="425">
        <v>0.3</v>
      </c>
      <c r="K68" s="425">
        <v>8.29</v>
      </c>
      <c r="L68" s="425">
        <v>16.79</v>
      </c>
      <c r="M68" s="426">
        <f t="shared" si="57"/>
        <v>25.38</v>
      </c>
      <c r="O68" s="427" t="str">
        <f t="shared" ref="O68:S68" si="62">IFERROR(I68/C68-1,"")</f>
        <v/>
      </c>
      <c r="P68" s="427">
        <f t="shared" si="62"/>
        <v>0</v>
      </c>
      <c r="Q68" s="427">
        <f t="shared" si="62"/>
        <v>0</v>
      </c>
      <c r="R68" s="427">
        <f t="shared" si="62"/>
        <v>2.739420935</v>
      </c>
      <c r="S68" s="427">
        <f t="shared" si="62"/>
        <v>0.9403669725</v>
      </c>
      <c r="U68" s="428">
        <v>24.67</v>
      </c>
      <c r="V68" s="428">
        <v>-2.97</v>
      </c>
      <c r="W68" s="428">
        <v>17.44</v>
      </c>
      <c r="X68" s="429">
        <f t="shared" si="59"/>
        <v>20.41</v>
      </c>
    </row>
    <row r="69" ht="15.75" customHeight="1">
      <c r="B69" s="430" t="s">
        <v>1856</v>
      </c>
      <c r="C69" s="431">
        <v>0.0</v>
      </c>
      <c r="D69" s="431">
        <v>0.34</v>
      </c>
      <c r="E69" s="431">
        <v>2.25</v>
      </c>
      <c r="F69" s="431">
        <v>1.97</v>
      </c>
      <c r="G69" s="432">
        <f t="shared" si="56"/>
        <v>4.56</v>
      </c>
      <c r="I69" s="431">
        <v>0.0</v>
      </c>
      <c r="J69" s="431">
        <v>0.34</v>
      </c>
      <c r="K69" s="431">
        <v>2.25</v>
      </c>
      <c r="L69" s="431">
        <v>4.23</v>
      </c>
      <c r="M69" s="432">
        <f t="shared" si="57"/>
        <v>6.82</v>
      </c>
      <c r="O69" s="433" t="str">
        <f t="shared" ref="O69:S69" si="63">IFERROR(I69/C69-1,"")</f>
        <v/>
      </c>
      <c r="P69" s="433">
        <f t="shared" si="63"/>
        <v>0</v>
      </c>
      <c r="Q69" s="433">
        <f t="shared" si="63"/>
        <v>0</v>
      </c>
      <c r="R69" s="433">
        <f t="shared" si="63"/>
        <v>1.147208122</v>
      </c>
      <c r="S69" s="433">
        <f t="shared" si="63"/>
        <v>0.4956140351</v>
      </c>
      <c r="U69" s="434">
        <v>6.32</v>
      </c>
      <c r="V69" s="434">
        <v>0.12</v>
      </c>
      <c r="W69" s="434">
        <v>3.9</v>
      </c>
      <c r="X69" s="435">
        <f t="shared" si="59"/>
        <v>3.78</v>
      </c>
    </row>
    <row r="70" ht="15.75" customHeight="1">
      <c r="B70" s="423" t="s">
        <v>1857</v>
      </c>
      <c r="C70" s="423"/>
      <c r="D70" s="423"/>
      <c r="E70" s="423"/>
      <c r="F70" s="423"/>
      <c r="G70" s="423"/>
      <c r="H70" s="423"/>
      <c r="I70" s="423"/>
      <c r="J70" s="423"/>
      <c r="K70" s="423"/>
      <c r="L70" s="423"/>
      <c r="M70" s="423"/>
      <c r="N70" s="423"/>
      <c r="O70" s="423"/>
      <c r="P70" s="423"/>
      <c r="Q70" s="423"/>
      <c r="R70" s="423"/>
      <c r="S70" s="423"/>
      <c r="T70" s="423"/>
      <c r="U70" s="423"/>
      <c r="V70" s="423"/>
      <c r="W70" s="423"/>
      <c r="X70" s="423"/>
    </row>
    <row r="71" ht="15.75" customHeight="1">
      <c r="B71" s="424" t="s">
        <v>56</v>
      </c>
      <c r="C71" s="425">
        <v>0.0</v>
      </c>
      <c r="D71" s="425">
        <v>0.56</v>
      </c>
      <c r="E71" s="425">
        <v>1.38</v>
      </c>
      <c r="F71" s="425">
        <v>2.21</v>
      </c>
      <c r="G71" s="426">
        <f t="shared" ref="G71:G76" si="65">SUM(C71:F71)</f>
        <v>4.15</v>
      </c>
      <c r="I71" s="425">
        <v>0.0</v>
      </c>
      <c r="J71" s="425">
        <v>0.56</v>
      </c>
      <c r="K71" s="425">
        <v>1.38</v>
      </c>
      <c r="L71" s="425">
        <v>2.38</v>
      </c>
      <c r="M71" s="426">
        <f t="shared" ref="M71:M76" si="66">SUM(I71:L71)</f>
        <v>4.32</v>
      </c>
      <c r="O71" s="427" t="str">
        <f t="shared" ref="O71:S71" si="64">IFERROR(I71/C71-1,"")</f>
        <v/>
      </c>
      <c r="P71" s="427">
        <f t="shared" si="64"/>
        <v>0</v>
      </c>
      <c r="Q71" s="427">
        <f t="shared" si="64"/>
        <v>0</v>
      </c>
      <c r="R71" s="427">
        <f t="shared" si="64"/>
        <v>0.07692307692</v>
      </c>
      <c r="S71" s="427">
        <f t="shared" si="64"/>
        <v>0.04096385542</v>
      </c>
      <c r="U71" s="428">
        <v>5.03</v>
      </c>
      <c r="V71" s="428">
        <v>-0.08</v>
      </c>
      <c r="W71" s="428">
        <v>0.13</v>
      </c>
      <c r="X71" s="429">
        <f t="shared" ref="X71:X76" si="68">IFERROR(W71-V71,"")</f>
        <v>0.21</v>
      </c>
    </row>
    <row r="72" ht="15.75" customHeight="1">
      <c r="B72" s="424" t="s">
        <v>57</v>
      </c>
      <c r="C72" s="425">
        <v>0.0</v>
      </c>
      <c r="D72" s="425">
        <v>0.4</v>
      </c>
      <c r="E72" s="425">
        <v>1.86</v>
      </c>
      <c r="F72" s="425">
        <v>2.59</v>
      </c>
      <c r="G72" s="426">
        <f t="shared" si="65"/>
        <v>4.85</v>
      </c>
      <c r="I72" s="425">
        <v>0.0</v>
      </c>
      <c r="J72" s="425">
        <v>0.4</v>
      </c>
      <c r="K72" s="425">
        <v>1.86</v>
      </c>
      <c r="L72" s="425">
        <v>4.9</v>
      </c>
      <c r="M72" s="426">
        <f t="shared" si="66"/>
        <v>7.16</v>
      </c>
      <c r="O72" s="427" t="str">
        <f t="shared" ref="O72:S72" si="67">IFERROR(I72/C72-1,"")</f>
        <v/>
      </c>
      <c r="P72" s="427">
        <f t="shared" si="67"/>
        <v>0</v>
      </c>
      <c r="Q72" s="427">
        <f t="shared" si="67"/>
        <v>0</v>
      </c>
      <c r="R72" s="427">
        <f t="shared" si="67"/>
        <v>0.8918918919</v>
      </c>
      <c r="S72" s="427">
        <f t="shared" si="67"/>
        <v>0.4762886598</v>
      </c>
      <c r="U72" s="428">
        <v>10.22</v>
      </c>
      <c r="V72" s="428">
        <v>0.11</v>
      </c>
      <c r="W72" s="428">
        <v>5.03</v>
      </c>
      <c r="X72" s="429">
        <f t="shared" si="68"/>
        <v>4.92</v>
      </c>
    </row>
    <row r="73" ht="15.75" customHeight="1">
      <c r="B73" s="424" t="s">
        <v>58</v>
      </c>
      <c r="C73" s="425">
        <v>0.0</v>
      </c>
      <c r="D73" s="425">
        <v>0.3</v>
      </c>
      <c r="E73" s="425">
        <v>2.69</v>
      </c>
      <c r="F73" s="425">
        <v>3.36</v>
      </c>
      <c r="G73" s="426">
        <f t="shared" si="65"/>
        <v>6.35</v>
      </c>
      <c r="I73" s="425">
        <v>0.0</v>
      </c>
      <c r="J73" s="425">
        <v>0.3</v>
      </c>
      <c r="K73" s="425">
        <v>2.69</v>
      </c>
      <c r="L73" s="425">
        <v>7.49</v>
      </c>
      <c r="M73" s="426">
        <f t="shared" si="66"/>
        <v>10.48</v>
      </c>
      <c r="O73" s="427" t="str">
        <f t="shared" ref="O73:S73" si="69">IFERROR(I73/C73-1,"")</f>
        <v/>
      </c>
      <c r="P73" s="427">
        <f t="shared" si="69"/>
        <v>0</v>
      </c>
      <c r="Q73" s="427">
        <f t="shared" si="69"/>
        <v>0</v>
      </c>
      <c r="R73" s="427">
        <f t="shared" si="69"/>
        <v>1.229166667</v>
      </c>
      <c r="S73" s="427">
        <f t="shared" si="69"/>
        <v>0.6503937008</v>
      </c>
      <c r="U73" s="428">
        <v>14.98</v>
      </c>
      <c r="V73" s="428">
        <v>0.19</v>
      </c>
      <c r="W73" s="428">
        <v>10.06</v>
      </c>
      <c r="X73" s="429">
        <f t="shared" si="68"/>
        <v>9.87</v>
      </c>
    </row>
    <row r="74" ht="15.75" customHeight="1">
      <c r="B74" s="424" t="s">
        <v>59</v>
      </c>
      <c r="C74" s="425">
        <v>0.0</v>
      </c>
      <c r="D74" s="425">
        <v>0.28</v>
      </c>
      <c r="E74" s="425">
        <v>4.82</v>
      </c>
      <c r="F74" s="425">
        <v>5.11</v>
      </c>
      <c r="G74" s="426">
        <f t="shared" si="65"/>
        <v>10.21</v>
      </c>
      <c r="I74" s="425">
        <v>0.0</v>
      </c>
      <c r="J74" s="425">
        <v>0.28</v>
      </c>
      <c r="K74" s="425">
        <v>4.82</v>
      </c>
      <c r="L74" s="425">
        <v>13.7</v>
      </c>
      <c r="M74" s="426">
        <f t="shared" si="66"/>
        <v>18.8</v>
      </c>
      <c r="O74" s="427" t="str">
        <f t="shared" ref="O74:S74" si="70">IFERROR(I74/C74-1,"")</f>
        <v/>
      </c>
      <c r="P74" s="427">
        <f t="shared" si="70"/>
        <v>0</v>
      </c>
      <c r="Q74" s="427">
        <f t="shared" si="70"/>
        <v>0</v>
      </c>
      <c r="R74" s="427">
        <f t="shared" si="70"/>
        <v>1.681017613</v>
      </c>
      <c r="S74" s="427">
        <f t="shared" si="70"/>
        <v>0.8413320274</v>
      </c>
      <c r="U74" s="428">
        <v>24.59</v>
      </c>
      <c r="V74" s="428">
        <v>0.16</v>
      </c>
      <c r="W74" s="428">
        <v>20.98</v>
      </c>
      <c r="X74" s="429">
        <f t="shared" si="68"/>
        <v>20.82</v>
      </c>
    </row>
    <row r="75" ht="15.75" customHeight="1">
      <c r="B75" s="424" t="s">
        <v>60</v>
      </c>
      <c r="C75" s="425">
        <v>0.0</v>
      </c>
      <c r="D75" s="425">
        <v>0.26</v>
      </c>
      <c r="E75" s="425">
        <v>7.95</v>
      </c>
      <c r="F75" s="425">
        <v>6.08</v>
      </c>
      <c r="G75" s="426">
        <f t="shared" si="65"/>
        <v>14.29</v>
      </c>
      <c r="I75" s="425">
        <v>0.0</v>
      </c>
      <c r="J75" s="425">
        <v>0.26</v>
      </c>
      <c r="K75" s="425">
        <v>7.95</v>
      </c>
      <c r="L75" s="425">
        <v>19.85</v>
      </c>
      <c r="M75" s="426">
        <f t="shared" si="66"/>
        <v>28.06</v>
      </c>
      <c r="O75" s="427" t="str">
        <f t="shared" ref="O75:S75" si="71">IFERROR(I75/C75-1,"")</f>
        <v/>
      </c>
      <c r="P75" s="427">
        <f t="shared" si="71"/>
        <v>0</v>
      </c>
      <c r="Q75" s="427">
        <f t="shared" si="71"/>
        <v>0</v>
      </c>
      <c r="R75" s="427">
        <f t="shared" si="71"/>
        <v>2.264802632</v>
      </c>
      <c r="S75" s="427">
        <f t="shared" si="71"/>
        <v>0.9636109167</v>
      </c>
      <c r="U75" s="428">
        <v>33.74</v>
      </c>
      <c r="V75" s="428">
        <v>-0.53</v>
      </c>
      <c r="W75" s="428">
        <v>31.49</v>
      </c>
      <c r="X75" s="429">
        <f t="shared" si="68"/>
        <v>32.02</v>
      </c>
    </row>
    <row r="76" ht="15.75" customHeight="1">
      <c r="B76" s="430" t="s">
        <v>1856</v>
      </c>
      <c r="C76" s="431">
        <v>0.0</v>
      </c>
      <c r="D76" s="431">
        <v>0.46</v>
      </c>
      <c r="E76" s="431">
        <v>2.04</v>
      </c>
      <c r="F76" s="431">
        <v>2.75</v>
      </c>
      <c r="G76" s="432">
        <f t="shared" si="65"/>
        <v>5.25</v>
      </c>
      <c r="I76" s="431">
        <v>0.0</v>
      </c>
      <c r="J76" s="431">
        <v>0.46</v>
      </c>
      <c r="K76" s="431">
        <v>2.04</v>
      </c>
      <c r="L76" s="431">
        <v>4.84</v>
      </c>
      <c r="M76" s="432">
        <f t="shared" si="66"/>
        <v>7.34</v>
      </c>
      <c r="O76" s="433" t="str">
        <f t="shared" ref="O76:S76" si="72">IFERROR(I76/C76-1,"")</f>
        <v/>
      </c>
      <c r="P76" s="433">
        <f t="shared" si="72"/>
        <v>0</v>
      </c>
      <c r="Q76" s="433">
        <f t="shared" si="72"/>
        <v>0</v>
      </c>
      <c r="R76" s="433">
        <f t="shared" si="72"/>
        <v>0.76</v>
      </c>
      <c r="S76" s="433">
        <f t="shared" si="72"/>
        <v>0.3980952381</v>
      </c>
      <c r="U76" s="434">
        <v>9.63</v>
      </c>
      <c r="V76" s="434">
        <v>0.02</v>
      </c>
      <c r="W76" s="434">
        <v>4.79</v>
      </c>
      <c r="X76" s="435">
        <f t="shared" si="68"/>
        <v>4.77</v>
      </c>
    </row>
    <row r="77" ht="15.75" customHeight="1"/>
    <row r="78" ht="15.75" customHeight="1"/>
    <row r="79" ht="15.75" customHeight="1">
      <c r="B79" s="410" t="s">
        <v>1861</v>
      </c>
      <c r="C79" s="410"/>
      <c r="D79" s="410"/>
      <c r="E79" s="410"/>
      <c r="F79" s="410"/>
      <c r="G79" s="410"/>
      <c r="H79" s="410"/>
      <c r="I79" s="410"/>
      <c r="J79" s="410"/>
      <c r="K79" s="410"/>
      <c r="L79" s="410"/>
      <c r="M79" s="410"/>
      <c r="N79" s="410"/>
      <c r="O79" s="410"/>
      <c r="P79" s="410"/>
      <c r="Q79" s="410"/>
      <c r="R79" s="410"/>
      <c r="S79" s="410"/>
      <c r="T79" s="410"/>
      <c r="U79" s="410"/>
      <c r="V79" s="410"/>
      <c r="W79" s="410"/>
      <c r="X79" s="410"/>
    </row>
    <row r="80" ht="15.75" customHeight="1">
      <c r="C80" s="411" t="s">
        <v>1843</v>
      </c>
      <c r="D80" s="412"/>
      <c r="E80" s="412"/>
      <c r="F80" s="412"/>
      <c r="G80" s="412"/>
      <c r="I80" s="413" t="s">
        <v>1844</v>
      </c>
      <c r="J80" s="414"/>
      <c r="K80" s="414"/>
      <c r="L80" s="414"/>
      <c r="M80" s="414"/>
      <c r="O80" s="415" t="s">
        <v>1845</v>
      </c>
      <c r="P80" s="416"/>
      <c r="Q80" s="416"/>
      <c r="R80" s="416"/>
      <c r="S80" s="416"/>
      <c r="U80" s="417" t="s">
        <v>1846</v>
      </c>
      <c r="V80" s="418"/>
      <c r="W80" s="418"/>
      <c r="X80" s="418"/>
    </row>
    <row r="81" ht="15.75" customHeight="1">
      <c r="B81" s="157" t="s">
        <v>1847</v>
      </c>
      <c r="C81" s="419" t="s">
        <v>1848</v>
      </c>
      <c r="D81" s="419" t="s">
        <v>1849</v>
      </c>
      <c r="E81" s="419" t="s">
        <v>1850</v>
      </c>
      <c r="F81" s="419" t="s">
        <v>1851</v>
      </c>
      <c r="G81" s="419" t="s">
        <v>111</v>
      </c>
      <c r="I81" s="420" t="s">
        <v>1848</v>
      </c>
      <c r="J81" s="420" t="s">
        <v>1849</v>
      </c>
      <c r="K81" s="420" t="s">
        <v>1850</v>
      </c>
      <c r="L81" s="420" t="s">
        <v>1851</v>
      </c>
      <c r="M81" s="420" t="s">
        <v>111</v>
      </c>
      <c r="O81" s="421" t="s">
        <v>1848</v>
      </c>
      <c r="P81" s="421" t="s">
        <v>1849</v>
      </c>
      <c r="Q81" s="421" t="s">
        <v>1850</v>
      </c>
      <c r="R81" s="421" t="s">
        <v>1851</v>
      </c>
      <c r="S81" s="421" t="s">
        <v>111</v>
      </c>
      <c r="U81" s="422" t="s">
        <v>1852</v>
      </c>
      <c r="V81" s="422" t="s">
        <v>1853</v>
      </c>
      <c r="W81" s="422" t="s">
        <v>1854</v>
      </c>
      <c r="X81" s="422" t="s">
        <v>1855</v>
      </c>
    </row>
    <row r="82" ht="15.75" customHeight="1">
      <c r="B82" s="423" t="s">
        <v>163</v>
      </c>
      <c r="C82" s="423"/>
      <c r="D82" s="423"/>
      <c r="E82" s="423"/>
      <c r="F82" s="423"/>
      <c r="G82" s="423"/>
      <c r="H82" s="423"/>
      <c r="I82" s="423"/>
      <c r="J82" s="423"/>
      <c r="K82" s="423"/>
      <c r="L82" s="423"/>
      <c r="M82" s="423"/>
      <c r="N82" s="423"/>
      <c r="O82" s="423"/>
      <c r="P82" s="423"/>
      <c r="Q82" s="423"/>
      <c r="R82" s="423"/>
      <c r="S82" s="423"/>
      <c r="T82" s="423"/>
      <c r="U82" s="423"/>
      <c r="V82" s="423"/>
      <c r="W82" s="423"/>
      <c r="X82" s="423"/>
    </row>
    <row r="83" ht="15.75" customHeight="1">
      <c r="B83" s="424" t="s">
        <v>56</v>
      </c>
      <c r="C83" s="425">
        <v>0.0</v>
      </c>
      <c r="D83" s="425">
        <v>0.0</v>
      </c>
      <c r="E83" s="425">
        <v>2.47</v>
      </c>
      <c r="F83" s="425">
        <v>3.96</v>
      </c>
      <c r="G83" s="426">
        <f t="shared" ref="G83:G88" si="74">SUM(C83:F83)</f>
        <v>6.43</v>
      </c>
      <c r="I83" s="425">
        <v>0.0</v>
      </c>
      <c r="J83" s="425">
        <v>0.0</v>
      </c>
      <c r="K83" s="425">
        <v>2.47</v>
      </c>
      <c r="L83" s="425">
        <v>9.06</v>
      </c>
      <c r="M83" s="426">
        <f t="shared" ref="M83:M88" si="75">SUM(I83:L83)</f>
        <v>11.53</v>
      </c>
      <c r="O83" s="427" t="str">
        <f t="shared" ref="O83:S83" si="73">IFERROR(I83/C83-1,"")</f>
        <v/>
      </c>
      <c r="P83" s="427" t="str">
        <f t="shared" si="73"/>
        <v/>
      </c>
      <c r="Q83" s="427">
        <f t="shared" si="73"/>
        <v>0</v>
      </c>
      <c r="R83" s="427">
        <f t="shared" si="73"/>
        <v>1.287878788</v>
      </c>
      <c r="S83" s="427">
        <f t="shared" si="73"/>
        <v>0.7931570762</v>
      </c>
      <c r="U83" s="428">
        <v>8.35</v>
      </c>
      <c r="V83" s="428">
        <v>0.18</v>
      </c>
      <c r="W83" s="428">
        <v>6.94</v>
      </c>
      <c r="X83" s="429">
        <f t="shared" ref="X83:X88" si="77">IFERROR(W83-V83,"")</f>
        <v>6.76</v>
      </c>
    </row>
    <row r="84" ht="15.75" customHeight="1">
      <c r="B84" s="424" t="s">
        <v>57</v>
      </c>
      <c r="C84" s="425">
        <v>0.0</v>
      </c>
      <c r="D84" s="425">
        <v>0.0</v>
      </c>
      <c r="E84" s="425">
        <v>4.37</v>
      </c>
      <c r="F84" s="425">
        <v>4.58</v>
      </c>
      <c r="G84" s="426">
        <f t="shared" si="74"/>
        <v>8.95</v>
      </c>
      <c r="I84" s="425">
        <v>0.0</v>
      </c>
      <c r="J84" s="425">
        <v>0.0</v>
      </c>
      <c r="K84" s="425">
        <v>4.37</v>
      </c>
      <c r="L84" s="425">
        <v>14.59</v>
      </c>
      <c r="M84" s="426">
        <f t="shared" si="75"/>
        <v>18.96</v>
      </c>
      <c r="O84" s="427" t="str">
        <f t="shared" ref="O84:S84" si="76">IFERROR(I84/C84-1,"")</f>
        <v/>
      </c>
      <c r="P84" s="427" t="str">
        <f t="shared" si="76"/>
        <v/>
      </c>
      <c r="Q84" s="427">
        <f t="shared" si="76"/>
        <v>0</v>
      </c>
      <c r="R84" s="427">
        <f t="shared" si="76"/>
        <v>2.18558952</v>
      </c>
      <c r="S84" s="427">
        <f t="shared" si="76"/>
        <v>1.118435754</v>
      </c>
      <c r="U84" s="428">
        <v>17.35</v>
      </c>
      <c r="V84" s="428">
        <v>-0.11</v>
      </c>
      <c r="W84" s="428">
        <v>19.17</v>
      </c>
      <c r="X84" s="429">
        <f t="shared" si="77"/>
        <v>19.28</v>
      </c>
    </row>
    <row r="85" ht="15.75" customHeight="1">
      <c r="B85" s="424" t="s">
        <v>58</v>
      </c>
      <c r="C85" s="425">
        <v>0.0</v>
      </c>
      <c r="D85" s="425">
        <v>0.0</v>
      </c>
      <c r="E85" s="425">
        <v>6.53</v>
      </c>
      <c r="F85" s="425">
        <v>5.28</v>
      </c>
      <c r="G85" s="426">
        <f t="shared" si="74"/>
        <v>11.81</v>
      </c>
      <c r="I85" s="425">
        <v>0.0</v>
      </c>
      <c r="J85" s="425">
        <v>0.0</v>
      </c>
      <c r="K85" s="425">
        <v>6.53</v>
      </c>
      <c r="L85" s="425">
        <v>18.03</v>
      </c>
      <c r="M85" s="426">
        <f t="shared" si="75"/>
        <v>24.56</v>
      </c>
      <c r="O85" s="427" t="str">
        <f t="shared" ref="O85:S85" si="78">IFERROR(I85/C85-1,"")</f>
        <v/>
      </c>
      <c r="P85" s="427" t="str">
        <f t="shared" si="78"/>
        <v/>
      </c>
      <c r="Q85" s="427">
        <f t="shared" si="78"/>
        <v>0</v>
      </c>
      <c r="R85" s="427">
        <f t="shared" si="78"/>
        <v>2.414772727</v>
      </c>
      <c r="S85" s="427">
        <f t="shared" si="78"/>
        <v>1.079593565</v>
      </c>
      <c r="U85" s="428">
        <v>23.46</v>
      </c>
      <c r="V85" s="428">
        <v>-0.08</v>
      </c>
      <c r="W85" s="428">
        <v>25.17</v>
      </c>
      <c r="X85" s="429">
        <f t="shared" si="77"/>
        <v>25.25</v>
      </c>
    </row>
    <row r="86" ht="15.75" customHeight="1">
      <c r="B86" s="424" t="s">
        <v>59</v>
      </c>
      <c r="C86" s="425">
        <v>0.0</v>
      </c>
      <c r="D86" s="425">
        <v>0.0</v>
      </c>
      <c r="E86" s="425">
        <v>12.07</v>
      </c>
      <c r="F86" s="425">
        <v>6.33</v>
      </c>
      <c r="G86" s="426">
        <f t="shared" si="74"/>
        <v>18.4</v>
      </c>
      <c r="I86" s="425">
        <v>0.0</v>
      </c>
      <c r="J86" s="425">
        <v>0.0</v>
      </c>
      <c r="K86" s="425">
        <v>12.07</v>
      </c>
      <c r="L86" s="425">
        <v>22.29</v>
      </c>
      <c r="M86" s="426">
        <f t="shared" si="75"/>
        <v>34.36</v>
      </c>
      <c r="O86" s="427" t="str">
        <f t="shared" ref="O86:S86" si="79">IFERROR(I86/C86-1,"")</f>
        <v/>
      </c>
      <c r="P86" s="427" t="str">
        <f t="shared" si="79"/>
        <v/>
      </c>
      <c r="Q86" s="427">
        <f t="shared" si="79"/>
        <v>0</v>
      </c>
      <c r="R86" s="427">
        <f t="shared" si="79"/>
        <v>2.521327014</v>
      </c>
      <c r="S86" s="427">
        <f t="shared" si="79"/>
        <v>0.8673913043</v>
      </c>
      <c r="U86" s="428">
        <v>32.7</v>
      </c>
      <c r="V86" s="428">
        <v>0.53</v>
      </c>
      <c r="W86" s="428">
        <v>29.35</v>
      </c>
      <c r="X86" s="429">
        <f t="shared" si="77"/>
        <v>28.82</v>
      </c>
    </row>
    <row r="87" ht="15.75" customHeight="1">
      <c r="B87" s="424" t="s">
        <v>60</v>
      </c>
      <c r="C87" s="425">
        <v>0.0</v>
      </c>
      <c r="D87" s="425">
        <v>0.0</v>
      </c>
      <c r="E87" s="425">
        <v>18.32</v>
      </c>
      <c r="F87" s="425">
        <v>6.09</v>
      </c>
      <c r="G87" s="426">
        <f t="shared" si="74"/>
        <v>24.41</v>
      </c>
      <c r="I87" s="425">
        <v>0.0</v>
      </c>
      <c r="J87" s="425">
        <v>0.0</v>
      </c>
      <c r="K87" s="425">
        <v>18.32</v>
      </c>
      <c r="L87" s="425">
        <v>19.22</v>
      </c>
      <c r="M87" s="426">
        <f t="shared" si="75"/>
        <v>37.54</v>
      </c>
      <c r="O87" s="427" t="str">
        <f t="shared" ref="O87:S87" si="80">IFERROR(I87/C87-1,"")</f>
        <v/>
      </c>
      <c r="P87" s="427" t="str">
        <f t="shared" si="80"/>
        <v/>
      </c>
      <c r="Q87" s="427">
        <f t="shared" si="80"/>
        <v>0</v>
      </c>
      <c r="R87" s="427">
        <f t="shared" si="80"/>
        <v>2.155993432</v>
      </c>
      <c r="S87" s="427">
        <f t="shared" si="80"/>
        <v>0.5378943056</v>
      </c>
      <c r="U87" s="428">
        <v>39.33</v>
      </c>
      <c r="V87" s="428">
        <v>3.14</v>
      </c>
      <c r="W87" s="428">
        <v>25.98</v>
      </c>
      <c r="X87" s="429">
        <f t="shared" si="77"/>
        <v>22.84</v>
      </c>
    </row>
    <row r="88" ht="15.75" customHeight="1">
      <c r="B88" s="430" t="s">
        <v>1856</v>
      </c>
      <c r="C88" s="431">
        <v>0.0</v>
      </c>
      <c r="D88" s="431">
        <v>0.0</v>
      </c>
      <c r="E88" s="431">
        <v>4.7</v>
      </c>
      <c r="F88" s="431">
        <v>4.57</v>
      </c>
      <c r="G88" s="432">
        <f t="shared" si="74"/>
        <v>9.27</v>
      </c>
      <c r="I88" s="431">
        <v>0.0</v>
      </c>
      <c r="J88" s="431">
        <v>0.0</v>
      </c>
      <c r="K88" s="431">
        <v>4.7</v>
      </c>
      <c r="L88" s="431">
        <v>13.26</v>
      </c>
      <c r="M88" s="432">
        <f t="shared" si="75"/>
        <v>17.96</v>
      </c>
      <c r="O88" s="433" t="str">
        <f t="shared" ref="O88:S88" si="81">IFERROR(I88/C88-1,"")</f>
        <v/>
      </c>
      <c r="P88" s="433" t="str">
        <f t="shared" si="81"/>
        <v/>
      </c>
      <c r="Q88" s="433">
        <f t="shared" si="81"/>
        <v>0</v>
      </c>
      <c r="R88" s="433">
        <f t="shared" si="81"/>
        <v>1.901531729</v>
      </c>
      <c r="S88" s="433">
        <f t="shared" si="81"/>
        <v>0.9374325782</v>
      </c>
      <c r="U88" s="434">
        <v>15.73</v>
      </c>
      <c r="V88" s="434">
        <v>0.14</v>
      </c>
      <c r="W88" s="434">
        <v>15.31</v>
      </c>
      <c r="X88" s="435">
        <f t="shared" si="77"/>
        <v>15.17</v>
      </c>
    </row>
    <row r="89" ht="15.75" customHeight="1">
      <c r="B89" s="423" t="s">
        <v>1857</v>
      </c>
      <c r="C89" s="423"/>
      <c r="D89" s="423"/>
      <c r="E89" s="423"/>
      <c r="F89" s="423"/>
      <c r="G89" s="423"/>
      <c r="H89" s="423"/>
      <c r="I89" s="423"/>
      <c r="J89" s="423"/>
      <c r="K89" s="423"/>
      <c r="L89" s="423"/>
      <c r="M89" s="423"/>
      <c r="N89" s="423"/>
      <c r="O89" s="423"/>
      <c r="P89" s="423"/>
      <c r="Q89" s="423"/>
      <c r="R89" s="423"/>
      <c r="S89" s="423"/>
      <c r="T89" s="423"/>
      <c r="U89" s="423"/>
      <c r="V89" s="423"/>
      <c r="W89" s="423"/>
      <c r="X89" s="423"/>
    </row>
    <row r="90" ht="15.75" customHeight="1">
      <c r="B90" s="424" t="s">
        <v>56</v>
      </c>
      <c r="C90" s="425">
        <v>0.0</v>
      </c>
      <c r="D90" s="425">
        <v>0.0</v>
      </c>
      <c r="E90" s="425">
        <v>2.86</v>
      </c>
      <c r="F90" s="425">
        <v>5.27</v>
      </c>
      <c r="G90" s="426">
        <f t="shared" ref="G90:G95" si="83">SUM(C90:F90)</f>
        <v>8.13</v>
      </c>
      <c r="I90" s="425">
        <v>0.0</v>
      </c>
      <c r="J90" s="425">
        <v>0.0</v>
      </c>
      <c r="K90" s="425">
        <v>2.86</v>
      </c>
      <c r="L90" s="425">
        <v>11.47</v>
      </c>
      <c r="M90" s="426">
        <f t="shared" ref="M90:M95" si="84">SUM(I90:L90)</f>
        <v>14.33</v>
      </c>
      <c r="O90" s="427" t="str">
        <f t="shared" ref="O90:S90" si="82">IFERROR(I90/C90-1,"")</f>
        <v/>
      </c>
      <c r="P90" s="427" t="str">
        <f t="shared" si="82"/>
        <v/>
      </c>
      <c r="Q90" s="427">
        <f t="shared" si="82"/>
        <v>0</v>
      </c>
      <c r="R90" s="427">
        <f t="shared" si="82"/>
        <v>1.176470588</v>
      </c>
      <c r="S90" s="427">
        <f t="shared" si="82"/>
        <v>0.7626076261</v>
      </c>
      <c r="U90" s="428">
        <v>13.39</v>
      </c>
      <c r="V90" s="428">
        <v>-1.25</v>
      </c>
      <c r="W90" s="428">
        <v>8.01</v>
      </c>
      <c r="X90" s="429">
        <f t="shared" ref="X90:X95" si="86">IFERROR(W90-V90,"")</f>
        <v>9.26</v>
      </c>
    </row>
    <row r="91" ht="15.75" customHeight="1">
      <c r="B91" s="424" t="s">
        <v>57</v>
      </c>
      <c r="C91" s="425">
        <v>0.0</v>
      </c>
      <c r="D91" s="425">
        <v>0.0</v>
      </c>
      <c r="E91" s="425">
        <v>4.13</v>
      </c>
      <c r="F91" s="425">
        <v>5.22</v>
      </c>
      <c r="G91" s="426">
        <f t="shared" si="83"/>
        <v>9.35</v>
      </c>
      <c r="I91" s="425">
        <v>0.0</v>
      </c>
      <c r="J91" s="425">
        <v>0.0</v>
      </c>
      <c r="K91" s="425">
        <v>4.13</v>
      </c>
      <c r="L91" s="425">
        <v>15.69</v>
      </c>
      <c r="M91" s="426">
        <f t="shared" si="84"/>
        <v>19.82</v>
      </c>
      <c r="O91" s="427" t="str">
        <f t="shared" ref="O91:S91" si="85">IFERROR(I91/C91-1,"")</f>
        <v/>
      </c>
      <c r="P91" s="427" t="str">
        <f t="shared" si="85"/>
        <v/>
      </c>
      <c r="Q91" s="427">
        <f t="shared" si="85"/>
        <v>0</v>
      </c>
      <c r="R91" s="427">
        <f t="shared" si="85"/>
        <v>2.005747126</v>
      </c>
      <c r="S91" s="427">
        <f t="shared" si="85"/>
        <v>1.119786096</v>
      </c>
      <c r="U91" s="428">
        <v>23.88</v>
      </c>
      <c r="V91" s="428">
        <v>-2.71</v>
      </c>
      <c r="W91" s="428">
        <v>20.99</v>
      </c>
      <c r="X91" s="429">
        <f t="shared" si="86"/>
        <v>23.7</v>
      </c>
    </row>
    <row r="92" ht="15.75" customHeight="1">
      <c r="B92" s="424" t="s">
        <v>58</v>
      </c>
      <c r="C92" s="425">
        <v>0.0</v>
      </c>
      <c r="D92" s="425">
        <v>0.0</v>
      </c>
      <c r="E92" s="425">
        <v>5.97</v>
      </c>
      <c r="F92" s="425">
        <v>6.07</v>
      </c>
      <c r="G92" s="426">
        <f t="shared" si="83"/>
        <v>12.04</v>
      </c>
      <c r="I92" s="425">
        <v>0.0</v>
      </c>
      <c r="J92" s="425">
        <v>0.0</v>
      </c>
      <c r="K92" s="425">
        <v>5.97</v>
      </c>
      <c r="L92" s="425">
        <v>18.77</v>
      </c>
      <c r="M92" s="426">
        <f t="shared" si="84"/>
        <v>24.74</v>
      </c>
      <c r="O92" s="427" t="str">
        <f t="shared" ref="O92:S92" si="87">IFERROR(I92/C92-1,"")</f>
        <v/>
      </c>
      <c r="P92" s="427" t="str">
        <f t="shared" si="87"/>
        <v/>
      </c>
      <c r="Q92" s="427">
        <f t="shared" si="87"/>
        <v>0</v>
      </c>
      <c r="R92" s="427">
        <f t="shared" si="87"/>
        <v>2.092257002</v>
      </c>
      <c r="S92" s="427">
        <f t="shared" si="87"/>
        <v>1.054817276</v>
      </c>
      <c r="U92" s="428">
        <v>31.12</v>
      </c>
      <c r="V92" s="428">
        <v>-3.18</v>
      </c>
      <c r="W92" s="428">
        <v>26.29</v>
      </c>
      <c r="X92" s="429">
        <f t="shared" si="86"/>
        <v>29.47</v>
      </c>
    </row>
    <row r="93" ht="15.75" customHeight="1">
      <c r="B93" s="424" t="s">
        <v>59</v>
      </c>
      <c r="C93" s="425">
        <v>0.0</v>
      </c>
      <c r="D93" s="425">
        <v>0.0</v>
      </c>
      <c r="E93" s="425">
        <v>10.79</v>
      </c>
      <c r="F93" s="425">
        <v>7.66</v>
      </c>
      <c r="G93" s="426">
        <f t="shared" si="83"/>
        <v>18.45</v>
      </c>
      <c r="I93" s="425">
        <v>0.0</v>
      </c>
      <c r="J93" s="425">
        <v>0.0</v>
      </c>
      <c r="K93" s="425">
        <v>10.79</v>
      </c>
      <c r="L93" s="425">
        <v>23.31</v>
      </c>
      <c r="M93" s="426">
        <f t="shared" si="84"/>
        <v>34.1</v>
      </c>
      <c r="O93" s="427" t="str">
        <f t="shared" ref="O93:S93" si="88">IFERROR(I93/C93-1,"")</f>
        <v/>
      </c>
      <c r="P93" s="427" t="str">
        <f t="shared" si="88"/>
        <v/>
      </c>
      <c r="Q93" s="427">
        <f t="shared" si="88"/>
        <v>0</v>
      </c>
      <c r="R93" s="427">
        <f t="shared" si="88"/>
        <v>2.04308094</v>
      </c>
      <c r="S93" s="427">
        <f t="shared" si="88"/>
        <v>0.8482384824</v>
      </c>
      <c r="U93" s="428">
        <v>44.68</v>
      </c>
      <c r="V93" s="428">
        <v>-4.43</v>
      </c>
      <c r="W93" s="428">
        <v>29.71</v>
      </c>
      <c r="X93" s="429">
        <f t="shared" si="86"/>
        <v>34.14</v>
      </c>
    </row>
    <row r="94" ht="15.75" customHeight="1">
      <c r="B94" s="424" t="s">
        <v>60</v>
      </c>
      <c r="C94" s="425">
        <v>0.0</v>
      </c>
      <c r="D94" s="425">
        <v>0.0</v>
      </c>
      <c r="E94" s="425">
        <v>17.8</v>
      </c>
      <c r="F94" s="425">
        <v>8.18</v>
      </c>
      <c r="G94" s="426">
        <f t="shared" si="83"/>
        <v>25.98</v>
      </c>
      <c r="I94" s="425">
        <v>0.0</v>
      </c>
      <c r="J94" s="425">
        <v>0.0</v>
      </c>
      <c r="K94" s="425">
        <v>17.8</v>
      </c>
      <c r="L94" s="425">
        <v>22.46</v>
      </c>
      <c r="M94" s="426">
        <f t="shared" si="84"/>
        <v>40.26</v>
      </c>
      <c r="O94" s="427" t="str">
        <f t="shared" ref="O94:S94" si="89">IFERROR(I94/C94-1,"")</f>
        <v/>
      </c>
      <c r="P94" s="427" t="str">
        <f t="shared" si="89"/>
        <v/>
      </c>
      <c r="Q94" s="427">
        <f t="shared" si="89"/>
        <v>0</v>
      </c>
      <c r="R94" s="427">
        <f t="shared" si="89"/>
        <v>1.745721271</v>
      </c>
      <c r="S94" s="427">
        <f t="shared" si="89"/>
        <v>0.5496535797</v>
      </c>
      <c r="U94" s="428">
        <v>55.61</v>
      </c>
      <c r="V94" s="428">
        <v>-3.47</v>
      </c>
      <c r="W94" s="428">
        <v>25.2</v>
      </c>
      <c r="X94" s="429">
        <f t="shared" si="86"/>
        <v>28.67</v>
      </c>
    </row>
    <row r="95" ht="15.75" customHeight="1">
      <c r="B95" s="430" t="s">
        <v>1856</v>
      </c>
      <c r="C95" s="431">
        <v>0.0</v>
      </c>
      <c r="D95" s="431">
        <v>0.0</v>
      </c>
      <c r="E95" s="431">
        <v>4.42</v>
      </c>
      <c r="F95" s="431">
        <v>5.6</v>
      </c>
      <c r="G95" s="432">
        <f t="shared" si="83"/>
        <v>10.02</v>
      </c>
      <c r="I95" s="431">
        <v>0.0</v>
      </c>
      <c r="J95" s="431">
        <v>0.0</v>
      </c>
      <c r="K95" s="431">
        <v>4.42</v>
      </c>
      <c r="L95" s="431">
        <v>14.63</v>
      </c>
      <c r="M95" s="432">
        <f t="shared" si="84"/>
        <v>19.05</v>
      </c>
      <c r="O95" s="433" t="str">
        <f t="shared" ref="O95:S95" si="90">IFERROR(I95/C95-1,"")</f>
        <v/>
      </c>
      <c r="P95" s="433" t="str">
        <f t="shared" si="90"/>
        <v/>
      </c>
      <c r="Q95" s="433">
        <f t="shared" si="90"/>
        <v>0</v>
      </c>
      <c r="R95" s="433">
        <f t="shared" si="90"/>
        <v>1.6125</v>
      </c>
      <c r="S95" s="433">
        <f t="shared" si="90"/>
        <v>0.9011976048</v>
      </c>
      <c r="U95" s="434">
        <v>21.5</v>
      </c>
      <c r="V95" s="434">
        <v>-2.16</v>
      </c>
      <c r="W95" s="434">
        <v>15.77</v>
      </c>
      <c r="X95" s="435">
        <f t="shared" si="86"/>
        <v>17.93</v>
      </c>
    </row>
    <row r="96" ht="15.75" customHeight="1"/>
    <row r="97" ht="15.75" customHeight="1"/>
    <row r="98" ht="15.75" customHeight="1">
      <c r="B98" s="410" t="s">
        <v>1862</v>
      </c>
      <c r="C98" s="410"/>
      <c r="D98" s="410"/>
      <c r="E98" s="410"/>
      <c r="F98" s="410"/>
      <c r="G98" s="410"/>
      <c r="H98" s="410"/>
      <c r="I98" s="410"/>
      <c r="J98" s="410"/>
      <c r="K98" s="410"/>
      <c r="L98" s="410"/>
      <c r="M98" s="410"/>
      <c r="N98" s="410"/>
      <c r="O98" s="410"/>
      <c r="P98" s="410"/>
      <c r="Q98" s="410"/>
      <c r="R98" s="410"/>
      <c r="S98" s="410"/>
      <c r="T98" s="410"/>
      <c r="U98" s="410"/>
      <c r="V98" s="410"/>
      <c r="W98" s="410"/>
      <c r="X98" s="410"/>
    </row>
    <row r="99" ht="15.75" customHeight="1">
      <c r="C99" s="411" t="s">
        <v>1843</v>
      </c>
      <c r="D99" s="412"/>
      <c r="E99" s="412"/>
      <c r="F99" s="412"/>
      <c r="G99" s="412"/>
      <c r="I99" s="413" t="s">
        <v>1844</v>
      </c>
      <c r="J99" s="414"/>
      <c r="K99" s="414"/>
      <c r="L99" s="414"/>
      <c r="M99" s="414"/>
      <c r="O99" s="415" t="s">
        <v>1845</v>
      </c>
      <c r="P99" s="416"/>
      <c r="Q99" s="416"/>
      <c r="R99" s="416"/>
      <c r="S99" s="416"/>
      <c r="U99" s="417" t="s">
        <v>1846</v>
      </c>
      <c r="V99" s="418"/>
      <c r="W99" s="418"/>
      <c r="X99" s="418"/>
    </row>
    <row r="100" ht="15.75" customHeight="1">
      <c r="B100" s="157" t="s">
        <v>1847</v>
      </c>
      <c r="C100" s="419" t="s">
        <v>1848</v>
      </c>
      <c r="D100" s="419" t="s">
        <v>1849</v>
      </c>
      <c r="E100" s="419" t="s">
        <v>1850</v>
      </c>
      <c r="F100" s="419" t="s">
        <v>1851</v>
      </c>
      <c r="G100" s="419" t="s">
        <v>111</v>
      </c>
      <c r="I100" s="420" t="s">
        <v>1848</v>
      </c>
      <c r="J100" s="420" t="s">
        <v>1849</v>
      </c>
      <c r="K100" s="420" t="s">
        <v>1850</v>
      </c>
      <c r="L100" s="420" t="s">
        <v>1851</v>
      </c>
      <c r="M100" s="420" t="s">
        <v>111</v>
      </c>
      <c r="O100" s="421" t="s">
        <v>1848</v>
      </c>
      <c r="P100" s="421" t="s">
        <v>1849</v>
      </c>
      <c r="Q100" s="421" t="s">
        <v>1850</v>
      </c>
      <c r="R100" s="421" t="s">
        <v>1851</v>
      </c>
      <c r="S100" s="421" t="s">
        <v>111</v>
      </c>
      <c r="U100" s="422" t="s">
        <v>1852</v>
      </c>
      <c r="V100" s="422" t="s">
        <v>1853</v>
      </c>
      <c r="W100" s="422" t="s">
        <v>1854</v>
      </c>
      <c r="X100" s="422" t="s">
        <v>1855</v>
      </c>
    </row>
    <row r="101" ht="15.75" customHeight="1">
      <c r="B101" s="423" t="s">
        <v>163</v>
      </c>
      <c r="C101" s="423"/>
      <c r="D101" s="423"/>
      <c r="E101" s="423"/>
      <c r="F101" s="423"/>
      <c r="G101" s="423"/>
      <c r="H101" s="423"/>
      <c r="I101" s="423"/>
      <c r="J101" s="423"/>
      <c r="K101" s="423"/>
      <c r="L101" s="423"/>
      <c r="M101" s="423"/>
      <c r="N101" s="423"/>
      <c r="O101" s="423"/>
      <c r="P101" s="423"/>
      <c r="Q101" s="423"/>
      <c r="R101" s="423"/>
      <c r="S101" s="423"/>
      <c r="T101" s="423"/>
      <c r="U101" s="423"/>
      <c r="V101" s="423"/>
      <c r="W101" s="423"/>
      <c r="X101" s="423"/>
    </row>
    <row r="102" ht="15.75" customHeight="1">
      <c r="B102" s="424" t="s">
        <v>56</v>
      </c>
      <c r="C102" s="425">
        <v>0.0</v>
      </c>
      <c r="D102" s="425">
        <v>0.0</v>
      </c>
      <c r="E102" s="425">
        <v>1.81</v>
      </c>
      <c r="F102" s="425">
        <v>4.43</v>
      </c>
      <c r="G102" s="426">
        <f t="shared" ref="G102:G107" si="92">SUM(C102:F102)</f>
        <v>6.24</v>
      </c>
      <c r="I102" s="425">
        <v>0.0</v>
      </c>
      <c r="J102" s="425">
        <v>0.0</v>
      </c>
      <c r="K102" s="425">
        <v>2.3</v>
      </c>
      <c r="L102" s="425">
        <v>10.15</v>
      </c>
      <c r="M102" s="426">
        <f t="shared" ref="M102:M107" si="93">SUM(I102:L102)</f>
        <v>12.45</v>
      </c>
      <c r="O102" s="427" t="str">
        <f t="shared" ref="O102:S102" si="91">IFERROR(I102/C102-1,"")</f>
        <v/>
      </c>
      <c r="P102" s="427" t="str">
        <f t="shared" si="91"/>
        <v/>
      </c>
      <c r="Q102" s="427">
        <f t="shared" si="91"/>
        <v>0.270718232</v>
      </c>
      <c r="R102" s="427">
        <f t="shared" si="91"/>
        <v>1.291196388</v>
      </c>
      <c r="S102" s="427">
        <f t="shared" si="91"/>
        <v>0.9951923077</v>
      </c>
      <c r="U102" s="428">
        <v>8.1</v>
      </c>
      <c r="V102" s="428">
        <v>0.4</v>
      </c>
      <c r="W102" s="428">
        <v>8.86</v>
      </c>
      <c r="X102" s="429">
        <f t="shared" ref="X102:X107" si="95">IFERROR(W102-V102,"")</f>
        <v>8.46</v>
      </c>
    </row>
    <row r="103" ht="15.75" customHeight="1">
      <c r="B103" s="424" t="s">
        <v>57</v>
      </c>
      <c r="C103" s="425">
        <v>0.0</v>
      </c>
      <c r="D103" s="425">
        <v>0.0</v>
      </c>
      <c r="E103" s="425">
        <v>3.72</v>
      </c>
      <c r="F103" s="425">
        <v>5.51</v>
      </c>
      <c r="G103" s="426">
        <f t="shared" si="92"/>
        <v>9.23</v>
      </c>
      <c r="I103" s="425">
        <v>0.0</v>
      </c>
      <c r="J103" s="425">
        <v>0.0</v>
      </c>
      <c r="K103" s="425">
        <v>4.72</v>
      </c>
      <c r="L103" s="425">
        <v>16.6</v>
      </c>
      <c r="M103" s="426">
        <f t="shared" si="93"/>
        <v>21.32</v>
      </c>
      <c r="O103" s="427" t="str">
        <f t="shared" ref="O103:S103" si="94">IFERROR(I103/C103-1,"")</f>
        <v/>
      </c>
      <c r="P103" s="427" t="str">
        <f t="shared" si="94"/>
        <v/>
      </c>
      <c r="Q103" s="427">
        <f t="shared" si="94"/>
        <v>0.2688172043</v>
      </c>
      <c r="R103" s="427">
        <f t="shared" si="94"/>
        <v>2.012704174</v>
      </c>
      <c r="S103" s="427">
        <f t="shared" si="94"/>
        <v>1.309859155</v>
      </c>
      <c r="U103" s="428">
        <v>17.34</v>
      </c>
      <c r="V103" s="428">
        <v>0.58</v>
      </c>
      <c r="W103" s="428">
        <v>24.05</v>
      </c>
      <c r="X103" s="429">
        <f t="shared" si="95"/>
        <v>23.47</v>
      </c>
    </row>
    <row r="104" ht="15.75" customHeight="1">
      <c r="B104" s="424" t="s">
        <v>58</v>
      </c>
      <c r="C104" s="425">
        <v>0.0</v>
      </c>
      <c r="D104" s="425">
        <v>0.0</v>
      </c>
      <c r="E104" s="425">
        <v>6.0</v>
      </c>
      <c r="F104" s="425">
        <v>6.01</v>
      </c>
      <c r="G104" s="426">
        <f t="shared" si="92"/>
        <v>12.01</v>
      </c>
      <c r="I104" s="425">
        <v>0.0</v>
      </c>
      <c r="J104" s="425">
        <v>0.0</v>
      </c>
      <c r="K104" s="425">
        <v>7.67</v>
      </c>
      <c r="L104" s="425">
        <v>18.23</v>
      </c>
      <c r="M104" s="426">
        <f t="shared" si="93"/>
        <v>25.9</v>
      </c>
      <c r="O104" s="427" t="str">
        <f t="shared" ref="O104:S104" si="96">IFERROR(I104/C104-1,"")</f>
        <v/>
      </c>
      <c r="P104" s="427" t="str">
        <f t="shared" si="96"/>
        <v/>
      </c>
      <c r="Q104" s="427">
        <f t="shared" si="96"/>
        <v>0.2783333333</v>
      </c>
      <c r="R104" s="427">
        <f t="shared" si="96"/>
        <v>2.03327787</v>
      </c>
      <c r="S104" s="427">
        <f t="shared" si="96"/>
        <v>1.15653622</v>
      </c>
      <c r="U104" s="428">
        <v>23.26</v>
      </c>
      <c r="V104" s="428">
        <v>0.66</v>
      </c>
      <c r="W104" s="428">
        <v>28.33</v>
      </c>
      <c r="X104" s="429">
        <f t="shared" si="95"/>
        <v>27.67</v>
      </c>
    </row>
    <row r="105" ht="15.75" customHeight="1">
      <c r="B105" s="424" t="s">
        <v>59</v>
      </c>
      <c r="C105" s="425">
        <v>0.0</v>
      </c>
      <c r="D105" s="425">
        <v>0.0</v>
      </c>
      <c r="E105" s="425">
        <v>11.54</v>
      </c>
      <c r="F105" s="425">
        <v>6.9</v>
      </c>
      <c r="G105" s="426">
        <f t="shared" si="92"/>
        <v>18.44</v>
      </c>
      <c r="I105" s="425">
        <v>0.0</v>
      </c>
      <c r="J105" s="425">
        <v>0.0</v>
      </c>
      <c r="K105" s="425">
        <v>14.84</v>
      </c>
      <c r="L105" s="425">
        <v>21.42</v>
      </c>
      <c r="M105" s="426">
        <f t="shared" si="93"/>
        <v>36.26</v>
      </c>
      <c r="O105" s="427" t="str">
        <f t="shared" ref="O105:S105" si="97">IFERROR(I105/C105-1,"")</f>
        <v/>
      </c>
      <c r="P105" s="427" t="str">
        <f t="shared" si="97"/>
        <v/>
      </c>
      <c r="Q105" s="427">
        <f t="shared" si="97"/>
        <v>0.2859618718</v>
      </c>
      <c r="R105" s="427">
        <f t="shared" si="97"/>
        <v>2.104347826</v>
      </c>
      <c r="S105" s="427">
        <f t="shared" si="97"/>
        <v>0.9663774403</v>
      </c>
      <c r="U105" s="428">
        <v>33.0</v>
      </c>
      <c r="V105" s="428">
        <v>0.64</v>
      </c>
      <c r="W105" s="428">
        <v>33.15</v>
      </c>
      <c r="X105" s="429">
        <f t="shared" si="95"/>
        <v>32.51</v>
      </c>
    </row>
    <row r="106" ht="15.75" customHeight="1">
      <c r="B106" s="424" t="s">
        <v>60</v>
      </c>
      <c r="C106" s="425">
        <v>0.0</v>
      </c>
      <c r="D106" s="425">
        <v>0.0</v>
      </c>
      <c r="E106" s="425">
        <v>18.79</v>
      </c>
      <c r="F106" s="425">
        <v>6.56</v>
      </c>
      <c r="G106" s="426">
        <f t="shared" si="92"/>
        <v>25.35</v>
      </c>
      <c r="I106" s="425">
        <v>0.0</v>
      </c>
      <c r="J106" s="425">
        <v>0.0</v>
      </c>
      <c r="K106" s="425">
        <v>24.04</v>
      </c>
      <c r="L106" s="425">
        <v>18.93</v>
      </c>
      <c r="M106" s="426">
        <f t="shared" si="93"/>
        <v>42.97</v>
      </c>
      <c r="O106" s="427" t="str">
        <f t="shared" ref="O106:S106" si="98">IFERROR(I106/C106-1,"")</f>
        <v/>
      </c>
      <c r="P106" s="427" t="str">
        <f t="shared" si="98"/>
        <v/>
      </c>
      <c r="Q106" s="427">
        <f t="shared" si="98"/>
        <v>0.2794039383</v>
      </c>
      <c r="R106" s="427">
        <f t="shared" si="98"/>
        <v>1.885670732</v>
      </c>
      <c r="S106" s="427">
        <f t="shared" si="98"/>
        <v>0.6950690335</v>
      </c>
      <c r="U106" s="428">
        <v>40.69</v>
      </c>
      <c r="V106" s="428">
        <v>3.39</v>
      </c>
      <c r="W106" s="428">
        <v>34.03</v>
      </c>
      <c r="X106" s="429">
        <f t="shared" si="95"/>
        <v>30.64</v>
      </c>
    </row>
    <row r="107" ht="15.75" customHeight="1">
      <c r="B107" s="430" t="s">
        <v>1856</v>
      </c>
      <c r="C107" s="431">
        <v>0.0</v>
      </c>
      <c r="D107" s="431">
        <v>0.0</v>
      </c>
      <c r="E107" s="431">
        <v>4.09</v>
      </c>
      <c r="F107" s="431">
        <v>5.21</v>
      </c>
      <c r="G107" s="432">
        <f t="shared" si="92"/>
        <v>9.3</v>
      </c>
      <c r="I107" s="431">
        <v>0.0</v>
      </c>
      <c r="J107" s="431">
        <v>0.0</v>
      </c>
      <c r="K107" s="431">
        <v>5.22</v>
      </c>
      <c r="L107" s="431">
        <v>14.24</v>
      </c>
      <c r="M107" s="432">
        <f t="shared" si="93"/>
        <v>19.46</v>
      </c>
      <c r="O107" s="433" t="str">
        <f t="shared" ref="O107:S107" si="99">IFERROR(I107/C107-1,"")</f>
        <v/>
      </c>
      <c r="P107" s="433" t="str">
        <f t="shared" si="99"/>
        <v/>
      </c>
      <c r="Q107" s="433">
        <f t="shared" si="99"/>
        <v>0.2762836186</v>
      </c>
      <c r="R107" s="433">
        <f t="shared" si="99"/>
        <v>1.733205374</v>
      </c>
      <c r="S107" s="433">
        <f t="shared" si="99"/>
        <v>1.092473118</v>
      </c>
      <c r="U107" s="434">
        <v>15.62</v>
      </c>
      <c r="V107" s="434">
        <v>0.55</v>
      </c>
      <c r="W107" s="434">
        <v>18.44</v>
      </c>
      <c r="X107" s="435">
        <f t="shared" si="95"/>
        <v>17.89</v>
      </c>
    </row>
    <row r="108" ht="15.75" customHeight="1">
      <c r="B108" s="423" t="s">
        <v>1857</v>
      </c>
      <c r="C108" s="423"/>
      <c r="D108" s="423"/>
      <c r="E108" s="423"/>
      <c r="F108" s="423"/>
      <c r="G108" s="423"/>
      <c r="H108" s="423"/>
      <c r="I108" s="423"/>
      <c r="J108" s="423"/>
      <c r="K108" s="423"/>
      <c r="L108" s="423"/>
      <c r="M108" s="423"/>
      <c r="N108" s="423"/>
      <c r="O108" s="423"/>
      <c r="P108" s="423"/>
      <c r="Q108" s="423"/>
      <c r="R108" s="423"/>
      <c r="S108" s="423"/>
      <c r="T108" s="423"/>
      <c r="U108" s="423"/>
      <c r="V108" s="423"/>
      <c r="W108" s="423"/>
      <c r="X108" s="423"/>
    </row>
    <row r="109" ht="15.75" customHeight="1">
      <c r="B109" s="424" t="s">
        <v>56</v>
      </c>
      <c r="C109" s="425">
        <v>0.0</v>
      </c>
      <c r="D109" s="425">
        <v>0.0</v>
      </c>
      <c r="E109" s="425">
        <v>2.13</v>
      </c>
      <c r="F109" s="425">
        <v>5.76</v>
      </c>
      <c r="G109" s="426">
        <f t="shared" ref="G109:G114" si="101">SUM(C109:F109)</f>
        <v>7.89</v>
      </c>
      <c r="I109" s="425">
        <v>0.0</v>
      </c>
      <c r="J109" s="425">
        <v>0.0</v>
      </c>
      <c r="K109" s="425">
        <v>2.71</v>
      </c>
      <c r="L109" s="425">
        <v>13.04</v>
      </c>
      <c r="M109" s="426">
        <f t="shared" ref="M109:M114" si="102">SUM(I109:L109)</f>
        <v>15.75</v>
      </c>
      <c r="O109" s="427" t="str">
        <f t="shared" ref="O109:S109" si="100">IFERROR(I109/C109-1,"")</f>
        <v/>
      </c>
      <c r="P109" s="427" t="str">
        <f t="shared" si="100"/>
        <v/>
      </c>
      <c r="Q109" s="427">
        <f t="shared" si="100"/>
        <v>0.2723004695</v>
      </c>
      <c r="R109" s="427">
        <f t="shared" si="100"/>
        <v>1.263888889</v>
      </c>
      <c r="S109" s="427">
        <f t="shared" si="100"/>
        <v>0.9961977186</v>
      </c>
      <c r="U109" s="428">
        <v>12.91</v>
      </c>
      <c r="V109" s="428">
        <v>-0.85</v>
      </c>
      <c r="W109" s="428">
        <v>11.16</v>
      </c>
      <c r="X109" s="429">
        <f t="shared" ref="X109:X114" si="104">IFERROR(W109-V109,"")</f>
        <v>12.01</v>
      </c>
    </row>
    <row r="110" ht="15.75" customHeight="1">
      <c r="B110" s="424" t="s">
        <v>57</v>
      </c>
      <c r="C110" s="425">
        <v>0.0</v>
      </c>
      <c r="D110" s="425">
        <v>0.0</v>
      </c>
      <c r="E110" s="425">
        <v>3.55</v>
      </c>
      <c r="F110" s="425">
        <v>6.17</v>
      </c>
      <c r="G110" s="426">
        <f t="shared" si="101"/>
        <v>9.72</v>
      </c>
      <c r="I110" s="425">
        <v>0.0</v>
      </c>
      <c r="J110" s="425">
        <v>0.0</v>
      </c>
      <c r="K110" s="425">
        <v>4.49</v>
      </c>
      <c r="L110" s="425">
        <v>17.7</v>
      </c>
      <c r="M110" s="426">
        <f t="shared" si="102"/>
        <v>22.19</v>
      </c>
      <c r="O110" s="427" t="str">
        <f t="shared" ref="O110:S110" si="103">IFERROR(I110/C110-1,"")</f>
        <v/>
      </c>
      <c r="P110" s="427" t="str">
        <f t="shared" si="103"/>
        <v/>
      </c>
      <c r="Q110" s="427">
        <f t="shared" si="103"/>
        <v>0.2647887324</v>
      </c>
      <c r="R110" s="427">
        <f t="shared" si="103"/>
        <v>1.868719611</v>
      </c>
      <c r="S110" s="427">
        <f t="shared" si="103"/>
        <v>1.282921811</v>
      </c>
      <c r="U110" s="428">
        <v>24.06</v>
      </c>
      <c r="V110" s="428">
        <v>-1.98</v>
      </c>
      <c r="W110" s="428">
        <v>26.35</v>
      </c>
      <c r="X110" s="429">
        <f t="shared" si="104"/>
        <v>28.33</v>
      </c>
    </row>
    <row r="111" ht="15.75" customHeight="1">
      <c r="B111" s="424" t="s">
        <v>58</v>
      </c>
      <c r="C111" s="425">
        <v>0.0</v>
      </c>
      <c r="D111" s="425">
        <v>0.0</v>
      </c>
      <c r="E111" s="425">
        <v>5.53</v>
      </c>
      <c r="F111" s="425">
        <v>6.78</v>
      </c>
      <c r="G111" s="426">
        <f t="shared" si="101"/>
        <v>12.31</v>
      </c>
      <c r="I111" s="425">
        <v>0.0</v>
      </c>
      <c r="J111" s="425">
        <v>0.0</v>
      </c>
      <c r="K111" s="425">
        <v>7.06</v>
      </c>
      <c r="L111" s="425">
        <v>19.0</v>
      </c>
      <c r="M111" s="426">
        <f t="shared" si="102"/>
        <v>26.06</v>
      </c>
      <c r="O111" s="427" t="str">
        <f t="shared" ref="O111:S111" si="105">IFERROR(I111/C111-1,"")</f>
        <v/>
      </c>
      <c r="P111" s="427" t="str">
        <f t="shared" si="105"/>
        <v/>
      </c>
      <c r="Q111" s="427">
        <f t="shared" si="105"/>
        <v>0.2766726944</v>
      </c>
      <c r="R111" s="427">
        <f t="shared" si="105"/>
        <v>1.802359882</v>
      </c>
      <c r="S111" s="427">
        <f t="shared" si="105"/>
        <v>1.116978067</v>
      </c>
      <c r="U111" s="428">
        <v>31.11</v>
      </c>
      <c r="V111" s="428">
        <v>-2.41</v>
      </c>
      <c r="W111" s="428">
        <v>29.65</v>
      </c>
      <c r="X111" s="429">
        <f t="shared" si="104"/>
        <v>32.06</v>
      </c>
    </row>
    <row r="112" ht="15.75" customHeight="1">
      <c r="B112" s="424" t="s">
        <v>59</v>
      </c>
      <c r="C112" s="425">
        <v>0.0</v>
      </c>
      <c r="D112" s="425">
        <v>0.0</v>
      </c>
      <c r="E112" s="425">
        <v>10.42</v>
      </c>
      <c r="F112" s="425">
        <v>8.1</v>
      </c>
      <c r="G112" s="426">
        <f t="shared" si="101"/>
        <v>18.52</v>
      </c>
      <c r="I112" s="425">
        <v>0.0</v>
      </c>
      <c r="J112" s="425">
        <v>0.0</v>
      </c>
      <c r="K112" s="425">
        <v>13.38</v>
      </c>
      <c r="L112" s="425">
        <v>22.38</v>
      </c>
      <c r="M112" s="426">
        <f t="shared" si="102"/>
        <v>35.76</v>
      </c>
      <c r="O112" s="427" t="str">
        <f t="shared" ref="O112:S112" si="106">IFERROR(I112/C112-1,"")</f>
        <v/>
      </c>
      <c r="P112" s="427" t="str">
        <f t="shared" si="106"/>
        <v/>
      </c>
      <c r="Q112" s="427">
        <f t="shared" si="106"/>
        <v>0.2840690979</v>
      </c>
      <c r="R112" s="427">
        <f t="shared" si="106"/>
        <v>1.762962963</v>
      </c>
      <c r="S112" s="427">
        <f t="shared" si="106"/>
        <v>0.9308855292</v>
      </c>
      <c r="U112" s="428">
        <v>44.75</v>
      </c>
      <c r="V112" s="428">
        <v>-4.08</v>
      </c>
      <c r="W112" s="428">
        <v>33.78</v>
      </c>
      <c r="X112" s="429">
        <f t="shared" si="104"/>
        <v>37.86</v>
      </c>
    </row>
    <row r="113" ht="15.75" customHeight="1">
      <c r="B113" s="424" t="s">
        <v>60</v>
      </c>
      <c r="C113" s="425">
        <v>0.0</v>
      </c>
      <c r="D113" s="425">
        <v>0.0</v>
      </c>
      <c r="E113" s="425">
        <v>18.0</v>
      </c>
      <c r="F113" s="425">
        <v>8.46</v>
      </c>
      <c r="G113" s="426">
        <f t="shared" si="101"/>
        <v>26.46</v>
      </c>
      <c r="I113" s="425">
        <v>0.0</v>
      </c>
      <c r="J113" s="425">
        <v>0.0</v>
      </c>
      <c r="K113" s="425">
        <v>23.1</v>
      </c>
      <c r="L113" s="425">
        <v>22.07</v>
      </c>
      <c r="M113" s="426">
        <f t="shared" si="102"/>
        <v>45.17</v>
      </c>
      <c r="O113" s="427" t="str">
        <f t="shared" ref="O113:S113" si="107">IFERROR(I113/C113-1,"")</f>
        <v/>
      </c>
      <c r="P113" s="427" t="str">
        <f t="shared" si="107"/>
        <v/>
      </c>
      <c r="Q113" s="427">
        <f t="shared" si="107"/>
        <v>0.2833333333</v>
      </c>
      <c r="R113" s="427">
        <f t="shared" si="107"/>
        <v>1.608747045</v>
      </c>
      <c r="S113" s="427">
        <f t="shared" si="107"/>
        <v>0.7071050642</v>
      </c>
      <c r="U113" s="428">
        <v>56.73</v>
      </c>
      <c r="V113" s="428">
        <v>-3.57</v>
      </c>
      <c r="W113" s="428">
        <v>34.02</v>
      </c>
      <c r="X113" s="429">
        <f t="shared" si="104"/>
        <v>37.59</v>
      </c>
    </row>
    <row r="114" ht="15.75" customHeight="1">
      <c r="B114" s="430" t="s">
        <v>1856</v>
      </c>
      <c r="C114" s="431">
        <v>0.0</v>
      </c>
      <c r="D114" s="431">
        <v>0.0</v>
      </c>
      <c r="E114" s="431">
        <v>3.81</v>
      </c>
      <c r="F114" s="431">
        <v>6.23</v>
      </c>
      <c r="G114" s="432">
        <f t="shared" si="101"/>
        <v>10.04</v>
      </c>
      <c r="I114" s="431">
        <v>0.0</v>
      </c>
      <c r="J114" s="431">
        <v>0.0</v>
      </c>
      <c r="K114" s="431">
        <v>4.86</v>
      </c>
      <c r="L114" s="431">
        <v>15.89</v>
      </c>
      <c r="M114" s="432">
        <f t="shared" si="102"/>
        <v>20.75</v>
      </c>
      <c r="O114" s="433" t="str">
        <f t="shared" ref="O114:S114" si="108">IFERROR(I114/C114-1,"")</f>
        <v/>
      </c>
      <c r="P114" s="433" t="str">
        <f t="shared" si="108"/>
        <v/>
      </c>
      <c r="Q114" s="433">
        <f t="shared" si="108"/>
        <v>0.2755905512</v>
      </c>
      <c r="R114" s="433">
        <f t="shared" si="108"/>
        <v>1.550561798</v>
      </c>
      <c r="S114" s="433">
        <f t="shared" si="108"/>
        <v>1.066733068</v>
      </c>
      <c r="U114" s="434">
        <v>21.31</v>
      </c>
      <c r="V114" s="434">
        <v>-1.64</v>
      </c>
      <c r="W114" s="434">
        <v>19.61</v>
      </c>
      <c r="X114" s="435">
        <f t="shared" si="104"/>
        <v>21.25</v>
      </c>
    </row>
    <row r="115" ht="15.75" customHeight="1"/>
    <row r="116" ht="15.75" customHeight="1"/>
    <row r="117" ht="15.75" customHeight="1">
      <c r="B117" s="410" t="s">
        <v>1863</v>
      </c>
      <c r="C117" s="410"/>
      <c r="D117" s="410"/>
      <c r="E117" s="410"/>
      <c r="F117" s="410"/>
      <c r="G117" s="410"/>
      <c r="H117" s="410"/>
      <c r="I117" s="410"/>
      <c r="J117" s="410"/>
      <c r="K117" s="410"/>
      <c r="L117" s="410"/>
      <c r="M117" s="410"/>
      <c r="N117" s="410"/>
      <c r="O117" s="410"/>
      <c r="P117" s="410"/>
      <c r="Q117" s="410"/>
      <c r="R117" s="410"/>
      <c r="S117" s="410"/>
      <c r="T117" s="410"/>
      <c r="U117" s="410"/>
      <c r="V117" s="410"/>
      <c r="W117" s="410"/>
      <c r="X117" s="410"/>
    </row>
    <row r="118" ht="15.75" customHeight="1">
      <c r="C118" s="411" t="s">
        <v>1843</v>
      </c>
      <c r="D118" s="412"/>
      <c r="E118" s="412"/>
      <c r="F118" s="412"/>
      <c r="G118" s="412"/>
      <c r="I118" s="413" t="s">
        <v>1844</v>
      </c>
      <c r="J118" s="414"/>
      <c r="K118" s="414"/>
      <c r="L118" s="414"/>
      <c r="M118" s="414"/>
      <c r="O118" s="415" t="s">
        <v>1845</v>
      </c>
      <c r="P118" s="416"/>
      <c r="Q118" s="416"/>
      <c r="R118" s="416"/>
      <c r="S118" s="416"/>
      <c r="U118" s="417" t="s">
        <v>1846</v>
      </c>
      <c r="V118" s="418"/>
      <c r="W118" s="418"/>
      <c r="X118" s="418"/>
    </row>
    <row r="119" ht="15.75" customHeight="1">
      <c r="B119" s="157" t="s">
        <v>1847</v>
      </c>
      <c r="C119" s="419" t="s">
        <v>1848</v>
      </c>
      <c r="D119" s="419" t="s">
        <v>1849</v>
      </c>
      <c r="E119" s="419" t="s">
        <v>1850</v>
      </c>
      <c r="F119" s="419" t="s">
        <v>1851</v>
      </c>
      <c r="G119" s="419" t="s">
        <v>111</v>
      </c>
      <c r="I119" s="420" t="s">
        <v>1848</v>
      </c>
      <c r="J119" s="420" t="s">
        <v>1849</v>
      </c>
      <c r="K119" s="420" t="s">
        <v>1850</v>
      </c>
      <c r="L119" s="420" t="s">
        <v>1851</v>
      </c>
      <c r="M119" s="420" t="s">
        <v>111</v>
      </c>
      <c r="O119" s="421" t="s">
        <v>1848</v>
      </c>
      <c r="P119" s="421" t="s">
        <v>1849</v>
      </c>
      <c r="Q119" s="421" t="s">
        <v>1850</v>
      </c>
      <c r="R119" s="421" t="s">
        <v>1851</v>
      </c>
      <c r="S119" s="421" t="s">
        <v>111</v>
      </c>
      <c r="U119" s="422" t="s">
        <v>1852</v>
      </c>
      <c r="V119" s="422" t="s">
        <v>1853</v>
      </c>
      <c r="W119" s="422" t="s">
        <v>1854</v>
      </c>
      <c r="X119" s="422" t="s">
        <v>1855</v>
      </c>
    </row>
    <row r="120" ht="15.75" customHeight="1">
      <c r="B120" s="423" t="s">
        <v>163</v>
      </c>
      <c r="C120" s="423"/>
      <c r="D120" s="423"/>
      <c r="E120" s="423"/>
      <c r="F120" s="423"/>
      <c r="G120" s="423"/>
      <c r="H120" s="423"/>
      <c r="I120" s="423"/>
      <c r="J120" s="423"/>
      <c r="K120" s="423"/>
      <c r="L120" s="423"/>
      <c r="M120" s="423"/>
      <c r="N120" s="423"/>
      <c r="O120" s="423"/>
      <c r="P120" s="423"/>
      <c r="Q120" s="423"/>
      <c r="R120" s="423"/>
      <c r="S120" s="423"/>
      <c r="T120" s="423"/>
      <c r="U120" s="423"/>
      <c r="V120" s="423"/>
      <c r="W120" s="423"/>
      <c r="X120" s="423"/>
    </row>
    <row r="121" ht="15.75" customHeight="1">
      <c r="B121" s="424" t="s">
        <v>56</v>
      </c>
      <c r="C121" s="425">
        <v>0.0</v>
      </c>
      <c r="D121" s="425">
        <v>0.0</v>
      </c>
      <c r="E121" s="425">
        <v>1.06</v>
      </c>
      <c r="F121" s="425">
        <v>2.54</v>
      </c>
      <c r="G121" s="426">
        <f t="shared" ref="G121:G126" si="110">SUM(C121:F121)</f>
        <v>3.6</v>
      </c>
      <c r="I121" s="425">
        <v>0.0</v>
      </c>
      <c r="J121" s="425">
        <v>0.0</v>
      </c>
      <c r="K121" s="425">
        <v>1.06</v>
      </c>
      <c r="L121" s="425">
        <v>4.82</v>
      </c>
      <c r="M121" s="426">
        <f t="shared" ref="M121:M126" si="111">SUM(I121:L121)</f>
        <v>5.88</v>
      </c>
      <c r="O121" s="427" t="str">
        <f t="shared" ref="O121:S121" si="109">IFERROR(I121/C121-1,"")</f>
        <v/>
      </c>
      <c r="P121" s="427" t="str">
        <f t="shared" si="109"/>
        <v/>
      </c>
      <c r="Q121" s="427">
        <f t="shared" si="109"/>
        <v>0</v>
      </c>
      <c r="R121" s="427">
        <f t="shared" si="109"/>
        <v>0.8976377953</v>
      </c>
      <c r="S121" s="427">
        <f t="shared" si="109"/>
        <v>0.6333333333</v>
      </c>
      <c r="U121" s="428">
        <v>3.82</v>
      </c>
      <c r="V121" s="428">
        <v>0.27</v>
      </c>
      <c r="W121" s="428">
        <v>2.86</v>
      </c>
      <c r="X121" s="429">
        <f t="shared" ref="X121:X126" si="113">IFERROR(W121-V121,"")</f>
        <v>2.59</v>
      </c>
    </row>
    <row r="122" ht="15.75" customHeight="1">
      <c r="B122" s="424" t="s">
        <v>57</v>
      </c>
      <c r="C122" s="425">
        <v>0.0</v>
      </c>
      <c r="D122" s="425">
        <v>0.0</v>
      </c>
      <c r="E122" s="425">
        <v>2.04</v>
      </c>
      <c r="F122" s="425">
        <v>3.33</v>
      </c>
      <c r="G122" s="426">
        <f t="shared" si="110"/>
        <v>5.37</v>
      </c>
      <c r="I122" s="425">
        <v>0.0</v>
      </c>
      <c r="J122" s="425">
        <v>0.0</v>
      </c>
      <c r="K122" s="425">
        <v>2.04</v>
      </c>
      <c r="L122" s="425">
        <v>7.47</v>
      </c>
      <c r="M122" s="426">
        <f t="shared" si="111"/>
        <v>9.51</v>
      </c>
      <c r="O122" s="427" t="str">
        <f t="shared" ref="O122:S122" si="112">IFERROR(I122/C122-1,"")</f>
        <v/>
      </c>
      <c r="P122" s="427" t="str">
        <f t="shared" si="112"/>
        <v/>
      </c>
      <c r="Q122" s="427">
        <f t="shared" si="112"/>
        <v>0</v>
      </c>
      <c r="R122" s="427">
        <f t="shared" si="112"/>
        <v>1.243243243</v>
      </c>
      <c r="S122" s="427">
        <f t="shared" si="112"/>
        <v>0.7709497207</v>
      </c>
      <c r="U122" s="428">
        <v>8.79</v>
      </c>
      <c r="V122" s="428">
        <v>0.77</v>
      </c>
      <c r="W122" s="428">
        <v>8.14</v>
      </c>
      <c r="X122" s="429">
        <f t="shared" si="113"/>
        <v>7.37</v>
      </c>
    </row>
    <row r="123" ht="15.75" customHeight="1">
      <c r="B123" s="424" t="s">
        <v>58</v>
      </c>
      <c r="C123" s="425">
        <v>0.0</v>
      </c>
      <c r="D123" s="425">
        <v>0.0</v>
      </c>
      <c r="E123" s="425">
        <v>3.34</v>
      </c>
      <c r="F123" s="425">
        <v>4.0</v>
      </c>
      <c r="G123" s="426">
        <f t="shared" si="110"/>
        <v>7.34</v>
      </c>
      <c r="I123" s="425">
        <v>0.0</v>
      </c>
      <c r="J123" s="425">
        <v>0.0</v>
      </c>
      <c r="K123" s="425">
        <v>3.34</v>
      </c>
      <c r="L123" s="425">
        <v>9.15</v>
      </c>
      <c r="M123" s="426">
        <f t="shared" si="111"/>
        <v>12.49</v>
      </c>
      <c r="O123" s="427" t="str">
        <f t="shared" ref="O123:S123" si="114">IFERROR(I123/C123-1,"")</f>
        <v/>
      </c>
      <c r="P123" s="427" t="str">
        <f t="shared" si="114"/>
        <v/>
      </c>
      <c r="Q123" s="427">
        <f t="shared" si="114"/>
        <v>0</v>
      </c>
      <c r="R123" s="427">
        <f t="shared" si="114"/>
        <v>1.2875</v>
      </c>
      <c r="S123" s="427">
        <f t="shared" si="114"/>
        <v>0.7016348774</v>
      </c>
      <c r="U123" s="428">
        <v>12.71</v>
      </c>
      <c r="V123" s="428">
        <v>1.17</v>
      </c>
      <c r="W123" s="428">
        <v>10.92</v>
      </c>
      <c r="X123" s="429">
        <f t="shared" si="113"/>
        <v>9.75</v>
      </c>
    </row>
    <row r="124" ht="15.75" customHeight="1">
      <c r="B124" s="424" t="s">
        <v>59</v>
      </c>
      <c r="C124" s="425">
        <v>0.0</v>
      </c>
      <c r="D124" s="425">
        <v>0.0</v>
      </c>
      <c r="E124" s="425">
        <v>6.49</v>
      </c>
      <c r="F124" s="425">
        <v>5.16</v>
      </c>
      <c r="G124" s="426">
        <f t="shared" si="110"/>
        <v>11.65</v>
      </c>
      <c r="I124" s="425">
        <v>0.0</v>
      </c>
      <c r="J124" s="425">
        <v>0.0</v>
      </c>
      <c r="K124" s="425">
        <v>6.49</v>
      </c>
      <c r="L124" s="425">
        <v>11.69</v>
      </c>
      <c r="M124" s="426">
        <f t="shared" si="111"/>
        <v>18.18</v>
      </c>
      <c r="O124" s="427" t="str">
        <f t="shared" ref="O124:S124" si="115">IFERROR(I124/C124-1,"")</f>
        <v/>
      </c>
      <c r="P124" s="427" t="str">
        <f t="shared" si="115"/>
        <v/>
      </c>
      <c r="Q124" s="427">
        <f t="shared" si="115"/>
        <v>0</v>
      </c>
      <c r="R124" s="427">
        <f t="shared" si="115"/>
        <v>1.265503876</v>
      </c>
      <c r="S124" s="427">
        <f t="shared" si="115"/>
        <v>0.5605150215</v>
      </c>
      <c r="U124" s="428">
        <v>19.03</v>
      </c>
      <c r="V124" s="428">
        <v>2.01</v>
      </c>
      <c r="W124" s="428">
        <v>13.81</v>
      </c>
      <c r="X124" s="429">
        <f t="shared" si="113"/>
        <v>11.8</v>
      </c>
    </row>
    <row r="125" ht="15.75" customHeight="1">
      <c r="B125" s="424" t="s">
        <v>60</v>
      </c>
      <c r="C125" s="425">
        <v>0.0</v>
      </c>
      <c r="D125" s="425">
        <v>0.0</v>
      </c>
      <c r="E125" s="425">
        <v>10.19</v>
      </c>
      <c r="F125" s="425">
        <v>4.93</v>
      </c>
      <c r="G125" s="426">
        <f t="shared" si="110"/>
        <v>15.12</v>
      </c>
      <c r="I125" s="425">
        <v>0.0</v>
      </c>
      <c r="J125" s="425">
        <v>0.0</v>
      </c>
      <c r="K125" s="425">
        <v>10.19</v>
      </c>
      <c r="L125" s="425">
        <v>12.64</v>
      </c>
      <c r="M125" s="426">
        <f t="shared" si="111"/>
        <v>22.83</v>
      </c>
      <c r="O125" s="427" t="str">
        <f t="shared" ref="O125:S125" si="116">IFERROR(I125/C125-1,"")</f>
        <v/>
      </c>
      <c r="P125" s="427" t="str">
        <f t="shared" si="116"/>
        <v/>
      </c>
      <c r="Q125" s="427">
        <f t="shared" si="116"/>
        <v>0</v>
      </c>
      <c r="R125" s="427">
        <f t="shared" si="116"/>
        <v>1.563894523</v>
      </c>
      <c r="S125" s="427">
        <f t="shared" si="116"/>
        <v>0.5099206349</v>
      </c>
      <c r="U125" s="428">
        <v>24.66</v>
      </c>
      <c r="V125" s="428">
        <v>4.22</v>
      </c>
      <c r="W125" s="428">
        <v>18.95</v>
      </c>
      <c r="X125" s="429">
        <f t="shared" si="113"/>
        <v>14.73</v>
      </c>
    </row>
    <row r="126" ht="15.75" customHeight="1">
      <c r="B126" s="430" t="s">
        <v>1856</v>
      </c>
      <c r="C126" s="431">
        <v>0.0</v>
      </c>
      <c r="D126" s="431">
        <v>0.0</v>
      </c>
      <c r="E126" s="431">
        <v>2.3</v>
      </c>
      <c r="F126" s="431">
        <v>3.25</v>
      </c>
      <c r="G126" s="432">
        <f t="shared" si="110"/>
        <v>5.55</v>
      </c>
      <c r="I126" s="431">
        <v>0.0</v>
      </c>
      <c r="J126" s="431">
        <v>0.0</v>
      </c>
      <c r="K126" s="431">
        <v>2.3</v>
      </c>
      <c r="L126" s="431">
        <v>6.93</v>
      </c>
      <c r="M126" s="432">
        <f t="shared" si="111"/>
        <v>9.23</v>
      </c>
      <c r="O126" s="433" t="str">
        <f t="shared" ref="O126:S126" si="117">IFERROR(I126/C126-1,"")</f>
        <v/>
      </c>
      <c r="P126" s="433" t="str">
        <f t="shared" si="117"/>
        <v/>
      </c>
      <c r="Q126" s="433">
        <f t="shared" si="117"/>
        <v>0</v>
      </c>
      <c r="R126" s="433">
        <f t="shared" si="117"/>
        <v>1.132307692</v>
      </c>
      <c r="S126" s="433">
        <f t="shared" si="117"/>
        <v>0.6630630631</v>
      </c>
      <c r="U126" s="434">
        <v>8.19</v>
      </c>
      <c r="V126" s="434">
        <v>0.76</v>
      </c>
      <c r="W126" s="434">
        <v>6.73</v>
      </c>
      <c r="X126" s="435">
        <f t="shared" si="113"/>
        <v>5.97</v>
      </c>
    </row>
    <row r="127" ht="15.75" customHeight="1">
      <c r="B127" s="423" t="s">
        <v>1857</v>
      </c>
      <c r="C127" s="423"/>
      <c r="D127" s="423"/>
      <c r="E127" s="423"/>
      <c r="F127" s="423"/>
      <c r="G127" s="423"/>
      <c r="H127" s="423"/>
      <c r="I127" s="423"/>
      <c r="J127" s="423"/>
      <c r="K127" s="423"/>
      <c r="L127" s="423"/>
      <c r="M127" s="423"/>
      <c r="N127" s="423"/>
      <c r="O127" s="423"/>
      <c r="P127" s="423"/>
      <c r="Q127" s="423"/>
      <c r="R127" s="423"/>
      <c r="S127" s="423"/>
      <c r="T127" s="423"/>
      <c r="U127" s="423"/>
      <c r="V127" s="423"/>
      <c r="W127" s="423"/>
      <c r="X127" s="423"/>
    </row>
    <row r="128" ht="15.75" customHeight="1">
      <c r="B128" s="424" t="s">
        <v>56</v>
      </c>
      <c r="C128" s="425">
        <v>0.0</v>
      </c>
      <c r="D128" s="425">
        <v>0.0</v>
      </c>
      <c r="E128" s="425">
        <v>1.18</v>
      </c>
      <c r="F128" s="425">
        <v>3.58</v>
      </c>
      <c r="G128" s="426">
        <f t="shared" ref="G128:G133" si="119">SUM(C128:F128)</f>
        <v>4.76</v>
      </c>
      <c r="I128" s="425">
        <v>0.0</v>
      </c>
      <c r="J128" s="425">
        <v>0.0</v>
      </c>
      <c r="K128" s="425">
        <v>1.18</v>
      </c>
      <c r="L128" s="425">
        <v>6.45</v>
      </c>
      <c r="M128" s="426">
        <f t="shared" ref="M128:M133" si="120">SUM(I128:L128)</f>
        <v>7.63</v>
      </c>
      <c r="O128" s="427" t="str">
        <f t="shared" ref="O128:S128" si="118">IFERROR(I128/C128-1,"")</f>
        <v/>
      </c>
      <c r="P128" s="427" t="str">
        <f t="shared" si="118"/>
        <v/>
      </c>
      <c r="Q128" s="427">
        <f t="shared" si="118"/>
        <v>0</v>
      </c>
      <c r="R128" s="427">
        <f t="shared" si="118"/>
        <v>0.8016759777</v>
      </c>
      <c r="S128" s="427">
        <f t="shared" si="118"/>
        <v>0.6029411765</v>
      </c>
      <c r="U128" s="428">
        <v>7.18</v>
      </c>
      <c r="V128" s="428">
        <v>-0.45</v>
      </c>
      <c r="W128" s="428">
        <v>3.61</v>
      </c>
      <c r="X128" s="429">
        <f t="shared" ref="X128:X133" si="122">IFERROR(W128-V128,"")</f>
        <v>4.06</v>
      </c>
    </row>
    <row r="129" ht="15.75" customHeight="1">
      <c r="B129" s="424" t="s">
        <v>57</v>
      </c>
      <c r="C129" s="425">
        <v>0.0</v>
      </c>
      <c r="D129" s="425">
        <v>0.0</v>
      </c>
      <c r="E129" s="425">
        <v>1.89</v>
      </c>
      <c r="F129" s="425">
        <v>4.2</v>
      </c>
      <c r="G129" s="426">
        <f t="shared" si="119"/>
        <v>6.09</v>
      </c>
      <c r="I129" s="425">
        <v>0.0</v>
      </c>
      <c r="J129" s="425">
        <v>0.0</v>
      </c>
      <c r="K129" s="425">
        <v>1.89</v>
      </c>
      <c r="L129" s="425">
        <v>8.49</v>
      </c>
      <c r="M129" s="426">
        <f t="shared" si="120"/>
        <v>10.38</v>
      </c>
      <c r="O129" s="427" t="str">
        <f t="shared" ref="O129:S129" si="121">IFERROR(I129/C129-1,"")</f>
        <v/>
      </c>
      <c r="P129" s="427" t="str">
        <f t="shared" si="121"/>
        <v/>
      </c>
      <c r="Q129" s="427">
        <f t="shared" si="121"/>
        <v>0</v>
      </c>
      <c r="R129" s="427">
        <f t="shared" si="121"/>
        <v>1.021428571</v>
      </c>
      <c r="S129" s="427">
        <f t="shared" si="121"/>
        <v>0.7044334975</v>
      </c>
      <c r="U129" s="428">
        <v>14.92</v>
      </c>
      <c r="V129" s="428">
        <v>-1.22</v>
      </c>
      <c r="W129" s="428">
        <v>8.43</v>
      </c>
      <c r="X129" s="429">
        <f t="shared" si="122"/>
        <v>9.65</v>
      </c>
    </row>
    <row r="130" ht="15.75" customHeight="1">
      <c r="B130" s="424" t="s">
        <v>58</v>
      </c>
      <c r="C130" s="425">
        <v>0.0</v>
      </c>
      <c r="D130" s="425">
        <v>0.0</v>
      </c>
      <c r="E130" s="425">
        <v>2.99</v>
      </c>
      <c r="F130" s="425">
        <v>5.04</v>
      </c>
      <c r="G130" s="426">
        <f t="shared" si="119"/>
        <v>8.03</v>
      </c>
      <c r="I130" s="425">
        <v>0.0</v>
      </c>
      <c r="J130" s="425">
        <v>0.0</v>
      </c>
      <c r="K130" s="425">
        <v>2.99</v>
      </c>
      <c r="L130" s="425">
        <v>10.18</v>
      </c>
      <c r="M130" s="426">
        <f t="shared" si="120"/>
        <v>13.17</v>
      </c>
      <c r="O130" s="427" t="str">
        <f t="shared" ref="O130:S130" si="123">IFERROR(I130/C130-1,"")</f>
        <v/>
      </c>
      <c r="P130" s="427" t="str">
        <f t="shared" si="123"/>
        <v/>
      </c>
      <c r="Q130" s="427">
        <f t="shared" si="123"/>
        <v>0</v>
      </c>
      <c r="R130" s="427">
        <f t="shared" si="123"/>
        <v>1.01984127</v>
      </c>
      <c r="S130" s="427">
        <f t="shared" si="123"/>
        <v>0.6400996264</v>
      </c>
      <c r="U130" s="428">
        <v>20.42</v>
      </c>
      <c r="V130" s="428">
        <v>-1.43</v>
      </c>
      <c r="W130" s="428">
        <v>10.73</v>
      </c>
      <c r="X130" s="429">
        <f t="shared" si="122"/>
        <v>12.16</v>
      </c>
    </row>
    <row r="131" ht="15.75" customHeight="1">
      <c r="B131" s="424" t="s">
        <v>59</v>
      </c>
      <c r="C131" s="425">
        <v>0.0</v>
      </c>
      <c r="D131" s="425">
        <v>0.0</v>
      </c>
      <c r="E131" s="425">
        <v>5.71</v>
      </c>
      <c r="F131" s="425">
        <v>6.6</v>
      </c>
      <c r="G131" s="426">
        <f t="shared" si="119"/>
        <v>12.31</v>
      </c>
      <c r="I131" s="425">
        <v>0.0</v>
      </c>
      <c r="J131" s="425">
        <v>0.0</v>
      </c>
      <c r="K131" s="425">
        <v>5.71</v>
      </c>
      <c r="L131" s="425">
        <v>12.97</v>
      </c>
      <c r="M131" s="426">
        <f t="shared" si="120"/>
        <v>18.68</v>
      </c>
      <c r="O131" s="427" t="str">
        <f t="shared" ref="O131:S131" si="124">IFERROR(I131/C131-1,"")</f>
        <v/>
      </c>
      <c r="P131" s="427" t="str">
        <f t="shared" si="124"/>
        <v/>
      </c>
      <c r="Q131" s="427">
        <f t="shared" si="124"/>
        <v>0</v>
      </c>
      <c r="R131" s="427">
        <f t="shared" si="124"/>
        <v>0.9651515152</v>
      </c>
      <c r="S131" s="427">
        <f t="shared" si="124"/>
        <v>0.5174654752</v>
      </c>
      <c r="U131" s="428">
        <v>30.02</v>
      </c>
      <c r="V131" s="428">
        <v>-1.62</v>
      </c>
      <c r="W131" s="428">
        <v>13.08</v>
      </c>
      <c r="X131" s="429">
        <f t="shared" si="122"/>
        <v>14.7</v>
      </c>
    </row>
    <row r="132" ht="15.75" customHeight="1">
      <c r="B132" s="424" t="s">
        <v>60</v>
      </c>
      <c r="C132" s="425">
        <v>0.0</v>
      </c>
      <c r="D132" s="425">
        <v>0.0</v>
      </c>
      <c r="E132" s="425">
        <v>9.68</v>
      </c>
      <c r="F132" s="425">
        <v>7.26</v>
      </c>
      <c r="G132" s="426">
        <f t="shared" si="119"/>
        <v>16.94</v>
      </c>
      <c r="I132" s="425">
        <v>0.0</v>
      </c>
      <c r="J132" s="425">
        <v>0.0</v>
      </c>
      <c r="K132" s="425">
        <v>9.68</v>
      </c>
      <c r="L132" s="425">
        <v>15.8</v>
      </c>
      <c r="M132" s="426">
        <f t="shared" si="120"/>
        <v>25.48</v>
      </c>
      <c r="O132" s="427" t="str">
        <f t="shared" ref="O132:S132" si="125">IFERROR(I132/C132-1,"")</f>
        <v/>
      </c>
      <c r="P132" s="427" t="str">
        <f t="shared" si="125"/>
        <v/>
      </c>
      <c r="Q132" s="427">
        <f t="shared" si="125"/>
        <v>0</v>
      </c>
      <c r="R132" s="427">
        <f t="shared" si="125"/>
        <v>1.17630854</v>
      </c>
      <c r="S132" s="427">
        <f t="shared" si="125"/>
        <v>0.5041322314</v>
      </c>
      <c r="U132" s="428">
        <v>38.29</v>
      </c>
      <c r="V132" s="428">
        <v>-1.13</v>
      </c>
      <c r="W132" s="428">
        <v>17.6</v>
      </c>
      <c r="X132" s="429">
        <f t="shared" si="122"/>
        <v>18.73</v>
      </c>
    </row>
    <row r="133" ht="15.75" customHeight="1">
      <c r="B133" s="430" t="s">
        <v>1856</v>
      </c>
      <c r="C133" s="431">
        <v>0.0</v>
      </c>
      <c r="D133" s="431">
        <v>0.0</v>
      </c>
      <c r="E133" s="431">
        <v>2.07</v>
      </c>
      <c r="F133" s="431">
        <v>4.23</v>
      </c>
      <c r="G133" s="432">
        <f t="shared" si="119"/>
        <v>6.3</v>
      </c>
      <c r="I133" s="431">
        <v>0.0</v>
      </c>
      <c r="J133" s="431">
        <v>0.0</v>
      </c>
      <c r="K133" s="431">
        <v>2.07</v>
      </c>
      <c r="L133" s="431">
        <v>8.12</v>
      </c>
      <c r="M133" s="432">
        <f t="shared" si="120"/>
        <v>10.19</v>
      </c>
      <c r="O133" s="433" t="str">
        <f t="shared" ref="O133:S133" si="126">IFERROR(I133/C133-1,"")</f>
        <v/>
      </c>
      <c r="P133" s="433" t="str">
        <f t="shared" si="126"/>
        <v/>
      </c>
      <c r="Q133" s="433">
        <f t="shared" si="126"/>
        <v>0</v>
      </c>
      <c r="R133" s="433">
        <f t="shared" si="126"/>
        <v>0.9196217494</v>
      </c>
      <c r="S133" s="433">
        <f t="shared" si="126"/>
        <v>0.6174603175</v>
      </c>
      <c r="U133" s="434">
        <v>13.17</v>
      </c>
      <c r="V133" s="434">
        <v>-0.88</v>
      </c>
      <c r="W133" s="434">
        <v>6.74</v>
      </c>
      <c r="X133" s="435">
        <f t="shared" si="122"/>
        <v>7.62</v>
      </c>
    </row>
    <row r="134" ht="15.75" customHeight="1"/>
    <row r="135" ht="15.75" customHeight="1"/>
    <row r="136" ht="15.75" customHeight="1">
      <c r="B136" s="410" t="s">
        <v>1864</v>
      </c>
      <c r="C136" s="410"/>
      <c r="D136" s="410"/>
      <c r="E136" s="410"/>
      <c r="F136" s="410"/>
      <c r="G136" s="410"/>
      <c r="H136" s="410"/>
      <c r="I136" s="410"/>
      <c r="J136" s="410"/>
      <c r="K136" s="410"/>
      <c r="L136" s="410"/>
      <c r="M136" s="410"/>
      <c r="N136" s="410"/>
      <c r="O136" s="410"/>
      <c r="P136" s="410"/>
      <c r="Q136" s="410"/>
      <c r="R136" s="410"/>
      <c r="S136" s="410"/>
      <c r="T136" s="410"/>
      <c r="U136" s="410"/>
      <c r="V136" s="410"/>
      <c r="W136" s="410"/>
      <c r="X136" s="410"/>
    </row>
    <row r="137" ht="15.75" customHeight="1">
      <c r="C137" s="411" t="s">
        <v>1843</v>
      </c>
      <c r="D137" s="412"/>
      <c r="E137" s="412"/>
      <c r="F137" s="412"/>
      <c r="G137" s="412"/>
      <c r="I137" s="413" t="s">
        <v>1844</v>
      </c>
      <c r="J137" s="414"/>
      <c r="K137" s="414"/>
      <c r="L137" s="414"/>
      <c r="M137" s="414"/>
      <c r="O137" s="415" t="s">
        <v>1845</v>
      </c>
      <c r="P137" s="416"/>
      <c r="Q137" s="416"/>
      <c r="R137" s="416"/>
      <c r="S137" s="416"/>
      <c r="U137" s="417" t="s">
        <v>1846</v>
      </c>
      <c r="V137" s="418"/>
      <c r="W137" s="418"/>
      <c r="X137" s="418"/>
    </row>
    <row r="138" ht="15.75" customHeight="1">
      <c r="B138" s="157" t="s">
        <v>1847</v>
      </c>
      <c r="C138" s="419" t="s">
        <v>1848</v>
      </c>
      <c r="D138" s="419" t="s">
        <v>1849</v>
      </c>
      <c r="E138" s="419" t="s">
        <v>1850</v>
      </c>
      <c r="F138" s="419" t="s">
        <v>1851</v>
      </c>
      <c r="G138" s="419" t="s">
        <v>111</v>
      </c>
      <c r="I138" s="420" t="s">
        <v>1848</v>
      </c>
      <c r="J138" s="420" t="s">
        <v>1849</v>
      </c>
      <c r="K138" s="420" t="s">
        <v>1850</v>
      </c>
      <c r="L138" s="420" t="s">
        <v>1851</v>
      </c>
      <c r="M138" s="420" t="s">
        <v>111</v>
      </c>
      <c r="O138" s="421" t="s">
        <v>1848</v>
      </c>
      <c r="P138" s="421" t="s">
        <v>1849</v>
      </c>
      <c r="Q138" s="421" t="s">
        <v>1850</v>
      </c>
      <c r="R138" s="421" t="s">
        <v>1851</v>
      </c>
      <c r="S138" s="421" t="s">
        <v>111</v>
      </c>
      <c r="U138" s="422" t="s">
        <v>1852</v>
      </c>
      <c r="V138" s="422" t="s">
        <v>1853</v>
      </c>
      <c r="W138" s="422" t="s">
        <v>1854</v>
      </c>
      <c r="X138" s="422" t="s">
        <v>1855</v>
      </c>
    </row>
    <row r="139" ht="15.75" customHeight="1">
      <c r="B139" s="423" t="s">
        <v>163</v>
      </c>
      <c r="C139" s="423"/>
      <c r="D139" s="423"/>
      <c r="E139" s="423"/>
      <c r="F139" s="423"/>
      <c r="G139" s="423"/>
      <c r="H139" s="423"/>
      <c r="I139" s="423"/>
      <c r="J139" s="423"/>
      <c r="K139" s="423"/>
      <c r="L139" s="423"/>
      <c r="M139" s="423"/>
      <c r="N139" s="423"/>
      <c r="O139" s="423"/>
      <c r="P139" s="423"/>
      <c r="Q139" s="423"/>
      <c r="R139" s="423"/>
      <c r="S139" s="423"/>
      <c r="T139" s="423"/>
      <c r="U139" s="423"/>
      <c r="V139" s="423"/>
      <c r="W139" s="423"/>
      <c r="X139" s="423"/>
    </row>
    <row r="140" ht="15.75" customHeight="1">
      <c r="B140" s="424" t="s">
        <v>56</v>
      </c>
      <c r="C140" s="425">
        <v>0.0</v>
      </c>
      <c r="D140" s="425">
        <v>0.0</v>
      </c>
      <c r="E140" s="425">
        <v>27.25</v>
      </c>
      <c r="F140" s="425">
        <v>3.3</v>
      </c>
      <c r="G140" s="426">
        <f t="shared" ref="G140:G145" si="128">SUM(C140:F140)</f>
        <v>30.55</v>
      </c>
      <c r="I140" s="425">
        <v>0.0</v>
      </c>
      <c r="J140" s="425">
        <v>0.0</v>
      </c>
      <c r="K140" s="425">
        <v>27.25</v>
      </c>
      <c r="L140" s="425">
        <v>1.24</v>
      </c>
      <c r="M140" s="426">
        <f t="shared" ref="M140:M145" si="129">SUM(I140:L140)</f>
        <v>28.49</v>
      </c>
      <c r="O140" s="427" t="str">
        <f t="shared" ref="O140:S140" si="127">IFERROR(I140/C140-1,"")</f>
        <v/>
      </c>
      <c r="P140" s="427" t="str">
        <f t="shared" si="127"/>
        <v/>
      </c>
      <c r="Q140" s="427">
        <f t="shared" si="127"/>
        <v>0</v>
      </c>
      <c r="R140" s="427">
        <f t="shared" si="127"/>
        <v>-0.6242424242</v>
      </c>
      <c r="S140" s="427">
        <f t="shared" si="127"/>
        <v>-0.0674304419</v>
      </c>
      <c r="U140" s="428">
        <v>1.87</v>
      </c>
      <c r="V140" s="428">
        <v>10.15</v>
      </c>
      <c r="W140" s="428">
        <v>9.34</v>
      </c>
      <c r="X140" s="429">
        <f t="shared" ref="X140:X145" si="131">IFERROR(W140-V140,"")</f>
        <v>-0.81</v>
      </c>
    </row>
    <row r="141" ht="15.75" customHeight="1">
      <c r="B141" s="424" t="s">
        <v>57</v>
      </c>
      <c r="C141" s="425">
        <v>0.0</v>
      </c>
      <c r="D141" s="425">
        <v>0.0</v>
      </c>
      <c r="E141" s="425">
        <v>15.22</v>
      </c>
      <c r="F141" s="425">
        <v>13.01</v>
      </c>
      <c r="G141" s="426">
        <f t="shared" si="128"/>
        <v>28.23</v>
      </c>
      <c r="I141" s="425">
        <v>0.0</v>
      </c>
      <c r="J141" s="425">
        <v>0.0</v>
      </c>
      <c r="K141" s="425">
        <v>15.22</v>
      </c>
      <c r="L141" s="425">
        <v>5.63</v>
      </c>
      <c r="M141" s="426">
        <f t="shared" si="129"/>
        <v>20.85</v>
      </c>
      <c r="O141" s="427" t="str">
        <f t="shared" ref="O141:S141" si="130">IFERROR(I141/C141-1,"")</f>
        <v/>
      </c>
      <c r="P141" s="427" t="str">
        <f t="shared" si="130"/>
        <v/>
      </c>
      <c r="Q141" s="427">
        <f t="shared" si="130"/>
        <v>0</v>
      </c>
      <c r="R141" s="427">
        <f t="shared" si="130"/>
        <v>-0.567255957</v>
      </c>
      <c r="S141" s="427">
        <f t="shared" si="130"/>
        <v>-0.261424017</v>
      </c>
      <c r="U141" s="428">
        <v>5.81</v>
      </c>
      <c r="V141" s="428">
        <v>20.93</v>
      </c>
      <c r="W141" s="428">
        <v>13.94</v>
      </c>
      <c r="X141" s="429">
        <f t="shared" si="131"/>
        <v>-6.99</v>
      </c>
    </row>
    <row r="142" ht="15.75" customHeight="1">
      <c r="B142" s="424" t="s">
        <v>58</v>
      </c>
      <c r="C142" s="425">
        <v>0.0</v>
      </c>
      <c r="D142" s="425">
        <v>0.0</v>
      </c>
      <c r="E142" s="425">
        <v>7.88</v>
      </c>
      <c r="F142" s="425">
        <v>20.41</v>
      </c>
      <c r="G142" s="426">
        <f t="shared" si="128"/>
        <v>28.29</v>
      </c>
      <c r="I142" s="425">
        <v>0.0</v>
      </c>
      <c r="J142" s="425">
        <v>0.0</v>
      </c>
      <c r="K142" s="425">
        <v>7.88</v>
      </c>
      <c r="L142" s="425">
        <v>9.69</v>
      </c>
      <c r="M142" s="426">
        <f t="shared" si="129"/>
        <v>17.57</v>
      </c>
      <c r="O142" s="427" t="str">
        <f t="shared" ref="O142:S142" si="132">IFERROR(I142/C142-1,"")</f>
        <v/>
      </c>
      <c r="P142" s="427" t="str">
        <f t="shared" si="132"/>
        <v/>
      </c>
      <c r="Q142" s="427">
        <f t="shared" si="132"/>
        <v>0</v>
      </c>
      <c r="R142" s="427">
        <f t="shared" si="132"/>
        <v>-0.5252327291</v>
      </c>
      <c r="S142" s="427">
        <f t="shared" si="132"/>
        <v>-0.378932485</v>
      </c>
      <c r="U142" s="428">
        <v>11.09</v>
      </c>
      <c r="V142" s="428">
        <v>31.78</v>
      </c>
      <c r="W142" s="428">
        <v>15.53</v>
      </c>
      <c r="X142" s="429">
        <f t="shared" si="131"/>
        <v>-16.25</v>
      </c>
    </row>
    <row r="143" ht="15.75" customHeight="1">
      <c r="B143" s="424" t="s">
        <v>59</v>
      </c>
      <c r="C143" s="425">
        <v>0.0</v>
      </c>
      <c r="D143" s="425">
        <v>0.0</v>
      </c>
      <c r="E143" s="425">
        <v>5.65</v>
      </c>
      <c r="F143" s="425">
        <v>30.66</v>
      </c>
      <c r="G143" s="426">
        <f t="shared" si="128"/>
        <v>36.31</v>
      </c>
      <c r="I143" s="425">
        <v>0.0</v>
      </c>
      <c r="J143" s="425">
        <v>0.0</v>
      </c>
      <c r="K143" s="425">
        <v>5.65</v>
      </c>
      <c r="L143" s="425">
        <v>17.78</v>
      </c>
      <c r="M143" s="426">
        <f t="shared" si="129"/>
        <v>23.43</v>
      </c>
      <c r="O143" s="427" t="str">
        <f t="shared" ref="O143:S143" si="133">IFERROR(I143/C143-1,"")</f>
        <v/>
      </c>
      <c r="P143" s="427" t="str">
        <f t="shared" si="133"/>
        <v/>
      </c>
      <c r="Q143" s="427">
        <f t="shared" si="133"/>
        <v>0</v>
      </c>
      <c r="R143" s="427">
        <f t="shared" si="133"/>
        <v>-0.4200913242</v>
      </c>
      <c r="S143" s="427">
        <f t="shared" si="133"/>
        <v>-0.3547232167</v>
      </c>
      <c r="U143" s="428">
        <v>20.05</v>
      </c>
      <c r="V143" s="428">
        <v>45.1</v>
      </c>
      <c r="W143" s="428">
        <v>21.99</v>
      </c>
      <c r="X143" s="429">
        <f t="shared" si="131"/>
        <v>-23.11</v>
      </c>
    </row>
    <row r="144" ht="15.75" customHeight="1">
      <c r="B144" s="424" t="s">
        <v>60</v>
      </c>
      <c r="C144" s="425">
        <v>0.0</v>
      </c>
      <c r="D144" s="425">
        <v>0.0</v>
      </c>
      <c r="E144" s="425">
        <v>2.79</v>
      </c>
      <c r="F144" s="425">
        <v>28.57</v>
      </c>
      <c r="G144" s="426">
        <f t="shared" si="128"/>
        <v>31.36</v>
      </c>
      <c r="I144" s="425">
        <v>0.0</v>
      </c>
      <c r="J144" s="425">
        <v>0.0</v>
      </c>
      <c r="K144" s="425">
        <v>2.79</v>
      </c>
      <c r="L144" s="425">
        <v>32.83</v>
      </c>
      <c r="M144" s="426">
        <f t="shared" si="129"/>
        <v>35.62</v>
      </c>
      <c r="O144" s="427" t="str">
        <f t="shared" ref="O144:S144" si="134">IFERROR(I144/C144-1,"")</f>
        <v/>
      </c>
      <c r="P144" s="427" t="str">
        <f t="shared" si="134"/>
        <v/>
      </c>
      <c r="Q144" s="427">
        <f t="shared" si="134"/>
        <v>0</v>
      </c>
      <c r="R144" s="427">
        <f t="shared" si="134"/>
        <v>0.1491074554</v>
      </c>
      <c r="S144" s="427">
        <f t="shared" si="134"/>
        <v>0.1358418367</v>
      </c>
      <c r="U144" s="428">
        <v>21.7</v>
      </c>
      <c r="V144" s="428">
        <v>35.35</v>
      </c>
      <c r="W144" s="428">
        <v>43.1</v>
      </c>
      <c r="X144" s="429">
        <f t="shared" si="131"/>
        <v>7.75</v>
      </c>
    </row>
    <row r="145" ht="15.75" customHeight="1">
      <c r="B145" s="430" t="s">
        <v>1856</v>
      </c>
      <c r="C145" s="431">
        <v>0.0</v>
      </c>
      <c r="D145" s="431">
        <v>0.0</v>
      </c>
      <c r="E145" s="431">
        <v>18.74</v>
      </c>
      <c r="F145" s="431">
        <v>11.37</v>
      </c>
      <c r="G145" s="432">
        <f t="shared" si="128"/>
        <v>30.11</v>
      </c>
      <c r="I145" s="431">
        <v>0.0</v>
      </c>
      <c r="J145" s="431">
        <v>0.0</v>
      </c>
      <c r="K145" s="431">
        <v>18.74</v>
      </c>
      <c r="L145" s="431">
        <v>5.67</v>
      </c>
      <c r="M145" s="432">
        <f t="shared" si="129"/>
        <v>24.41</v>
      </c>
      <c r="O145" s="433" t="str">
        <f t="shared" ref="O145:S145" si="135">IFERROR(I145/C145-1,"")</f>
        <v/>
      </c>
      <c r="P145" s="433" t="str">
        <f t="shared" si="135"/>
        <v/>
      </c>
      <c r="Q145" s="433">
        <f t="shared" si="135"/>
        <v>0</v>
      </c>
      <c r="R145" s="433">
        <f t="shared" si="135"/>
        <v>-0.5013192612</v>
      </c>
      <c r="S145" s="433">
        <f t="shared" si="135"/>
        <v>-0.1893058784</v>
      </c>
      <c r="U145" s="434">
        <v>6.28</v>
      </c>
      <c r="V145" s="434">
        <v>19.9</v>
      </c>
      <c r="W145" s="434">
        <v>13.14</v>
      </c>
      <c r="X145" s="435">
        <f t="shared" si="131"/>
        <v>-6.76</v>
      </c>
    </row>
    <row r="146" ht="15.75" customHeight="1">
      <c r="B146" s="423" t="s">
        <v>1857</v>
      </c>
      <c r="C146" s="423"/>
      <c r="D146" s="423"/>
      <c r="E146" s="423"/>
      <c r="F146" s="423"/>
      <c r="G146" s="423"/>
      <c r="H146" s="423"/>
      <c r="I146" s="423"/>
      <c r="J146" s="423"/>
      <c r="K146" s="423"/>
      <c r="L146" s="423"/>
      <c r="M146" s="423"/>
      <c r="N146" s="423"/>
      <c r="O146" s="423"/>
      <c r="P146" s="423"/>
      <c r="Q146" s="423"/>
      <c r="R146" s="423"/>
      <c r="S146" s="423"/>
      <c r="T146" s="423"/>
      <c r="U146" s="423"/>
      <c r="V146" s="423"/>
      <c r="W146" s="423"/>
      <c r="X146" s="423"/>
    </row>
    <row r="147" ht="15.75" customHeight="1">
      <c r="B147" s="424" t="s">
        <v>56</v>
      </c>
      <c r="C147" s="425">
        <v>0.0</v>
      </c>
      <c r="D147" s="425">
        <v>0.0</v>
      </c>
      <c r="E147" s="425">
        <v>22.24</v>
      </c>
      <c r="F147" s="425">
        <v>7.22</v>
      </c>
      <c r="G147" s="426">
        <f t="shared" ref="G147:G152" si="137">SUM(C147:F147)</f>
        <v>29.46</v>
      </c>
      <c r="I147" s="425">
        <v>0.0</v>
      </c>
      <c r="J147" s="425">
        <v>0.0</v>
      </c>
      <c r="K147" s="425">
        <v>22.24</v>
      </c>
      <c r="L147" s="425">
        <v>5.85</v>
      </c>
      <c r="M147" s="426">
        <f t="shared" ref="M147:M152" si="138">SUM(I147:L147)</f>
        <v>28.09</v>
      </c>
      <c r="O147" s="427" t="str">
        <f t="shared" ref="O147:S147" si="136">IFERROR(I147/C147-1,"")</f>
        <v/>
      </c>
      <c r="P147" s="427" t="str">
        <f t="shared" si="136"/>
        <v/>
      </c>
      <c r="Q147" s="427">
        <f t="shared" si="136"/>
        <v>0</v>
      </c>
      <c r="R147" s="427">
        <f t="shared" si="136"/>
        <v>-0.1897506925</v>
      </c>
      <c r="S147" s="427">
        <f t="shared" si="136"/>
        <v>-0.04650373388</v>
      </c>
      <c r="U147" s="428">
        <v>9.58</v>
      </c>
      <c r="V147" s="428">
        <v>26.86</v>
      </c>
      <c r="W147" s="428">
        <v>25.17</v>
      </c>
      <c r="X147" s="429">
        <f t="shared" ref="X147:X152" si="140">IFERROR(W147-V147,"")</f>
        <v>-1.69</v>
      </c>
    </row>
    <row r="148" ht="15.75" customHeight="1">
      <c r="B148" s="424" t="s">
        <v>57</v>
      </c>
      <c r="C148" s="425">
        <v>0.0</v>
      </c>
      <c r="D148" s="425">
        <v>0.0</v>
      </c>
      <c r="E148" s="425">
        <v>11.55</v>
      </c>
      <c r="F148" s="425">
        <v>19.71</v>
      </c>
      <c r="G148" s="426">
        <f t="shared" si="137"/>
        <v>31.26</v>
      </c>
      <c r="I148" s="425">
        <v>0.0</v>
      </c>
      <c r="J148" s="425">
        <v>0.0</v>
      </c>
      <c r="K148" s="425">
        <v>11.55</v>
      </c>
      <c r="L148" s="425">
        <v>13.58</v>
      </c>
      <c r="M148" s="426">
        <f t="shared" si="138"/>
        <v>25.13</v>
      </c>
      <c r="O148" s="427" t="str">
        <f t="shared" ref="O148:S148" si="139">IFERROR(I148/C148-1,"")</f>
        <v/>
      </c>
      <c r="P148" s="427" t="str">
        <f t="shared" si="139"/>
        <v/>
      </c>
      <c r="Q148" s="427">
        <f t="shared" si="139"/>
        <v>0</v>
      </c>
      <c r="R148" s="427">
        <f t="shared" si="139"/>
        <v>-0.3110096398</v>
      </c>
      <c r="S148" s="427">
        <f t="shared" si="139"/>
        <v>-0.1960972489</v>
      </c>
      <c r="U148" s="428">
        <v>30.08</v>
      </c>
      <c r="V148" s="428">
        <v>63.65</v>
      </c>
      <c r="W148" s="428">
        <v>45.27</v>
      </c>
      <c r="X148" s="429">
        <f t="shared" si="140"/>
        <v>-18.38</v>
      </c>
    </row>
    <row r="149" ht="15.75" customHeight="1">
      <c r="B149" s="424" t="s">
        <v>58</v>
      </c>
      <c r="C149" s="425">
        <v>0.0</v>
      </c>
      <c r="D149" s="425">
        <v>0.0</v>
      </c>
      <c r="E149" s="425">
        <v>6.18</v>
      </c>
      <c r="F149" s="425">
        <v>27.99</v>
      </c>
      <c r="G149" s="426">
        <f t="shared" si="137"/>
        <v>34.17</v>
      </c>
      <c r="I149" s="425">
        <v>0.0</v>
      </c>
      <c r="J149" s="425">
        <v>0.0</v>
      </c>
      <c r="K149" s="425">
        <v>6.18</v>
      </c>
      <c r="L149" s="425">
        <v>18.04</v>
      </c>
      <c r="M149" s="426">
        <f t="shared" si="138"/>
        <v>24.22</v>
      </c>
      <c r="O149" s="427" t="str">
        <f t="shared" ref="O149:S149" si="141">IFERROR(I149/C149-1,"")</f>
        <v/>
      </c>
      <c r="P149" s="427" t="str">
        <f t="shared" si="141"/>
        <v/>
      </c>
      <c r="Q149" s="427">
        <f t="shared" si="141"/>
        <v>0</v>
      </c>
      <c r="R149" s="427">
        <f t="shared" si="141"/>
        <v>-0.3554841015</v>
      </c>
      <c r="S149" s="427">
        <f t="shared" si="141"/>
        <v>-0.2911911033</v>
      </c>
      <c r="U149" s="428">
        <v>42.56</v>
      </c>
      <c r="V149" s="428">
        <v>85.83</v>
      </c>
      <c r="W149" s="428">
        <v>48.44</v>
      </c>
      <c r="X149" s="429">
        <f t="shared" si="140"/>
        <v>-37.39</v>
      </c>
    </row>
    <row r="150" ht="15.75" customHeight="1">
      <c r="B150" s="424" t="s">
        <v>59</v>
      </c>
      <c r="C150" s="425">
        <v>0.0</v>
      </c>
      <c r="D150" s="425">
        <v>0.0</v>
      </c>
      <c r="E150" s="425">
        <v>3.9</v>
      </c>
      <c r="F150" s="425">
        <v>37.09</v>
      </c>
      <c r="G150" s="426">
        <f t="shared" si="137"/>
        <v>40.99</v>
      </c>
      <c r="I150" s="425">
        <v>0.0</v>
      </c>
      <c r="J150" s="425">
        <v>0.0</v>
      </c>
      <c r="K150" s="425">
        <v>3.9</v>
      </c>
      <c r="L150" s="425">
        <v>23.97</v>
      </c>
      <c r="M150" s="426">
        <f t="shared" si="138"/>
        <v>27.87</v>
      </c>
      <c r="O150" s="427" t="str">
        <f t="shared" ref="O150:S150" si="142">IFERROR(I150/C150-1,"")</f>
        <v/>
      </c>
      <c r="P150" s="427" t="str">
        <f t="shared" si="142"/>
        <v/>
      </c>
      <c r="Q150" s="427">
        <f t="shared" si="142"/>
        <v>0</v>
      </c>
      <c r="R150" s="427">
        <f t="shared" si="142"/>
        <v>-0.3537341602</v>
      </c>
      <c r="S150" s="427">
        <f t="shared" si="142"/>
        <v>-0.3200780678</v>
      </c>
      <c r="U150" s="428">
        <v>58.46</v>
      </c>
      <c r="V150" s="428">
        <v>98.88</v>
      </c>
      <c r="W150" s="428">
        <v>48.52</v>
      </c>
      <c r="X150" s="429">
        <f t="shared" si="140"/>
        <v>-50.36</v>
      </c>
    </row>
    <row r="151" ht="15.75" customHeight="1">
      <c r="B151" s="424" t="s">
        <v>60</v>
      </c>
      <c r="C151" s="425">
        <v>0.0</v>
      </c>
      <c r="D151" s="425">
        <v>0.0</v>
      </c>
      <c r="E151" s="425">
        <v>1.99</v>
      </c>
      <c r="F151" s="425">
        <v>37.04</v>
      </c>
      <c r="G151" s="426">
        <f t="shared" si="137"/>
        <v>39.03</v>
      </c>
      <c r="I151" s="425">
        <v>0.0</v>
      </c>
      <c r="J151" s="425">
        <v>0.0</v>
      </c>
      <c r="K151" s="425">
        <v>1.99</v>
      </c>
      <c r="L151" s="425">
        <v>43.33</v>
      </c>
      <c r="M151" s="426">
        <f t="shared" si="138"/>
        <v>45.32</v>
      </c>
      <c r="O151" s="427" t="str">
        <f t="shared" ref="O151:S151" si="143">IFERROR(I151/C151-1,"")</f>
        <v/>
      </c>
      <c r="P151" s="427" t="str">
        <f t="shared" si="143"/>
        <v/>
      </c>
      <c r="Q151" s="427">
        <f t="shared" si="143"/>
        <v>0</v>
      </c>
      <c r="R151" s="427">
        <f t="shared" si="143"/>
        <v>0.1698164147</v>
      </c>
      <c r="S151" s="427">
        <f t="shared" si="143"/>
        <v>0.1611580835</v>
      </c>
      <c r="U151" s="428">
        <v>60.86</v>
      </c>
      <c r="V151" s="428">
        <v>83.57</v>
      </c>
      <c r="W151" s="428">
        <v>106.84</v>
      </c>
      <c r="X151" s="429">
        <f t="shared" si="140"/>
        <v>23.27</v>
      </c>
    </row>
    <row r="152" ht="15.75" customHeight="1">
      <c r="B152" s="430" t="s">
        <v>1856</v>
      </c>
      <c r="C152" s="431">
        <v>0.0</v>
      </c>
      <c r="D152" s="431">
        <v>0.0</v>
      </c>
      <c r="E152" s="431">
        <v>15.59</v>
      </c>
      <c r="F152" s="431">
        <v>16.02</v>
      </c>
      <c r="G152" s="432">
        <f t="shared" si="137"/>
        <v>31.61</v>
      </c>
      <c r="I152" s="431">
        <v>0.0</v>
      </c>
      <c r="J152" s="431">
        <v>0.0</v>
      </c>
      <c r="K152" s="431">
        <v>15.59</v>
      </c>
      <c r="L152" s="431">
        <v>11.38</v>
      </c>
      <c r="M152" s="432">
        <f t="shared" si="138"/>
        <v>26.97</v>
      </c>
      <c r="O152" s="433" t="str">
        <f t="shared" ref="O152:S152" si="144">IFERROR(I152/C152-1,"")</f>
        <v/>
      </c>
      <c r="P152" s="433" t="str">
        <f t="shared" si="144"/>
        <v/>
      </c>
      <c r="Q152" s="433">
        <f t="shared" si="144"/>
        <v>0</v>
      </c>
      <c r="R152" s="433">
        <f t="shared" si="144"/>
        <v>-0.2896379526</v>
      </c>
      <c r="S152" s="433">
        <f t="shared" si="144"/>
        <v>-0.1467889908</v>
      </c>
      <c r="U152" s="434">
        <v>23.87</v>
      </c>
      <c r="V152" s="434">
        <v>50.85</v>
      </c>
      <c r="W152" s="434">
        <v>36.24</v>
      </c>
      <c r="X152" s="435">
        <f t="shared" si="140"/>
        <v>-14.61</v>
      </c>
    </row>
    <row r="153" ht="15.75" customHeight="1"/>
    <row r="154" ht="15.75" customHeight="1"/>
    <row r="155" ht="15.75" customHeight="1">
      <c r="B155" s="410" t="s">
        <v>1865</v>
      </c>
      <c r="C155" s="410"/>
      <c r="D155" s="410"/>
      <c r="E155" s="410"/>
      <c r="F155" s="410"/>
      <c r="G155" s="410"/>
      <c r="H155" s="410"/>
      <c r="I155" s="410"/>
      <c r="J155" s="410"/>
      <c r="K155" s="410"/>
      <c r="L155" s="410"/>
      <c r="M155" s="410"/>
      <c r="N155" s="410"/>
      <c r="O155" s="410"/>
      <c r="P155" s="410"/>
      <c r="Q155" s="410"/>
      <c r="R155" s="410"/>
      <c r="S155" s="410"/>
      <c r="T155" s="410"/>
      <c r="U155" s="410"/>
      <c r="V155" s="410"/>
      <c r="W155" s="410"/>
      <c r="X155" s="410"/>
    </row>
    <row r="156" ht="15.75" customHeight="1">
      <c r="C156" s="411" t="s">
        <v>1843</v>
      </c>
      <c r="D156" s="412"/>
      <c r="E156" s="412"/>
      <c r="F156" s="412"/>
      <c r="G156" s="412"/>
      <c r="I156" s="413" t="s">
        <v>1844</v>
      </c>
      <c r="J156" s="414"/>
      <c r="K156" s="414"/>
      <c r="L156" s="414"/>
      <c r="M156" s="414"/>
      <c r="O156" s="415" t="s">
        <v>1845</v>
      </c>
      <c r="P156" s="416"/>
      <c r="Q156" s="416"/>
      <c r="R156" s="416"/>
      <c r="S156" s="416"/>
      <c r="U156" s="417" t="s">
        <v>1846</v>
      </c>
      <c r="V156" s="418"/>
      <c r="W156" s="418"/>
      <c r="X156" s="418"/>
    </row>
    <row r="157" ht="15.75" customHeight="1">
      <c r="B157" s="157" t="s">
        <v>1847</v>
      </c>
      <c r="C157" s="419" t="s">
        <v>1848</v>
      </c>
      <c r="D157" s="419" t="s">
        <v>1849</v>
      </c>
      <c r="E157" s="419" t="s">
        <v>1850</v>
      </c>
      <c r="F157" s="419" t="s">
        <v>1851</v>
      </c>
      <c r="G157" s="419" t="s">
        <v>111</v>
      </c>
      <c r="I157" s="420" t="s">
        <v>1848</v>
      </c>
      <c r="J157" s="420" t="s">
        <v>1849</v>
      </c>
      <c r="K157" s="420" t="s">
        <v>1850</v>
      </c>
      <c r="L157" s="420" t="s">
        <v>1851</v>
      </c>
      <c r="M157" s="420" t="s">
        <v>111</v>
      </c>
      <c r="O157" s="421" t="s">
        <v>1848</v>
      </c>
      <c r="P157" s="421" t="s">
        <v>1849</v>
      </c>
      <c r="Q157" s="421" t="s">
        <v>1850</v>
      </c>
      <c r="R157" s="421" t="s">
        <v>1851</v>
      </c>
      <c r="S157" s="421" t="s">
        <v>111</v>
      </c>
      <c r="U157" s="422" t="s">
        <v>1852</v>
      </c>
      <c r="V157" s="422" t="s">
        <v>1853</v>
      </c>
      <c r="W157" s="422" t="s">
        <v>1854</v>
      </c>
      <c r="X157" s="422" t="s">
        <v>1855</v>
      </c>
    </row>
    <row r="158" ht="15.75" customHeight="1">
      <c r="B158" s="423" t="s">
        <v>163</v>
      </c>
      <c r="C158" s="423"/>
      <c r="D158" s="423"/>
      <c r="E158" s="423"/>
      <c r="F158" s="423"/>
      <c r="G158" s="423"/>
      <c r="H158" s="423"/>
      <c r="I158" s="423"/>
      <c r="J158" s="423"/>
      <c r="K158" s="423"/>
      <c r="L158" s="423"/>
      <c r="M158" s="423"/>
      <c r="N158" s="423"/>
      <c r="O158" s="423"/>
      <c r="P158" s="423"/>
      <c r="Q158" s="423"/>
      <c r="R158" s="423"/>
      <c r="S158" s="423"/>
      <c r="T158" s="423"/>
      <c r="U158" s="423"/>
      <c r="V158" s="423"/>
      <c r="W158" s="423"/>
      <c r="X158" s="423"/>
    </row>
    <row r="159" ht="15.75" customHeight="1">
      <c r="B159" s="424" t="s">
        <v>56</v>
      </c>
      <c r="C159" s="425">
        <v>0.0</v>
      </c>
      <c r="D159" s="425">
        <v>0.0</v>
      </c>
      <c r="E159" s="425">
        <v>12.1</v>
      </c>
      <c r="F159" s="425">
        <v>21.0</v>
      </c>
      <c r="G159" s="426">
        <f t="shared" ref="G159:G164" si="146">SUM(C159:F159)</f>
        <v>33.1</v>
      </c>
      <c r="I159" s="425">
        <v>0.0</v>
      </c>
      <c r="J159" s="425">
        <v>0.0</v>
      </c>
      <c r="K159" s="425">
        <v>12.1</v>
      </c>
      <c r="L159" s="425">
        <v>19.15</v>
      </c>
      <c r="M159" s="426">
        <f t="shared" ref="M159:M164" si="147">SUM(I159:L159)</f>
        <v>31.25</v>
      </c>
      <c r="O159" s="427" t="str">
        <f t="shared" ref="O159:S159" si="145">IFERROR(I159/C159-1,"")</f>
        <v/>
      </c>
      <c r="P159" s="427" t="str">
        <f t="shared" si="145"/>
        <v/>
      </c>
      <c r="Q159" s="427">
        <f t="shared" si="145"/>
        <v>0</v>
      </c>
      <c r="R159" s="427">
        <f t="shared" si="145"/>
        <v>-0.0880952381</v>
      </c>
      <c r="S159" s="427">
        <f t="shared" si="145"/>
        <v>-0.05589123867</v>
      </c>
      <c r="U159" s="428">
        <v>7.52</v>
      </c>
      <c r="V159" s="428">
        <v>47.63</v>
      </c>
      <c r="W159" s="428">
        <v>44.55</v>
      </c>
      <c r="X159" s="429">
        <f t="shared" ref="X159:X164" si="149">IFERROR(W159-V159,"")</f>
        <v>-3.08</v>
      </c>
    </row>
    <row r="160" ht="15.75" customHeight="1">
      <c r="B160" s="424" t="s">
        <v>57</v>
      </c>
      <c r="C160" s="425">
        <v>0.0</v>
      </c>
      <c r="D160" s="425">
        <v>0.0</v>
      </c>
      <c r="E160" s="425">
        <v>10.4</v>
      </c>
      <c r="F160" s="425">
        <v>24.28</v>
      </c>
      <c r="G160" s="426">
        <f t="shared" si="146"/>
        <v>34.68</v>
      </c>
      <c r="I160" s="425">
        <v>0.0</v>
      </c>
      <c r="J160" s="425">
        <v>0.0</v>
      </c>
      <c r="K160" s="425">
        <v>10.4</v>
      </c>
      <c r="L160" s="425">
        <v>19.73</v>
      </c>
      <c r="M160" s="426">
        <f t="shared" si="147"/>
        <v>30.13</v>
      </c>
      <c r="O160" s="427" t="str">
        <f t="shared" ref="O160:S160" si="148">IFERROR(I160/C160-1,"")</f>
        <v/>
      </c>
      <c r="P160" s="427" t="str">
        <f t="shared" si="148"/>
        <v/>
      </c>
      <c r="Q160" s="427">
        <f t="shared" si="148"/>
        <v>0</v>
      </c>
      <c r="R160" s="427">
        <f t="shared" si="148"/>
        <v>-0.1873970346</v>
      </c>
      <c r="S160" s="427">
        <f t="shared" si="148"/>
        <v>-0.1311995386</v>
      </c>
      <c r="U160" s="428">
        <v>17.36</v>
      </c>
      <c r="V160" s="428">
        <v>73.61</v>
      </c>
      <c r="W160" s="428">
        <v>61.67</v>
      </c>
      <c r="X160" s="429">
        <f t="shared" si="149"/>
        <v>-11.94</v>
      </c>
    </row>
    <row r="161" ht="15.75" customHeight="1">
      <c r="B161" s="424" t="s">
        <v>58</v>
      </c>
      <c r="C161" s="425">
        <v>0.0</v>
      </c>
      <c r="D161" s="425">
        <v>0.0</v>
      </c>
      <c r="E161" s="425">
        <v>9.07</v>
      </c>
      <c r="F161" s="425">
        <v>29.94</v>
      </c>
      <c r="G161" s="426">
        <f t="shared" si="146"/>
        <v>39.01</v>
      </c>
      <c r="I161" s="425">
        <v>0.0</v>
      </c>
      <c r="J161" s="425">
        <v>0.0</v>
      </c>
      <c r="K161" s="425">
        <v>9.07</v>
      </c>
      <c r="L161" s="425">
        <v>22.55</v>
      </c>
      <c r="M161" s="426">
        <f t="shared" si="147"/>
        <v>31.62</v>
      </c>
      <c r="O161" s="427" t="str">
        <f t="shared" ref="O161:S161" si="150">IFERROR(I161/C161-1,"")</f>
        <v/>
      </c>
      <c r="P161" s="427" t="str">
        <f t="shared" si="150"/>
        <v/>
      </c>
      <c r="Q161" s="427">
        <f t="shared" si="150"/>
        <v>0</v>
      </c>
      <c r="R161" s="427">
        <f t="shared" si="150"/>
        <v>-0.2468269873</v>
      </c>
      <c r="S161" s="427">
        <f t="shared" si="150"/>
        <v>-0.1894386055</v>
      </c>
      <c r="U161" s="428">
        <v>25.33</v>
      </c>
      <c r="V161" s="428">
        <v>86.5</v>
      </c>
      <c r="W161" s="428">
        <v>65.32</v>
      </c>
      <c r="X161" s="429">
        <f t="shared" si="149"/>
        <v>-21.18</v>
      </c>
    </row>
    <row r="162" ht="15.75" customHeight="1">
      <c r="B162" s="424" t="s">
        <v>59</v>
      </c>
      <c r="C162" s="425">
        <v>0.0</v>
      </c>
      <c r="D162" s="425">
        <v>0.0</v>
      </c>
      <c r="E162" s="425">
        <v>8.21</v>
      </c>
      <c r="F162" s="425">
        <v>45.79</v>
      </c>
      <c r="G162" s="426">
        <f t="shared" si="146"/>
        <v>54</v>
      </c>
      <c r="I162" s="425">
        <v>0.0</v>
      </c>
      <c r="J162" s="425">
        <v>0.0</v>
      </c>
      <c r="K162" s="425">
        <v>8.21</v>
      </c>
      <c r="L162" s="425">
        <v>43.47</v>
      </c>
      <c r="M162" s="426">
        <f t="shared" si="147"/>
        <v>51.68</v>
      </c>
      <c r="O162" s="427" t="str">
        <f t="shared" ref="O162:S162" si="151">IFERROR(I162/C162-1,"")</f>
        <v/>
      </c>
      <c r="P162" s="427" t="str">
        <f t="shared" si="151"/>
        <v/>
      </c>
      <c r="Q162" s="427">
        <f t="shared" si="151"/>
        <v>0</v>
      </c>
      <c r="R162" s="427">
        <f t="shared" si="151"/>
        <v>-0.0506660843</v>
      </c>
      <c r="S162" s="427">
        <f t="shared" si="151"/>
        <v>-0.04296296296</v>
      </c>
      <c r="U162" s="428">
        <v>40.7</v>
      </c>
      <c r="V162" s="428">
        <v>109.93</v>
      </c>
      <c r="W162" s="428">
        <v>103.46</v>
      </c>
      <c r="X162" s="429">
        <f t="shared" si="149"/>
        <v>-6.47</v>
      </c>
    </row>
    <row r="163" ht="15.75" customHeight="1">
      <c r="B163" s="424" t="s">
        <v>60</v>
      </c>
      <c r="C163" s="425">
        <v>0.0</v>
      </c>
      <c r="D163" s="425">
        <v>0.0</v>
      </c>
      <c r="E163" s="425">
        <v>4.4</v>
      </c>
      <c r="F163" s="425">
        <v>47.37</v>
      </c>
      <c r="G163" s="426">
        <f t="shared" si="146"/>
        <v>51.77</v>
      </c>
      <c r="I163" s="425">
        <v>0.0</v>
      </c>
      <c r="J163" s="425">
        <v>0.0</v>
      </c>
      <c r="K163" s="425">
        <v>4.4</v>
      </c>
      <c r="L163" s="425">
        <v>46.52</v>
      </c>
      <c r="M163" s="426">
        <f t="shared" si="147"/>
        <v>50.92</v>
      </c>
      <c r="O163" s="427" t="str">
        <f t="shared" ref="O163:S163" si="152">IFERROR(I163/C163-1,"")</f>
        <v/>
      </c>
      <c r="P163" s="427" t="str">
        <f t="shared" si="152"/>
        <v/>
      </c>
      <c r="Q163" s="427">
        <f t="shared" si="152"/>
        <v>0</v>
      </c>
      <c r="R163" s="427">
        <f t="shared" si="152"/>
        <v>-0.01794384632</v>
      </c>
      <c r="S163" s="427">
        <f t="shared" si="152"/>
        <v>-0.01641877535</v>
      </c>
      <c r="U163" s="428">
        <v>47.68</v>
      </c>
      <c r="V163" s="428">
        <v>95.06</v>
      </c>
      <c r="W163" s="428">
        <v>92.71</v>
      </c>
      <c r="X163" s="429">
        <f t="shared" si="149"/>
        <v>-2.35</v>
      </c>
    </row>
    <row r="164" ht="15.75" customHeight="1">
      <c r="B164" s="430" t="s">
        <v>1856</v>
      </c>
      <c r="C164" s="431">
        <v>0.0</v>
      </c>
      <c r="D164" s="431">
        <v>0.0</v>
      </c>
      <c r="E164" s="431">
        <v>10.71</v>
      </c>
      <c r="F164" s="431">
        <v>25.87</v>
      </c>
      <c r="G164" s="432">
        <f t="shared" si="146"/>
        <v>36.58</v>
      </c>
      <c r="I164" s="431">
        <v>0.0</v>
      </c>
      <c r="J164" s="431">
        <v>0.0</v>
      </c>
      <c r="K164" s="431">
        <v>10.71</v>
      </c>
      <c r="L164" s="431">
        <v>22.4</v>
      </c>
      <c r="M164" s="432">
        <f t="shared" si="147"/>
        <v>33.11</v>
      </c>
      <c r="O164" s="433" t="str">
        <f t="shared" ref="O164:S164" si="153">IFERROR(I164/C164-1,"")</f>
        <v/>
      </c>
      <c r="P164" s="433" t="str">
        <f t="shared" si="153"/>
        <v/>
      </c>
      <c r="Q164" s="433">
        <f t="shared" si="153"/>
        <v>0</v>
      </c>
      <c r="R164" s="433">
        <f t="shared" si="153"/>
        <v>-0.1341321995</v>
      </c>
      <c r="S164" s="433">
        <f t="shared" si="153"/>
        <v>-0.09486057955</v>
      </c>
      <c r="U164" s="434">
        <v>16.47</v>
      </c>
      <c r="V164" s="434">
        <v>66.82</v>
      </c>
      <c r="W164" s="434">
        <v>58.22</v>
      </c>
      <c r="X164" s="435">
        <f t="shared" si="149"/>
        <v>-8.6</v>
      </c>
    </row>
    <row r="165" ht="15.75" customHeight="1">
      <c r="B165" s="423" t="s">
        <v>1857</v>
      </c>
      <c r="C165" s="423"/>
      <c r="D165" s="423"/>
      <c r="E165" s="423"/>
      <c r="F165" s="423"/>
      <c r="G165" s="423"/>
      <c r="H165" s="423"/>
      <c r="I165" s="423"/>
      <c r="J165" s="423"/>
      <c r="K165" s="423"/>
      <c r="L165" s="423"/>
      <c r="M165" s="423"/>
      <c r="N165" s="423"/>
      <c r="O165" s="423"/>
      <c r="P165" s="423"/>
      <c r="Q165" s="423"/>
      <c r="R165" s="423"/>
      <c r="S165" s="423"/>
      <c r="T165" s="423"/>
      <c r="U165" s="423"/>
      <c r="V165" s="423"/>
      <c r="W165" s="423"/>
      <c r="X165" s="423"/>
    </row>
    <row r="166" ht="15.75" customHeight="1">
      <c r="B166" s="424" t="s">
        <v>56</v>
      </c>
      <c r="C166" s="425">
        <v>0.0</v>
      </c>
      <c r="D166" s="425">
        <v>0.0</v>
      </c>
      <c r="E166" s="425">
        <v>15.36</v>
      </c>
      <c r="F166" s="425">
        <v>24.79</v>
      </c>
      <c r="G166" s="426">
        <f t="shared" ref="G166:G171" si="155">SUM(C166:F166)</f>
        <v>40.15</v>
      </c>
      <c r="I166" s="425">
        <v>0.0</v>
      </c>
      <c r="J166" s="425">
        <v>0.0</v>
      </c>
      <c r="K166" s="425">
        <v>15.36</v>
      </c>
      <c r="L166" s="425">
        <v>22.95</v>
      </c>
      <c r="M166" s="426">
        <f t="shared" ref="M166:M171" si="156">SUM(I166:L166)</f>
        <v>38.31</v>
      </c>
      <c r="O166" s="427" t="str">
        <f t="shared" ref="O166:S166" si="154">IFERROR(I166/C166-1,"")</f>
        <v/>
      </c>
      <c r="P166" s="427" t="str">
        <f t="shared" si="154"/>
        <v/>
      </c>
      <c r="Q166" s="427">
        <f t="shared" si="154"/>
        <v>0</v>
      </c>
      <c r="R166" s="427">
        <f t="shared" si="154"/>
        <v>-0.07422347721</v>
      </c>
      <c r="S166" s="427">
        <f t="shared" si="154"/>
        <v>-0.04582814446</v>
      </c>
      <c r="U166" s="428">
        <v>18.47</v>
      </c>
      <c r="V166" s="428">
        <v>77.47</v>
      </c>
      <c r="W166" s="428">
        <v>73.07</v>
      </c>
      <c r="X166" s="429">
        <f t="shared" ref="X166:X171" si="158">IFERROR(W166-V166,"")</f>
        <v>-4.4</v>
      </c>
    </row>
    <row r="167" ht="15.75" customHeight="1">
      <c r="B167" s="424" t="s">
        <v>57</v>
      </c>
      <c r="C167" s="425">
        <v>0.0</v>
      </c>
      <c r="D167" s="425">
        <v>0.0</v>
      </c>
      <c r="E167" s="425">
        <v>9.88</v>
      </c>
      <c r="F167" s="425">
        <v>31.55</v>
      </c>
      <c r="G167" s="426">
        <f t="shared" si="155"/>
        <v>41.43</v>
      </c>
      <c r="I167" s="425">
        <v>0.0</v>
      </c>
      <c r="J167" s="425">
        <v>0.0</v>
      </c>
      <c r="K167" s="425">
        <v>9.88</v>
      </c>
      <c r="L167" s="425">
        <v>27.36</v>
      </c>
      <c r="M167" s="426">
        <f t="shared" si="156"/>
        <v>37.24</v>
      </c>
      <c r="O167" s="427" t="str">
        <f t="shared" ref="O167:S167" si="157">IFERROR(I167/C167-1,"")</f>
        <v/>
      </c>
      <c r="P167" s="427" t="str">
        <f t="shared" si="157"/>
        <v/>
      </c>
      <c r="Q167" s="427">
        <f t="shared" si="157"/>
        <v>0</v>
      </c>
      <c r="R167" s="427">
        <f t="shared" si="157"/>
        <v>-0.1328050713</v>
      </c>
      <c r="S167" s="427">
        <f t="shared" si="157"/>
        <v>-0.1011344436</v>
      </c>
      <c r="U167" s="428">
        <v>46.96</v>
      </c>
      <c r="V167" s="428">
        <v>129.75</v>
      </c>
      <c r="W167" s="428">
        <v>111.88</v>
      </c>
      <c r="X167" s="429">
        <f t="shared" si="158"/>
        <v>-17.87</v>
      </c>
    </row>
    <row r="168" ht="15.75" customHeight="1">
      <c r="B168" s="424" t="s">
        <v>58</v>
      </c>
      <c r="C168" s="425">
        <v>0.0</v>
      </c>
      <c r="D168" s="425">
        <v>0.0</v>
      </c>
      <c r="E168" s="425">
        <v>7.47</v>
      </c>
      <c r="F168" s="425">
        <v>38.85</v>
      </c>
      <c r="G168" s="426">
        <f t="shared" si="155"/>
        <v>46.32</v>
      </c>
      <c r="I168" s="425">
        <v>0.0</v>
      </c>
      <c r="J168" s="425">
        <v>0.0</v>
      </c>
      <c r="K168" s="425">
        <v>7.47</v>
      </c>
      <c r="L168" s="425">
        <v>32.22</v>
      </c>
      <c r="M168" s="426">
        <f t="shared" si="156"/>
        <v>39.69</v>
      </c>
      <c r="O168" s="427" t="str">
        <f t="shared" ref="O168:S168" si="159">IFERROR(I168/C168-1,"")</f>
        <v/>
      </c>
      <c r="P168" s="427" t="str">
        <f t="shared" si="159"/>
        <v/>
      </c>
      <c r="Q168" s="427">
        <f t="shared" si="159"/>
        <v>0</v>
      </c>
      <c r="R168" s="427">
        <f t="shared" si="159"/>
        <v>-0.1706563707</v>
      </c>
      <c r="S168" s="427">
        <f t="shared" si="159"/>
        <v>-0.143134715</v>
      </c>
      <c r="U168" s="428">
        <v>62.92</v>
      </c>
      <c r="V168" s="428">
        <v>154.13</v>
      </c>
      <c r="W168" s="428">
        <v>123.06</v>
      </c>
      <c r="X168" s="429">
        <f t="shared" si="158"/>
        <v>-31.07</v>
      </c>
    </row>
    <row r="169" ht="15.75" customHeight="1">
      <c r="B169" s="424" t="s">
        <v>59</v>
      </c>
      <c r="C169" s="425">
        <v>0.0</v>
      </c>
      <c r="D169" s="425">
        <v>0.0</v>
      </c>
      <c r="E169" s="425">
        <v>6.44</v>
      </c>
      <c r="F169" s="425">
        <v>55.46</v>
      </c>
      <c r="G169" s="426">
        <f t="shared" si="155"/>
        <v>61.9</v>
      </c>
      <c r="I169" s="425">
        <v>0.0</v>
      </c>
      <c r="J169" s="425">
        <v>0.0</v>
      </c>
      <c r="K169" s="425">
        <v>6.44</v>
      </c>
      <c r="L169" s="425">
        <v>53.11</v>
      </c>
      <c r="M169" s="426">
        <f t="shared" si="156"/>
        <v>59.55</v>
      </c>
      <c r="O169" s="427" t="str">
        <f t="shared" ref="O169:S169" si="160">IFERROR(I169/C169-1,"")</f>
        <v/>
      </c>
      <c r="P169" s="427" t="str">
        <f t="shared" si="160"/>
        <v/>
      </c>
      <c r="Q169" s="427">
        <f t="shared" si="160"/>
        <v>0</v>
      </c>
      <c r="R169" s="427">
        <f t="shared" si="160"/>
        <v>-0.04237288136</v>
      </c>
      <c r="S169" s="427">
        <f t="shared" si="160"/>
        <v>-0.0379644588</v>
      </c>
      <c r="U169" s="428">
        <v>87.83</v>
      </c>
      <c r="V169" s="428">
        <v>179.89</v>
      </c>
      <c r="W169" s="428">
        <v>169.73</v>
      </c>
      <c r="X169" s="429">
        <f t="shared" si="158"/>
        <v>-10.16</v>
      </c>
    </row>
    <row r="170" ht="15.75" customHeight="1">
      <c r="B170" s="424" t="s">
        <v>60</v>
      </c>
      <c r="C170" s="425">
        <v>0.0</v>
      </c>
      <c r="D170" s="425">
        <v>0.0</v>
      </c>
      <c r="E170" s="425">
        <v>3.21</v>
      </c>
      <c r="F170" s="425">
        <v>65.39</v>
      </c>
      <c r="G170" s="426">
        <f t="shared" si="155"/>
        <v>68.6</v>
      </c>
      <c r="I170" s="425">
        <v>0.0</v>
      </c>
      <c r="J170" s="425">
        <v>0.0</v>
      </c>
      <c r="K170" s="425">
        <v>3.21</v>
      </c>
      <c r="L170" s="425">
        <v>64.47</v>
      </c>
      <c r="M170" s="426">
        <f t="shared" si="156"/>
        <v>67.68</v>
      </c>
      <c r="O170" s="427" t="str">
        <f t="shared" ref="O170:S170" si="161">IFERROR(I170/C170-1,"")</f>
        <v/>
      </c>
      <c r="P170" s="427" t="str">
        <f t="shared" si="161"/>
        <v/>
      </c>
      <c r="Q170" s="427">
        <f t="shared" si="161"/>
        <v>0</v>
      </c>
      <c r="R170" s="427">
        <f t="shared" si="161"/>
        <v>-0.01406942958</v>
      </c>
      <c r="S170" s="427">
        <f t="shared" si="161"/>
        <v>-0.01341107872</v>
      </c>
      <c r="U170" s="428">
        <v>100.7</v>
      </c>
      <c r="V170" s="428">
        <v>167.16</v>
      </c>
      <c r="W170" s="428">
        <v>163.57</v>
      </c>
      <c r="X170" s="429">
        <f t="shared" si="158"/>
        <v>-3.59</v>
      </c>
    </row>
    <row r="171" ht="15.75" customHeight="1">
      <c r="B171" s="430" t="s">
        <v>1856</v>
      </c>
      <c r="C171" s="431">
        <v>0.0</v>
      </c>
      <c r="D171" s="431">
        <v>0.0</v>
      </c>
      <c r="E171" s="431">
        <v>12.02</v>
      </c>
      <c r="F171" s="431">
        <v>31.39</v>
      </c>
      <c r="G171" s="432">
        <f t="shared" si="155"/>
        <v>43.41</v>
      </c>
      <c r="I171" s="431">
        <v>0.0</v>
      </c>
      <c r="J171" s="431">
        <v>0.0</v>
      </c>
      <c r="K171" s="431">
        <v>12.02</v>
      </c>
      <c r="L171" s="431">
        <v>28.23</v>
      </c>
      <c r="M171" s="432">
        <f t="shared" si="156"/>
        <v>40.25</v>
      </c>
      <c r="O171" s="433" t="str">
        <f t="shared" ref="O171:S171" si="162">IFERROR(I171/C171-1,"")</f>
        <v/>
      </c>
      <c r="P171" s="433" t="str">
        <f t="shared" si="162"/>
        <v/>
      </c>
      <c r="Q171" s="433">
        <f t="shared" si="162"/>
        <v>0</v>
      </c>
      <c r="R171" s="433">
        <f t="shared" si="162"/>
        <v>-0.1006690029</v>
      </c>
      <c r="S171" s="433">
        <f t="shared" si="162"/>
        <v>-0.07279428703</v>
      </c>
      <c r="U171" s="434">
        <v>38.36</v>
      </c>
      <c r="V171" s="434">
        <v>110.58</v>
      </c>
      <c r="W171" s="434">
        <v>98.48</v>
      </c>
      <c r="X171" s="435">
        <f t="shared" si="158"/>
        <v>-12.1</v>
      </c>
    </row>
    <row r="172" ht="15.75" customHeight="1"/>
    <row r="173" ht="15.75" customHeight="1"/>
    <row r="174" ht="15.75" customHeight="1">
      <c r="B174" s="410" t="s">
        <v>1866</v>
      </c>
      <c r="C174" s="410"/>
      <c r="D174" s="410"/>
      <c r="E174" s="410"/>
      <c r="F174" s="410"/>
      <c r="G174" s="410"/>
      <c r="H174" s="410"/>
      <c r="I174" s="410"/>
      <c r="J174" s="410"/>
      <c r="K174" s="410"/>
      <c r="L174" s="410"/>
      <c r="M174" s="410"/>
      <c r="N174" s="410"/>
      <c r="O174" s="410"/>
      <c r="P174" s="410"/>
      <c r="Q174" s="410"/>
      <c r="R174" s="410"/>
      <c r="S174" s="410"/>
      <c r="T174" s="410"/>
      <c r="U174" s="410"/>
      <c r="V174" s="410"/>
      <c r="W174" s="410"/>
      <c r="X174" s="410"/>
    </row>
    <row r="175" ht="15.75" customHeight="1">
      <c r="C175" s="411" t="s">
        <v>1843</v>
      </c>
      <c r="D175" s="412"/>
      <c r="E175" s="412"/>
      <c r="F175" s="412"/>
      <c r="G175" s="412"/>
      <c r="I175" s="413" t="s">
        <v>1844</v>
      </c>
      <c r="J175" s="414"/>
      <c r="K175" s="414"/>
      <c r="L175" s="414"/>
      <c r="M175" s="414"/>
      <c r="O175" s="415" t="s">
        <v>1845</v>
      </c>
      <c r="P175" s="416"/>
      <c r="Q175" s="416"/>
      <c r="R175" s="416"/>
      <c r="S175" s="416"/>
      <c r="U175" s="417" t="s">
        <v>1846</v>
      </c>
      <c r="V175" s="418"/>
      <c r="W175" s="418"/>
      <c r="X175" s="418"/>
    </row>
    <row r="176" ht="15.75" customHeight="1">
      <c r="B176" s="157" t="s">
        <v>1847</v>
      </c>
      <c r="C176" s="419" t="s">
        <v>1848</v>
      </c>
      <c r="D176" s="419" t="s">
        <v>1849</v>
      </c>
      <c r="E176" s="419" t="s">
        <v>1850</v>
      </c>
      <c r="F176" s="419" t="s">
        <v>1851</v>
      </c>
      <c r="G176" s="419" t="s">
        <v>111</v>
      </c>
      <c r="I176" s="420" t="s">
        <v>1848</v>
      </c>
      <c r="J176" s="420" t="s">
        <v>1849</v>
      </c>
      <c r="K176" s="420" t="s">
        <v>1850</v>
      </c>
      <c r="L176" s="420" t="s">
        <v>1851</v>
      </c>
      <c r="M176" s="420" t="s">
        <v>111</v>
      </c>
      <c r="O176" s="421" t="s">
        <v>1848</v>
      </c>
      <c r="P176" s="421" t="s">
        <v>1849</v>
      </c>
      <c r="Q176" s="421" t="s">
        <v>1850</v>
      </c>
      <c r="R176" s="421" t="s">
        <v>1851</v>
      </c>
      <c r="S176" s="421" t="s">
        <v>111</v>
      </c>
      <c r="U176" s="422" t="s">
        <v>1852</v>
      </c>
      <c r="V176" s="422" t="s">
        <v>1853</v>
      </c>
      <c r="W176" s="422" t="s">
        <v>1854</v>
      </c>
      <c r="X176" s="422" t="s">
        <v>1855</v>
      </c>
    </row>
    <row r="177" ht="15.75" customHeight="1">
      <c r="B177" s="423" t="s">
        <v>163</v>
      </c>
      <c r="C177" s="423"/>
      <c r="D177" s="423"/>
      <c r="E177" s="423"/>
      <c r="F177" s="423"/>
      <c r="G177" s="423"/>
      <c r="H177" s="423"/>
      <c r="I177" s="423"/>
      <c r="J177" s="423"/>
      <c r="K177" s="423"/>
      <c r="L177" s="423"/>
      <c r="M177" s="423"/>
      <c r="N177" s="423"/>
      <c r="O177" s="423"/>
      <c r="P177" s="423"/>
      <c r="Q177" s="423"/>
      <c r="R177" s="423"/>
      <c r="S177" s="423"/>
      <c r="T177" s="423"/>
      <c r="U177" s="423"/>
      <c r="V177" s="423"/>
      <c r="W177" s="423"/>
      <c r="X177" s="423"/>
    </row>
    <row r="178" ht="15.75" customHeight="1">
      <c r="B178" s="424" t="s">
        <v>56</v>
      </c>
      <c r="C178" s="425">
        <v>0.0</v>
      </c>
      <c r="D178" s="425">
        <v>0.0</v>
      </c>
      <c r="E178" s="425">
        <v>10.16</v>
      </c>
      <c r="F178" s="425">
        <v>23.78</v>
      </c>
      <c r="G178" s="426">
        <f t="shared" ref="G178:G183" si="164">SUM(C178:F178)</f>
        <v>33.94</v>
      </c>
      <c r="I178" s="425">
        <v>0.0</v>
      </c>
      <c r="J178" s="425">
        <v>0.0</v>
      </c>
      <c r="K178" s="425">
        <v>10.16</v>
      </c>
      <c r="L178" s="425">
        <v>22.73</v>
      </c>
      <c r="M178" s="426">
        <f t="shared" ref="M178:M183" si="165">SUM(I178:L178)</f>
        <v>32.89</v>
      </c>
      <c r="O178" s="427" t="str">
        <f t="shared" ref="O178:S178" si="163">IFERROR(I178/C178-1,"")</f>
        <v/>
      </c>
      <c r="P178" s="427" t="str">
        <f t="shared" si="163"/>
        <v/>
      </c>
      <c r="Q178" s="427">
        <f t="shared" si="163"/>
        <v>0</v>
      </c>
      <c r="R178" s="427">
        <f t="shared" si="163"/>
        <v>-0.04415475189</v>
      </c>
      <c r="S178" s="427">
        <f t="shared" si="163"/>
        <v>-0.03093694755</v>
      </c>
      <c r="U178" s="428">
        <v>9.67</v>
      </c>
      <c r="V178" s="428">
        <v>59.65</v>
      </c>
      <c r="W178" s="428">
        <v>57.51</v>
      </c>
      <c r="X178" s="429">
        <f t="shared" ref="X178:X183" si="167">IFERROR(W178-V178,"")</f>
        <v>-2.14</v>
      </c>
    </row>
    <row r="179" ht="15.75" customHeight="1">
      <c r="B179" s="424" t="s">
        <v>57</v>
      </c>
      <c r="C179" s="425">
        <v>0.0</v>
      </c>
      <c r="D179" s="425">
        <v>0.0</v>
      </c>
      <c r="E179" s="425">
        <v>8.29</v>
      </c>
      <c r="F179" s="425">
        <v>30.99</v>
      </c>
      <c r="G179" s="426">
        <f t="shared" si="164"/>
        <v>39.28</v>
      </c>
      <c r="I179" s="425">
        <v>0.0</v>
      </c>
      <c r="J179" s="425">
        <v>0.0</v>
      </c>
      <c r="K179" s="425">
        <v>8.29</v>
      </c>
      <c r="L179" s="425">
        <v>43.25</v>
      </c>
      <c r="M179" s="426">
        <f t="shared" si="165"/>
        <v>51.54</v>
      </c>
      <c r="O179" s="427" t="str">
        <f t="shared" ref="O179:S179" si="166">IFERROR(I179/C179-1,"")</f>
        <v/>
      </c>
      <c r="P179" s="427" t="str">
        <f t="shared" si="166"/>
        <v/>
      </c>
      <c r="Q179" s="427">
        <f t="shared" si="166"/>
        <v>0</v>
      </c>
      <c r="R179" s="427">
        <f t="shared" si="166"/>
        <v>0.3956114876</v>
      </c>
      <c r="S179" s="427">
        <f t="shared" si="166"/>
        <v>0.3121181263</v>
      </c>
      <c r="U179" s="428">
        <v>22.87</v>
      </c>
      <c r="V179" s="428">
        <v>101.2</v>
      </c>
      <c r="W179" s="428">
        <v>139.93</v>
      </c>
      <c r="X179" s="429">
        <f t="shared" si="167"/>
        <v>38.73</v>
      </c>
    </row>
    <row r="180" ht="15.75" customHeight="1">
      <c r="B180" s="424" t="s">
        <v>58</v>
      </c>
      <c r="C180" s="425">
        <v>0.0</v>
      </c>
      <c r="D180" s="425">
        <v>0.0</v>
      </c>
      <c r="E180" s="425">
        <v>8.07</v>
      </c>
      <c r="F180" s="425">
        <v>40.94</v>
      </c>
      <c r="G180" s="426">
        <f t="shared" si="164"/>
        <v>49.01</v>
      </c>
      <c r="I180" s="425">
        <v>0.0</v>
      </c>
      <c r="J180" s="425">
        <v>0.0</v>
      </c>
      <c r="K180" s="425">
        <v>8.07</v>
      </c>
      <c r="L180" s="425">
        <v>59.59</v>
      </c>
      <c r="M180" s="426">
        <f t="shared" si="165"/>
        <v>67.66</v>
      </c>
      <c r="O180" s="427" t="str">
        <f t="shared" ref="O180:S180" si="168">IFERROR(I180/C180-1,"")</f>
        <v/>
      </c>
      <c r="P180" s="427" t="str">
        <f t="shared" si="168"/>
        <v/>
      </c>
      <c r="Q180" s="427">
        <f t="shared" si="168"/>
        <v>0</v>
      </c>
      <c r="R180" s="427">
        <f t="shared" si="168"/>
        <v>0.4555446996</v>
      </c>
      <c r="S180" s="427">
        <f t="shared" si="168"/>
        <v>0.3805345848</v>
      </c>
      <c r="U180" s="428">
        <v>34.35</v>
      </c>
      <c r="V180" s="428">
        <v>126.63</v>
      </c>
      <c r="W180" s="428">
        <v>187.89</v>
      </c>
      <c r="X180" s="429">
        <f t="shared" si="167"/>
        <v>61.26</v>
      </c>
    </row>
    <row r="181" ht="15.75" customHeight="1">
      <c r="B181" s="424" t="s">
        <v>59</v>
      </c>
      <c r="C181" s="425">
        <v>0.0</v>
      </c>
      <c r="D181" s="425">
        <v>0.0</v>
      </c>
      <c r="E181" s="425">
        <v>12.03</v>
      </c>
      <c r="F181" s="425">
        <v>56.76</v>
      </c>
      <c r="G181" s="426">
        <f t="shared" si="164"/>
        <v>68.79</v>
      </c>
      <c r="I181" s="425">
        <v>0.0</v>
      </c>
      <c r="J181" s="425">
        <v>0.0</v>
      </c>
      <c r="K181" s="425">
        <v>12.03</v>
      </c>
      <c r="L181" s="425">
        <v>73.83</v>
      </c>
      <c r="M181" s="426">
        <f t="shared" si="165"/>
        <v>85.86</v>
      </c>
      <c r="O181" s="427" t="str">
        <f t="shared" ref="O181:S181" si="169">IFERROR(I181/C181-1,"")</f>
        <v/>
      </c>
      <c r="P181" s="427" t="str">
        <f t="shared" si="169"/>
        <v/>
      </c>
      <c r="Q181" s="427">
        <f t="shared" si="169"/>
        <v>0</v>
      </c>
      <c r="R181" s="427">
        <f t="shared" si="169"/>
        <v>0.3007399577</v>
      </c>
      <c r="S181" s="427">
        <f t="shared" si="169"/>
        <v>0.2481465329</v>
      </c>
      <c r="U181" s="428">
        <v>51.95</v>
      </c>
      <c r="V181" s="428">
        <v>160.83</v>
      </c>
      <c r="W181" s="428">
        <v>213.62</v>
      </c>
      <c r="X181" s="429">
        <f t="shared" si="167"/>
        <v>52.79</v>
      </c>
    </row>
    <row r="182" ht="15.75" customHeight="1">
      <c r="B182" s="424" t="s">
        <v>60</v>
      </c>
      <c r="C182" s="425">
        <v>0.0</v>
      </c>
      <c r="D182" s="425">
        <v>0.0</v>
      </c>
      <c r="E182" s="425">
        <v>6.27</v>
      </c>
      <c r="F182" s="425">
        <v>63.79</v>
      </c>
      <c r="G182" s="426">
        <f t="shared" si="164"/>
        <v>70.06</v>
      </c>
      <c r="I182" s="425">
        <v>0.0</v>
      </c>
      <c r="J182" s="425">
        <v>0.0</v>
      </c>
      <c r="K182" s="425">
        <v>6.27</v>
      </c>
      <c r="L182" s="425">
        <v>66.02</v>
      </c>
      <c r="M182" s="426">
        <f t="shared" si="165"/>
        <v>72.29</v>
      </c>
      <c r="O182" s="427" t="str">
        <f t="shared" ref="O182:S182" si="170">IFERROR(I182/C182-1,"")</f>
        <v/>
      </c>
      <c r="P182" s="427" t="str">
        <f t="shared" si="170"/>
        <v/>
      </c>
      <c r="Q182" s="427">
        <f t="shared" si="170"/>
        <v>0</v>
      </c>
      <c r="R182" s="427">
        <f t="shared" si="170"/>
        <v>0.03495845744</v>
      </c>
      <c r="S182" s="427">
        <f t="shared" si="170"/>
        <v>0.03182986012</v>
      </c>
      <c r="U182" s="428">
        <v>60.04</v>
      </c>
      <c r="V182" s="428">
        <v>144.15</v>
      </c>
      <c r="W182" s="428">
        <v>150.65</v>
      </c>
      <c r="X182" s="429">
        <f t="shared" si="167"/>
        <v>6.5</v>
      </c>
    </row>
    <row r="183" ht="15.75" customHeight="1">
      <c r="B183" s="430" t="s">
        <v>1856</v>
      </c>
      <c r="C183" s="431">
        <v>0.0</v>
      </c>
      <c r="D183" s="431">
        <v>0.0</v>
      </c>
      <c r="E183" s="431">
        <v>9.45</v>
      </c>
      <c r="F183" s="431">
        <v>31.93</v>
      </c>
      <c r="G183" s="432">
        <f t="shared" si="164"/>
        <v>41.38</v>
      </c>
      <c r="I183" s="431">
        <v>0.0</v>
      </c>
      <c r="J183" s="431">
        <v>0.0</v>
      </c>
      <c r="K183" s="431">
        <v>9.45</v>
      </c>
      <c r="L183" s="431">
        <v>39.15</v>
      </c>
      <c r="M183" s="432">
        <f t="shared" si="165"/>
        <v>48.6</v>
      </c>
      <c r="O183" s="433" t="str">
        <f t="shared" ref="O183:S183" si="171">IFERROR(I183/C183-1,"")</f>
        <v/>
      </c>
      <c r="P183" s="433" t="str">
        <f t="shared" si="171"/>
        <v/>
      </c>
      <c r="Q183" s="433">
        <f t="shared" si="171"/>
        <v>0</v>
      </c>
      <c r="R183" s="433">
        <f t="shared" si="171"/>
        <v>0.2261196367</v>
      </c>
      <c r="S183" s="433">
        <f t="shared" si="171"/>
        <v>0.1744804253</v>
      </c>
      <c r="U183" s="434">
        <v>21.55</v>
      </c>
      <c r="V183" s="434">
        <v>91.4</v>
      </c>
      <c r="W183" s="434">
        <v>115.05</v>
      </c>
      <c r="X183" s="435">
        <f t="shared" si="167"/>
        <v>23.65</v>
      </c>
    </row>
    <row r="184" ht="15.75" customHeight="1">
      <c r="B184" s="423" t="s">
        <v>1857</v>
      </c>
      <c r="C184" s="423"/>
      <c r="D184" s="423"/>
      <c r="E184" s="423"/>
      <c r="F184" s="423"/>
      <c r="G184" s="423"/>
      <c r="H184" s="423"/>
      <c r="I184" s="423"/>
      <c r="J184" s="423"/>
      <c r="K184" s="423"/>
      <c r="L184" s="423"/>
      <c r="M184" s="423"/>
      <c r="N184" s="423"/>
      <c r="O184" s="423"/>
      <c r="P184" s="423"/>
      <c r="Q184" s="423"/>
      <c r="R184" s="423"/>
      <c r="S184" s="423"/>
      <c r="T184" s="423"/>
      <c r="U184" s="423"/>
      <c r="V184" s="423"/>
      <c r="W184" s="423"/>
      <c r="X184" s="423"/>
    </row>
    <row r="185" ht="15.75" customHeight="1">
      <c r="B185" s="424" t="s">
        <v>56</v>
      </c>
      <c r="C185" s="425">
        <v>0.0</v>
      </c>
      <c r="D185" s="425">
        <v>0.0</v>
      </c>
      <c r="E185" s="425">
        <v>13.55</v>
      </c>
      <c r="F185" s="425">
        <v>27.59</v>
      </c>
      <c r="G185" s="426">
        <f t="shared" ref="G185:G190" si="173">SUM(C185:F185)</f>
        <v>41.14</v>
      </c>
      <c r="I185" s="425">
        <v>0.0</v>
      </c>
      <c r="J185" s="425">
        <v>0.0</v>
      </c>
      <c r="K185" s="425">
        <v>13.55</v>
      </c>
      <c r="L185" s="425">
        <v>27.02</v>
      </c>
      <c r="M185" s="426">
        <f t="shared" ref="M185:M190" si="174">SUM(I185:L185)</f>
        <v>40.57</v>
      </c>
      <c r="O185" s="427" t="str">
        <f t="shared" ref="O185:S185" si="172">IFERROR(I185/C185-1,"")</f>
        <v/>
      </c>
      <c r="P185" s="427" t="str">
        <f t="shared" si="172"/>
        <v/>
      </c>
      <c r="Q185" s="427">
        <f t="shared" si="172"/>
        <v>0</v>
      </c>
      <c r="R185" s="427">
        <f t="shared" si="172"/>
        <v>-0.0206596593</v>
      </c>
      <c r="S185" s="427">
        <f t="shared" si="172"/>
        <v>-0.01385512883</v>
      </c>
      <c r="U185" s="428">
        <v>21.38</v>
      </c>
      <c r="V185" s="428">
        <v>89.7</v>
      </c>
      <c r="W185" s="428">
        <v>88.16</v>
      </c>
      <c r="X185" s="429">
        <f t="shared" ref="X185:X190" si="176">IFERROR(W185-V185,"")</f>
        <v>-1.54</v>
      </c>
    </row>
    <row r="186" ht="15.75" customHeight="1">
      <c r="B186" s="424" t="s">
        <v>57</v>
      </c>
      <c r="C186" s="425">
        <v>0.0</v>
      </c>
      <c r="D186" s="425">
        <v>0.0</v>
      </c>
      <c r="E186" s="425">
        <v>8.21</v>
      </c>
      <c r="F186" s="425">
        <v>34.93</v>
      </c>
      <c r="G186" s="426">
        <f t="shared" si="173"/>
        <v>43.14</v>
      </c>
      <c r="I186" s="425">
        <v>0.0</v>
      </c>
      <c r="J186" s="425">
        <v>0.0</v>
      </c>
      <c r="K186" s="425">
        <v>8.21</v>
      </c>
      <c r="L186" s="425">
        <v>48.89</v>
      </c>
      <c r="M186" s="426">
        <f t="shared" si="174"/>
        <v>57.1</v>
      </c>
      <c r="O186" s="427" t="str">
        <f t="shared" ref="O186:S186" si="175">IFERROR(I186/C186-1,"")</f>
        <v/>
      </c>
      <c r="P186" s="427" t="str">
        <f t="shared" si="175"/>
        <v/>
      </c>
      <c r="Q186" s="427">
        <f t="shared" si="175"/>
        <v>0</v>
      </c>
      <c r="R186" s="427">
        <f t="shared" si="175"/>
        <v>0.3996564558</v>
      </c>
      <c r="S186" s="427">
        <f t="shared" si="175"/>
        <v>0.3235975892</v>
      </c>
      <c r="U186" s="428">
        <v>52.51</v>
      </c>
      <c r="V186" s="428">
        <v>151.43</v>
      </c>
      <c r="W186" s="428">
        <v>217.42</v>
      </c>
      <c r="X186" s="429">
        <f t="shared" si="176"/>
        <v>65.99</v>
      </c>
    </row>
    <row r="187" ht="15.75" customHeight="1">
      <c r="B187" s="424" t="s">
        <v>58</v>
      </c>
      <c r="C187" s="425">
        <v>0.0</v>
      </c>
      <c r="D187" s="425">
        <v>0.0</v>
      </c>
      <c r="E187" s="425">
        <v>6.39</v>
      </c>
      <c r="F187" s="425">
        <v>45.99</v>
      </c>
      <c r="G187" s="426">
        <f t="shared" si="173"/>
        <v>52.38</v>
      </c>
      <c r="I187" s="425">
        <v>0.0</v>
      </c>
      <c r="J187" s="425">
        <v>0.0</v>
      </c>
      <c r="K187" s="425">
        <v>6.39</v>
      </c>
      <c r="L187" s="425">
        <v>65.5</v>
      </c>
      <c r="M187" s="426">
        <f t="shared" si="174"/>
        <v>71.89</v>
      </c>
      <c r="O187" s="427" t="str">
        <f t="shared" ref="O187:S187" si="177">IFERROR(I187/C187-1,"")</f>
        <v/>
      </c>
      <c r="P187" s="427" t="str">
        <f t="shared" si="177"/>
        <v/>
      </c>
      <c r="Q187" s="427">
        <f t="shared" si="177"/>
        <v>0</v>
      </c>
      <c r="R187" s="427">
        <f t="shared" si="177"/>
        <v>0.4242226571</v>
      </c>
      <c r="S187" s="427">
        <f t="shared" si="177"/>
        <v>0.3724704086</v>
      </c>
      <c r="U187" s="428">
        <v>70.8</v>
      </c>
      <c r="V187" s="428">
        <v>182.5</v>
      </c>
      <c r="W187" s="428">
        <v>276.85</v>
      </c>
      <c r="X187" s="429">
        <f t="shared" si="176"/>
        <v>94.35</v>
      </c>
    </row>
    <row r="188" ht="15.75" customHeight="1">
      <c r="B188" s="424" t="s">
        <v>59</v>
      </c>
      <c r="C188" s="425">
        <v>0.0</v>
      </c>
      <c r="D188" s="425">
        <v>0.0</v>
      </c>
      <c r="E188" s="425">
        <v>8.12</v>
      </c>
      <c r="F188" s="425">
        <v>63.85</v>
      </c>
      <c r="G188" s="426">
        <f t="shared" si="173"/>
        <v>71.97</v>
      </c>
      <c r="I188" s="425">
        <v>0.0</v>
      </c>
      <c r="J188" s="425">
        <v>0.0</v>
      </c>
      <c r="K188" s="425">
        <v>8.12</v>
      </c>
      <c r="L188" s="425">
        <v>80.52</v>
      </c>
      <c r="M188" s="426">
        <f t="shared" si="174"/>
        <v>88.64</v>
      </c>
      <c r="O188" s="427" t="str">
        <f t="shared" ref="O188:S188" si="178">IFERROR(I188/C188-1,"")</f>
        <v/>
      </c>
      <c r="P188" s="427" t="str">
        <f t="shared" si="178"/>
        <v/>
      </c>
      <c r="Q188" s="427">
        <f t="shared" si="178"/>
        <v>0</v>
      </c>
      <c r="R188" s="427">
        <f t="shared" si="178"/>
        <v>0.2610806578</v>
      </c>
      <c r="S188" s="427">
        <f t="shared" si="178"/>
        <v>0.2316242879</v>
      </c>
      <c r="U188" s="428">
        <v>96.93</v>
      </c>
      <c r="V188" s="428">
        <v>217.07</v>
      </c>
      <c r="W188" s="428">
        <v>289.8</v>
      </c>
      <c r="X188" s="429">
        <f t="shared" si="176"/>
        <v>72.73</v>
      </c>
    </row>
    <row r="189" ht="15.75" customHeight="1">
      <c r="B189" s="424" t="s">
        <v>60</v>
      </c>
      <c r="C189" s="425">
        <v>0.0</v>
      </c>
      <c r="D189" s="425">
        <v>0.0</v>
      </c>
      <c r="E189" s="425">
        <v>4.88</v>
      </c>
      <c r="F189" s="425">
        <v>80.22</v>
      </c>
      <c r="G189" s="426">
        <f t="shared" si="173"/>
        <v>85.1</v>
      </c>
      <c r="I189" s="425">
        <v>0.0</v>
      </c>
      <c r="J189" s="425">
        <v>0.0</v>
      </c>
      <c r="K189" s="425">
        <v>4.88</v>
      </c>
      <c r="L189" s="425">
        <v>81.25</v>
      </c>
      <c r="M189" s="426">
        <f t="shared" si="174"/>
        <v>86.13</v>
      </c>
      <c r="O189" s="427" t="str">
        <f t="shared" ref="O189:S189" si="179">IFERROR(I189/C189-1,"")</f>
        <v/>
      </c>
      <c r="P189" s="427" t="str">
        <f t="shared" si="179"/>
        <v/>
      </c>
      <c r="Q189" s="427">
        <f t="shared" si="179"/>
        <v>0</v>
      </c>
      <c r="R189" s="427">
        <f t="shared" si="179"/>
        <v>0.01283969085</v>
      </c>
      <c r="S189" s="427">
        <f t="shared" si="179"/>
        <v>0.01210340776</v>
      </c>
      <c r="U189" s="428">
        <v>113.98</v>
      </c>
      <c r="V189" s="428">
        <v>217.57</v>
      </c>
      <c r="W189" s="428">
        <v>221.59</v>
      </c>
      <c r="X189" s="429">
        <f t="shared" si="176"/>
        <v>4.02</v>
      </c>
    </row>
    <row r="190" ht="15.75" customHeight="1">
      <c r="B190" s="430" t="s">
        <v>1856</v>
      </c>
      <c r="C190" s="431">
        <v>0.0</v>
      </c>
      <c r="D190" s="431">
        <v>0.0</v>
      </c>
      <c r="E190" s="431">
        <v>10.67</v>
      </c>
      <c r="F190" s="431">
        <v>35.56</v>
      </c>
      <c r="G190" s="432">
        <f t="shared" si="173"/>
        <v>46.23</v>
      </c>
      <c r="I190" s="431">
        <v>0.0</v>
      </c>
      <c r="J190" s="431">
        <v>0.0</v>
      </c>
      <c r="K190" s="431">
        <v>10.67</v>
      </c>
      <c r="L190" s="431">
        <v>42.87</v>
      </c>
      <c r="M190" s="432">
        <f t="shared" si="174"/>
        <v>53.54</v>
      </c>
      <c r="O190" s="433" t="str">
        <f t="shared" ref="O190:S190" si="180">IFERROR(I190/C190-1,"")</f>
        <v/>
      </c>
      <c r="P190" s="433" t="str">
        <f t="shared" si="180"/>
        <v/>
      </c>
      <c r="Q190" s="433">
        <f t="shared" si="180"/>
        <v>0</v>
      </c>
      <c r="R190" s="433">
        <f t="shared" si="180"/>
        <v>0.205568054</v>
      </c>
      <c r="S190" s="433">
        <f t="shared" si="180"/>
        <v>0.1581224313</v>
      </c>
      <c r="U190" s="434">
        <v>43.25</v>
      </c>
      <c r="V190" s="434">
        <v>129.9</v>
      </c>
      <c r="W190" s="434">
        <v>164.88</v>
      </c>
      <c r="X190" s="435">
        <f t="shared" si="176"/>
        <v>34.98</v>
      </c>
    </row>
    <row r="191" ht="15.75" customHeight="1"/>
    <row r="192" ht="15.75" customHeight="1"/>
    <row r="193" ht="15.75" customHeight="1">
      <c r="B193" s="410" t="s">
        <v>1867</v>
      </c>
      <c r="C193" s="410"/>
      <c r="D193" s="410"/>
      <c r="E193" s="410"/>
      <c r="F193" s="410"/>
      <c r="G193" s="410"/>
      <c r="H193" s="410"/>
      <c r="I193" s="410"/>
      <c r="J193" s="410"/>
      <c r="K193" s="410"/>
      <c r="L193" s="410"/>
      <c r="M193" s="410"/>
      <c r="N193" s="410"/>
      <c r="O193" s="410"/>
      <c r="P193" s="410"/>
      <c r="Q193" s="410"/>
      <c r="R193" s="410"/>
      <c r="S193" s="410"/>
      <c r="T193" s="410"/>
      <c r="U193" s="410"/>
      <c r="V193" s="410"/>
      <c r="W193" s="410"/>
      <c r="X193" s="410"/>
    </row>
    <row r="194" ht="15.75" customHeight="1">
      <c r="C194" s="411" t="s">
        <v>1843</v>
      </c>
      <c r="D194" s="412"/>
      <c r="E194" s="412"/>
      <c r="F194" s="412"/>
      <c r="G194" s="412"/>
      <c r="I194" s="413" t="s">
        <v>1844</v>
      </c>
      <c r="J194" s="414"/>
      <c r="K194" s="414"/>
      <c r="L194" s="414"/>
      <c r="M194" s="414"/>
      <c r="O194" s="415" t="s">
        <v>1845</v>
      </c>
      <c r="P194" s="416"/>
      <c r="Q194" s="416"/>
      <c r="R194" s="416"/>
      <c r="S194" s="416"/>
      <c r="U194" s="417" t="s">
        <v>1846</v>
      </c>
      <c r="V194" s="418"/>
      <c r="W194" s="418"/>
      <c r="X194" s="418"/>
    </row>
    <row r="195" ht="15.75" customHeight="1">
      <c r="B195" s="157" t="s">
        <v>1847</v>
      </c>
      <c r="C195" s="419" t="s">
        <v>1848</v>
      </c>
      <c r="D195" s="419" t="s">
        <v>1849</v>
      </c>
      <c r="E195" s="419" t="s">
        <v>1850</v>
      </c>
      <c r="F195" s="419" t="s">
        <v>1851</v>
      </c>
      <c r="G195" s="419" t="s">
        <v>111</v>
      </c>
      <c r="I195" s="420" t="s">
        <v>1848</v>
      </c>
      <c r="J195" s="420" t="s">
        <v>1849</v>
      </c>
      <c r="K195" s="420" t="s">
        <v>1850</v>
      </c>
      <c r="L195" s="420" t="s">
        <v>1851</v>
      </c>
      <c r="M195" s="420" t="s">
        <v>111</v>
      </c>
      <c r="O195" s="421" t="s">
        <v>1848</v>
      </c>
      <c r="P195" s="421" t="s">
        <v>1849</v>
      </c>
      <c r="Q195" s="421" t="s">
        <v>1850</v>
      </c>
      <c r="R195" s="421" t="s">
        <v>1851</v>
      </c>
      <c r="S195" s="421" t="s">
        <v>111</v>
      </c>
      <c r="U195" s="422" t="s">
        <v>1852</v>
      </c>
      <c r="V195" s="422" t="s">
        <v>1853</v>
      </c>
      <c r="W195" s="422" t="s">
        <v>1854</v>
      </c>
      <c r="X195" s="422" t="s">
        <v>1855</v>
      </c>
    </row>
    <row r="196" ht="15.75" customHeight="1">
      <c r="B196" s="423" t="s">
        <v>163</v>
      </c>
      <c r="C196" s="423"/>
      <c r="D196" s="423"/>
      <c r="E196" s="423"/>
      <c r="F196" s="423"/>
      <c r="G196" s="423"/>
      <c r="H196" s="423"/>
      <c r="I196" s="423"/>
      <c r="J196" s="423"/>
      <c r="K196" s="423"/>
      <c r="L196" s="423"/>
      <c r="M196" s="423"/>
      <c r="N196" s="423"/>
      <c r="O196" s="423"/>
      <c r="P196" s="423"/>
      <c r="Q196" s="423"/>
      <c r="R196" s="423"/>
      <c r="S196" s="423"/>
      <c r="T196" s="423"/>
      <c r="U196" s="423"/>
      <c r="V196" s="423"/>
      <c r="W196" s="423"/>
      <c r="X196" s="423"/>
    </row>
    <row r="197" ht="15.75" customHeight="1">
      <c r="B197" s="424" t="s">
        <v>56</v>
      </c>
      <c r="C197" s="425">
        <v>0.0</v>
      </c>
      <c r="D197" s="425">
        <v>6.47</v>
      </c>
      <c r="E197" s="425">
        <v>238.39</v>
      </c>
      <c r="F197" s="425">
        <v>268.23</v>
      </c>
      <c r="G197" s="426">
        <f t="shared" ref="G197:G202" si="182">SUM(C197:F197)</f>
        <v>513.09</v>
      </c>
      <c r="I197" s="425">
        <v>0.0</v>
      </c>
      <c r="J197" s="425">
        <v>6.47</v>
      </c>
      <c r="K197" s="425">
        <v>238.39</v>
      </c>
      <c r="L197" s="425">
        <v>334.83</v>
      </c>
      <c r="M197" s="426">
        <f t="shared" ref="M197:M202" si="183">SUM(I197:L197)</f>
        <v>579.69</v>
      </c>
      <c r="O197" s="427" t="str">
        <f t="shared" ref="O197:S197" si="181">IFERROR(I197/C197-1,"")</f>
        <v/>
      </c>
      <c r="P197" s="427">
        <f t="shared" si="181"/>
        <v>0</v>
      </c>
      <c r="Q197" s="427">
        <f t="shared" si="181"/>
        <v>0</v>
      </c>
      <c r="R197" s="427">
        <f t="shared" si="181"/>
        <v>0.2482943742</v>
      </c>
      <c r="S197" s="427">
        <f t="shared" si="181"/>
        <v>0.1298017892</v>
      </c>
      <c r="U197" s="428">
        <v>0.0</v>
      </c>
      <c r="V197" s="428">
        <v>716.85</v>
      </c>
      <c r="W197" s="428">
        <v>809.89</v>
      </c>
      <c r="X197" s="429">
        <f t="shared" ref="X197:X202" si="185">IFERROR(W197-V197,"")</f>
        <v>93.04</v>
      </c>
    </row>
    <row r="198" ht="15.75" customHeight="1">
      <c r="B198" s="424" t="s">
        <v>57</v>
      </c>
      <c r="C198" s="425">
        <v>0.0</v>
      </c>
      <c r="D198" s="425">
        <v>8.17</v>
      </c>
      <c r="E198" s="425">
        <v>326.78</v>
      </c>
      <c r="F198" s="425">
        <v>318.45</v>
      </c>
      <c r="G198" s="426">
        <f t="shared" si="182"/>
        <v>653.4</v>
      </c>
      <c r="I198" s="425">
        <v>0.0</v>
      </c>
      <c r="J198" s="425">
        <v>8.17</v>
      </c>
      <c r="K198" s="425">
        <v>326.78</v>
      </c>
      <c r="L198" s="425">
        <v>451.41</v>
      </c>
      <c r="M198" s="426">
        <f t="shared" si="183"/>
        <v>786.36</v>
      </c>
      <c r="O198" s="427" t="str">
        <f t="shared" ref="O198:S198" si="184">IFERROR(I198/C198-1,"")</f>
        <v/>
      </c>
      <c r="P198" s="427">
        <f t="shared" si="184"/>
        <v>0</v>
      </c>
      <c r="Q198" s="427">
        <f t="shared" si="184"/>
        <v>0</v>
      </c>
      <c r="R198" s="427">
        <f t="shared" si="184"/>
        <v>0.417522374</v>
      </c>
      <c r="S198" s="427">
        <f t="shared" si="184"/>
        <v>0.2034894399</v>
      </c>
      <c r="U198" s="428">
        <v>0.01</v>
      </c>
      <c r="V198" s="428">
        <v>1303.18</v>
      </c>
      <c r="W198" s="428">
        <v>1568.36</v>
      </c>
      <c r="X198" s="429">
        <f t="shared" si="185"/>
        <v>265.18</v>
      </c>
    </row>
    <row r="199" ht="15.75" customHeight="1">
      <c r="B199" s="424" t="s">
        <v>58</v>
      </c>
      <c r="C199" s="425">
        <v>0.0</v>
      </c>
      <c r="D199" s="425">
        <v>7.78</v>
      </c>
      <c r="E199" s="425">
        <v>460.49</v>
      </c>
      <c r="F199" s="425">
        <v>353.68</v>
      </c>
      <c r="G199" s="426">
        <f t="shared" si="182"/>
        <v>821.95</v>
      </c>
      <c r="I199" s="425">
        <v>0.0</v>
      </c>
      <c r="J199" s="425">
        <v>7.78</v>
      </c>
      <c r="K199" s="425">
        <v>460.49</v>
      </c>
      <c r="L199" s="425">
        <v>537.47</v>
      </c>
      <c r="M199" s="426">
        <f t="shared" si="183"/>
        <v>1005.74</v>
      </c>
      <c r="O199" s="427" t="str">
        <f t="shared" ref="O199:S199" si="186">IFERROR(I199/C199-1,"")</f>
        <v/>
      </c>
      <c r="P199" s="427">
        <f t="shared" si="186"/>
        <v>0</v>
      </c>
      <c r="Q199" s="427">
        <f t="shared" si="186"/>
        <v>0</v>
      </c>
      <c r="R199" s="427">
        <f t="shared" si="186"/>
        <v>0.5196505316</v>
      </c>
      <c r="S199" s="427">
        <f t="shared" si="186"/>
        <v>0.2236024089</v>
      </c>
      <c r="U199" s="428">
        <v>0.01</v>
      </c>
      <c r="V199" s="428">
        <v>1656.32</v>
      </c>
      <c r="W199" s="428">
        <v>2026.67</v>
      </c>
      <c r="X199" s="429">
        <f t="shared" si="185"/>
        <v>370.35</v>
      </c>
    </row>
    <row r="200" ht="15.75" customHeight="1">
      <c r="B200" s="424" t="s">
        <v>59</v>
      </c>
      <c r="C200" s="425">
        <v>0.0</v>
      </c>
      <c r="D200" s="425">
        <v>9.81</v>
      </c>
      <c r="E200" s="425">
        <v>834.34</v>
      </c>
      <c r="F200" s="425">
        <v>434.14</v>
      </c>
      <c r="G200" s="426">
        <f t="shared" si="182"/>
        <v>1278.29</v>
      </c>
      <c r="I200" s="425">
        <v>0.0</v>
      </c>
      <c r="J200" s="425">
        <v>9.81</v>
      </c>
      <c r="K200" s="425">
        <v>834.34</v>
      </c>
      <c r="L200" s="425">
        <v>720.4</v>
      </c>
      <c r="M200" s="426">
        <f t="shared" si="183"/>
        <v>1564.55</v>
      </c>
      <c r="O200" s="427" t="str">
        <f t="shared" ref="O200:S200" si="187">IFERROR(I200/C200-1,"")</f>
        <v/>
      </c>
      <c r="P200" s="427">
        <f t="shared" si="187"/>
        <v>0</v>
      </c>
      <c r="Q200" s="427">
        <f t="shared" si="187"/>
        <v>0</v>
      </c>
      <c r="R200" s="427">
        <f t="shared" si="187"/>
        <v>0.6593725526</v>
      </c>
      <c r="S200" s="427">
        <f t="shared" si="187"/>
        <v>0.2239397946</v>
      </c>
      <c r="U200" s="428">
        <v>0.02</v>
      </c>
      <c r="V200" s="428">
        <v>2280.37</v>
      </c>
      <c r="W200" s="428">
        <v>2791.04</v>
      </c>
      <c r="X200" s="429">
        <f t="shared" si="185"/>
        <v>510.67</v>
      </c>
    </row>
    <row r="201" ht="15.75" customHeight="1">
      <c r="B201" s="424" t="s">
        <v>60</v>
      </c>
      <c r="C201" s="425">
        <v>0.0</v>
      </c>
      <c r="D201" s="425">
        <v>9.89</v>
      </c>
      <c r="E201" s="425">
        <v>1243.02</v>
      </c>
      <c r="F201" s="425">
        <v>376.95</v>
      </c>
      <c r="G201" s="426">
        <f t="shared" si="182"/>
        <v>1629.86</v>
      </c>
      <c r="I201" s="425">
        <v>0.0</v>
      </c>
      <c r="J201" s="425">
        <v>9.89</v>
      </c>
      <c r="K201" s="425">
        <v>1243.02</v>
      </c>
      <c r="L201" s="425">
        <v>691.96</v>
      </c>
      <c r="M201" s="426">
        <f t="shared" si="183"/>
        <v>1944.87</v>
      </c>
      <c r="O201" s="427" t="str">
        <f t="shared" ref="O201:S201" si="188">IFERROR(I201/C201-1,"")</f>
        <v/>
      </c>
      <c r="P201" s="427">
        <f t="shared" si="188"/>
        <v>0</v>
      </c>
      <c r="Q201" s="427">
        <f t="shared" si="188"/>
        <v>0</v>
      </c>
      <c r="R201" s="427">
        <f t="shared" si="188"/>
        <v>0.8356811248</v>
      </c>
      <c r="S201" s="427">
        <f t="shared" si="188"/>
        <v>0.193274269</v>
      </c>
      <c r="U201" s="428">
        <v>0.02</v>
      </c>
      <c r="V201" s="428">
        <v>2584.67</v>
      </c>
      <c r="W201" s="428">
        <v>3084.23</v>
      </c>
      <c r="X201" s="429">
        <f t="shared" si="185"/>
        <v>499.56</v>
      </c>
    </row>
    <row r="202" ht="15.75" customHeight="1">
      <c r="B202" s="430" t="s">
        <v>1856</v>
      </c>
      <c r="C202" s="431">
        <v>0.0</v>
      </c>
      <c r="D202" s="431">
        <v>7.46</v>
      </c>
      <c r="E202" s="431">
        <v>364.65</v>
      </c>
      <c r="F202" s="431">
        <v>311.28</v>
      </c>
      <c r="G202" s="432">
        <f t="shared" si="182"/>
        <v>683.39</v>
      </c>
      <c r="I202" s="431">
        <v>0.0</v>
      </c>
      <c r="J202" s="431">
        <v>7.46</v>
      </c>
      <c r="K202" s="431">
        <v>364.65</v>
      </c>
      <c r="L202" s="431">
        <v>437.04</v>
      </c>
      <c r="M202" s="432">
        <f t="shared" si="183"/>
        <v>809.15</v>
      </c>
      <c r="O202" s="433" t="str">
        <f t="shared" ref="O202:S202" si="189">IFERROR(I202/C202-1,"")</f>
        <v/>
      </c>
      <c r="P202" s="433">
        <f t="shared" si="189"/>
        <v>0</v>
      </c>
      <c r="Q202" s="433">
        <f t="shared" si="189"/>
        <v>0</v>
      </c>
      <c r="R202" s="433">
        <f t="shared" si="189"/>
        <v>0.4040092521</v>
      </c>
      <c r="S202" s="433">
        <f t="shared" si="189"/>
        <v>0.1840237639</v>
      </c>
      <c r="U202" s="434">
        <v>0.01</v>
      </c>
      <c r="V202" s="434">
        <v>1185.78</v>
      </c>
      <c r="W202" s="434">
        <v>1411.01</v>
      </c>
      <c r="X202" s="435">
        <f t="shared" si="185"/>
        <v>225.23</v>
      </c>
    </row>
    <row r="203" ht="15.75" customHeight="1">
      <c r="B203" s="423" t="s">
        <v>1857</v>
      </c>
      <c r="C203" s="423"/>
      <c r="D203" s="423"/>
      <c r="E203" s="423"/>
      <c r="F203" s="423"/>
      <c r="G203" s="423"/>
      <c r="H203" s="423"/>
      <c r="I203" s="423"/>
      <c r="J203" s="423"/>
      <c r="K203" s="423"/>
      <c r="L203" s="423"/>
      <c r="M203" s="423"/>
      <c r="N203" s="423"/>
      <c r="O203" s="423"/>
      <c r="P203" s="423"/>
      <c r="Q203" s="423"/>
      <c r="R203" s="423"/>
      <c r="S203" s="423"/>
      <c r="T203" s="423"/>
      <c r="U203" s="423"/>
      <c r="V203" s="423"/>
      <c r="W203" s="423"/>
      <c r="X203" s="423"/>
    </row>
    <row r="204" ht="15.75" customHeight="1">
      <c r="B204" s="424" t="s">
        <v>56</v>
      </c>
      <c r="C204" s="425">
        <v>0.0</v>
      </c>
      <c r="D204" s="425">
        <v>12.12</v>
      </c>
      <c r="E204" s="425">
        <v>307.67</v>
      </c>
      <c r="F204" s="425">
        <v>377.03</v>
      </c>
      <c r="G204" s="426">
        <f t="shared" ref="G204:G209" si="191">SUM(C204:F204)</f>
        <v>696.82</v>
      </c>
      <c r="I204" s="425">
        <v>0.0</v>
      </c>
      <c r="J204" s="425">
        <v>12.12</v>
      </c>
      <c r="K204" s="425">
        <v>307.67</v>
      </c>
      <c r="L204" s="425">
        <v>469.32</v>
      </c>
      <c r="M204" s="426">
        <f t="shared" ref="M204:M209" si="192">SUM(I204:L204)</f>
        <v>789.11</v>
      </c>
      <c r="O204" s="427" t="str">
        <f t="shared" ref="O204:S204" si="190">IFERROR(I204/C204-1,"")</f>
        <v/>
      </c>
      <c r="P204" s="427">
        <f t="shared" si="190"/>
        <v>0</v>
      </c>
      <c r="Q204" s="427">
        <f t="shared" si="190"/>
        <v>0</v>
      </c>
      <c r="R204" s="427">
        <f t="shared" si="190"/>
        <v>0.2447815824</v>
      </c>
      <c r="S204" s="427">
        <f t="shared" si="190"/>
        <v>0.1324445337</v>
      </c>
      <c r="U204" s="428">
        <v>0.0</v>
      </c>
      <c r="V204" s="428">
        <v>1029.06</v>
      </c>
      <c r="W204" s="428">
        <v>1165.36</v>
      </c>
      <c r="X204" s="429">
        <f t="shared" ref="X204:X209" si="194">IFERROR(W204-V204,"")</f>
        <v>136.3</v>
      </c>
    </row>
    <row r="205" ht="15.75" customHeight="1">
      <c r="B205" s="424" t="s">
        <v>57</v>
      </c>
      <c r="C205" s="425">
        <v>0.0</v>
      </c>
      <c r="D205" s="425">
        <v>9.61</v>
      </c>
      <c r="E205" s="425">
        <v>318.57</v>
      </c>
      <c r="F205" s="425">
        <v>392.89</v>
      </c>
      <c r="G205" s="426">
        <f t="shared" si="191"/>
        <v>721.07</v>
      </c>
      <c r="I205" s="425">
        <v>0.0</v>
      </c>
      <c r="J205" s="425">
        <v>9.61</v>
      </c>
      <c r="K205" s="425">
        <v>318.57</v>
      </c>
      <c r="L205" s="425">
        <v>535.6</v>
      </c>
      <c r="M205" s="426">
        <f t="shared" si="192"/>
        <v>863.78</v>
      </c>
      <c r="O205" s="427" t="str">
        <f t="shared" ref="O205:S205" si="193">IFERROR(I205/C205-1,"")</f>
        <v/>
      </c>
      <c r="P205" s="427">
        <f t="shared" si="193"/>
        <v>0</v>
      </c>
      <c r="Q205" s="427">
        <f t="shared" si="193"/>
        <v>0</v>
      </c>
      <c r="R205" s="427">
        <f t="shared" si="193"/>
        <v>0.3632314388</v>
      </c>
      <c r="S205" s="427">
        <f t="shared" si="193"/>
        <v>0.1979142108</v>
      </c>
      <c r="U205" s="428">
        <v>0.0</v>
      </c>
      <c r="V205" s="428">
        <v>1582.23</v>
      </c>
      <c r="W205" s="428">
        <v>1895.38</v>
      </c>
      <c r="X205" s="429">
        <f t="shared" si="194"/>
        <v>313.15</v>
      </c>
    </row>
    <row r="206" ht="15.75" customHeight="1">
      <c r="B206" s="424" t="s">
        <v>58</v>
      </c>
      <c r="C206" s="425">
        <v>0.0</v>
      </c>
      <c r="D206" s="425">
        <v>8.27</v>
      </c>
      <c r="E206" s="425">
        <v>421.28</v>
      </c>
      <c r="F206" s="425">
        <v>459.66</v>
      </c>
      <c r="G206" s="426">
        <f t="shared" si="191"/>
        <v>889.21</v>
      </c>
      <c r="I206" s="425">
        <v>0.0</v>
      </c>
      <c r="J206" s="425">
        <v>8.27</v>
      </c>
      <c r="K206" s="425">
        <v>421.28</v>
      </c>
      <c r="L206" s="425">
        <v>646.5</v>
      </c>
      <c r="M206" s="426">
        <f t="shared" si="192"/>
        <v>1076.05</v>
      </c>
      <c r="O206" s="427" t="str">
        <f t="shared" ref="O206:S206" si="195">IFERROR(I206/C206-1,"")</f>
        <v/>
      </c>
      <c r="P206" s="427">
        <f t="shared" si="195"/>
        <v>0</v>
      </c>
      <c r="Q206" s="427">
        <f t="shared" si="195"/>
        <v>0</v>
      </c>
      <c r="R206" s="427">
        <f t="shared" si="195"/>
        <v>0.4064743506</v>
      </c>
      <c r="S206" s="427">
        <f t="shared" si="195"/>
        <v>0.2101190945</v>
      </c>
      <c r="U206" s="428">
        <v>0.0</v>
      </c>
      <c r="V206" s="428">
        <v>1883.13</v>
      </c>
      <c r="W206" s="428">
        <v>2278.81</v>
      </c>
      <c r="X206" s="429">
        <f t="shared" si="194"/>
        <v>395.68</v>
      </c>
    </row>
    <row r="207" ht="15.75" customHeight="1">
      <c r="B207" s="424" t="s">
        <v>59</v>
      </c>
      <c r="C207" s="425">
        <v>0.0</v>
      </c>
      <c r="D207" s="425">
        <v>8.36</v>
      </c>
      <c r="E207" s="425">
        <v>734.95</v>
      </c>
      <c r="F207" s="425">
        <v>593.93</v>
      </c>
      <c r="G207" s="426">
        <f t="shared" si="191"/>
        <v>1337.24</v>
      </c>
      <c r="I207" s="425">
        <v>0.0</v>
      </c>
      <c r="J207" s="425">
        <v>8.36</v>
      </c>
      <c r="K207" s="425">
        <v>734.95</v>
      </c>
      <c r="L207" s="425">
        <v>877.02</v>
      </c>
      <c r="M207" s="426">
        <f t="shared" si="192"/>
        <v>1620.33</v>
      </c>
      <c r="O207" s="427" t="str">
        <f t="shared" ref="O207:S207" si="196">IFERROR(I207/C207-1,"")</f>
        <v/>
      </c>
      <c r="P207" s="427">
        <f t="shared" si="196"/>
        <v>0</v>
      </c>
      <c r="Q207" s="427">
        <f t="shared" si="196"/>
        <v>0</v>
      </c>
      <c r="R207" s="427">
        <f t="shared" si="196"/>
        <v>0.4766386611</v>
      </c>
      <c r="S207" s="427">
        <f t="shared" si="196"/>
        <v>0.2116972271</v>
      </c>
      <c r="U207" s="428">
        <v>0.04</v>
      </c>
      <c r="V207" s="428">
        <v>2536.69</v>
      </c>
      <c r="W207" s="428">
        <v>3073.7</v>
      </c>
      <c r="X207" s="429">
        <f t="shared" si="194"/>
        <v>537.01</v>
      </c>
    </row>
    <row r="208" ht="15.75" customHeight="1">
      <c r="B208" s="424" t="s">
        <v>60</v>
      </c>
      <c r="C208" s="425">
        <v>0.0</v>
      </c>
      <c r="D208" s="425">
        <v>8.14</v>
      </c>
      <c r="E208" s="425">
        <v>1178.51</v>
      </c>
      <c r="F208" s="425">
        <v>614.56</v>
      </c>
      <c r="G208" s="426">
        <f t="shared" si="191"/>
        <v>1801.21</v>
      </c>
      <c r="I208" s="425">
        <v>0.0</v>
      </c>
      <c r="J208" s="425">
        <v>8.14</v>
      </c>
      <c r="K208" s="425">
        <v>1178.51</v>
      </c>
      <c r="L208" s="425">
        <v>974.49</v>
      </c>
      <c r="M208" s="426">
        <f t="shared" si="192"/>
        <v>2161.14</v>
      </c>
      <c r="O208" s="427" t="str">
        <f t="shared" ref="O208:S208" si="197">IFERROR(I208/C208-1,"")</f>
        <v/>
      </c>
      <c r="P208" s="427">
        <f t="shared" si="197"/>
        <v>0</v>
      </c>
      <c r="Q208" s="427">
        <f t="shared" si="197"/>
        <v>0</v>
      </c>
      <c r="R208" s="427">
        <f t="shared" si="197"/>
        <v>0.5856710492</v>
      </c>
      <c r="S208" s="427">
        <f t="shared" si="197"/>
        <v>0.1998267831</v>
      </c>
      <c r="U208" s="428">
        <v>0.0</v>
      </c>
      <c r="V208" s="428">
        <v>3126.6</v>
      </c>
      <c r="W208" s="428">
        <v>3751.38</v>
      </c>
      <c r="X208" s="429">
        <f t="shared" si="194"/>
        <v>624.78</v>
      </c>
    </row>
    <row r="209" ht="15.75" customHeight="1">
      <c r="B209" s="430" t="s">
        <v>1856</v>
      </c>
      <c r="C209" s="431">
        <v>0.0</v>
      </c>
      <c r="D209" s="431">
        <v>10.6</v>
      </c>
      <c r="E209" s="431">
        <v>370.75</v>
      </c>
      <c r="F209" s="431">
        <v>413.0</v>
      </c>
      <c r="G209" s="432">
        <f t="shared" si="191"/>
        <v>794.35</v>
      </c>
      <c r="I209" s="431">
        <v>0.0</v>
      </c>
      <c r="J209" s="431">
        <v>10.6</v>
      </c>
      <c r="K209" s="431">
        <v>370.75</v>
      </c>
      <c r="L209" s="431">
        <v>549.59</v>
      </c>
      <c r="M209" s="432">
        <f t="shared" si="192"/>
        <v>930.94</v>
      </c>
      <c r="O209" s="433" t="str">
        <f t="shared" ref="O209:S209" si="198">IFERROR(I209/C209-1,"")</f>
        <v/>
      </c>
      <c r="P209" s="433">
        <f t="shared" si="198"/>
        <v>0</v>
      </c>
      <c r="Q209" s="433">
        <f t="shared" si="198"/>
        <v>0</v>
      </c>
      <c r="R209" s="433">
        <f t="shared" si="198"/>
        <v>0.3307263923</v>
      </c>
      <c r="S209" s="433">
        <f t="shared" si="198"/>
        <v>0.1719519104</v>
      </c>
      <c r="U209" s="434">
        <v>0.0</v>
      </c>
      <c r="V209" s="434">
        <v>1432.02</v>
      </c>
      <c r="W209" s="434">
        <v>1686.66</v>
      </c>
      <c r="X209" s="435">
        <f t="shared" si="194"/>
        <v>254.64</v>
      </c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Q1:S1000">
    <cfRule type="cellIs" dxfId="11" priority="1" operator="greaterThan">
      <formula>0</formula>
    </cfRule>
  </conditionalFormatting>
  <conditionalFormatting sqref="Q1:S1000">
    <cfRule type="cellIs" dxfId="12" priority="2" operator="less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25" width="5.63"/>
  </cols>
  <sheetData>
    <row r="1">
      <c r="A1" s="220"/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</row>
    <row r="2">
      <c r="A2" s="220"/>
      <c r="B2" s="436" t="s">
        <v>1868</v>
      </c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</row>
    <row r="3">
      <c r="A3" s="220"/>
      <c r="B3" s="437" t="s">
        <v>162</v>
      </c>
      <c r="C3" s="153" t="s">
        <v>163</v>
      </c>
      <c r="D3" s="438" t="s">
        <v>1869</v>
      </c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</row>
    <row r="4">
      <c r="A4" s="220"/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</row>
    <row r="5">
      <c r="A5" s="220"/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</row>
    <row r="6" ht="15.75" customHeight="1">
      <c r="A6" s="220"/>
      <c r="B6" s="439" t="s">
        <v>56</v>
      </c>
      <c r="C6" s="440" t="s">
        <v>1870</v>
      </c>
      <c r="D6" s="440"/>
      <c r="E6" s="440"/>
      <c r="F6" s="440"/>
      <c r="G6" s="440"/>
      <c r="H6" s="440"/>
      <c r="I6" s="440"/>
      <c r="J6" s="440"/>
      <c r="K6" s="440"/>
      <c r="L6" s="440"/>
      <c r="M6" s="440"/>
      <c r="N6" s="220"/>
      <c r="O6" s="441" t="s">
        <v>1871</v>
      </c>
      <c r="P6" s="441"/>
      <c r="Q6" s="441"/>
      <c r="R6" s="441"/>
      <c r="S6" s="441"/>
      <c r="T6" s="441"/>
      <c r="U6" s="441"/>
      <c r="V6" s="441"/>
      <c r="W6" s="441"/>
      <c r="X6" s="441"/>
      <c r="Y6" s="441"/>
      <c r="Z6" s="220"/>
    </row>
    <row r="7" ht="72.0" customHeight="1">
      <c r="A7" s="220"/>
      <c r="B7" s="442" t="s">
        <v>391</v>
      </c>
      <c r="C7" s="443" t="s">
        <v>1872</v>
      </c>
      <c r="D7" s="443" t="s">
        <v>72</v>
      </c>
      <c r="E7" s="443" t="s">
        <v>73</v>
      </c>
      <c r="F7" s="443" t="s">
        <v>74</v>
      </c>
      <c r="G7" s="443" t="s">
        <v>69</v>
      </c>
      <c r="H7" s="443" t="s">
        <v>70</v>
      </c>
      <c r="I7" s="443" t="s">
        <v>71</v>
      </c>
      <c r="J7" s="443" t="s">
        <v>1873</v>
      </c>
      <c r="K7" s="443" t="s">
        <v>1874</v>
      </c>
      <c r="L7" s="443" t="s">
        <v>1875</v>
      </c>
      <c r="M7" s="443" t="s">
        <v>75</v>
      </c>
      <c r="N7" s="220"/>
      <c r="O7" s="444" t="s">
        <v>1872</v>
      </c>
      <c r="P7" s="444" t="s">
        <v>72</v>
      </c>
      <c r="Q7" s="444" t="s">
        <v>73</v>
      </c>
      <c r="R7" s="444" t="s">
        <v>74</v>
      </c>
      <c r="S7" s="444" t="s">
        <v>69</v>
      </c>
      <c r="T7" s="444" t="s">
        <v>70</v>
      </c>
      <c r="U7" s="444" t="s">
        <v>71</v>
      </c>
      <c r="V7" s="444" t="s">
        <v>1873</v>
      </c>
      <c r="W7" s="444" t="s">
        <v>1874</v>
      </c>
      <c r="X7" s="444" t="s">
        <v>1875</v>
      </c>
      <c r="Y7" s="444" t="s">
        <v>75</v>
      </c>
      <c r="Z7" s="220"/>
    </row>
    <row r="8" ht="15.75" customHeight="1">
      <c r="A8" s="220"/>
      <c r="B8" s="445" t="s">
        <v>365</v>
      </c>
      <c r="C8" s="446">
        <f>LET(payer, $C$3, segment, $B$6, ECOGAINS_SIM(payer, segment))</f>
        <v>19.1667</v>
      </c>
      <c r="D8" s="447">
        <v>0.5913</v>
      </c>
      <c r="E8" s="447">
        <v>0.6178</v>
      </c>
      <c r="F8" s="447">
        <v>0.3472</v>
      </c>
      <c r="G8" s="447">
        <v>0.0</v>
      </c>
      <c r="H8" s="447">
        <v>0.0</v>
      </c>
      <c r="I8" s="447">
        <v>0.0</v>
      </c>
      <c r="J8" s="447">
        <v>0.0</v>
      </c>
      <c r="K8" s="447">
        <v>0.0</v>
      </c>
      <c r="L8" s="447">
        <v>0.0</v>
      </c>
      <c r="M8" s="447">
        <v>6.4663</v>
      </c>
      <c r="N8" s="448"/>
      <c r="O8" s="449">
        <f>LET(payer, $C$3, segment, $B$6, ECOGAINS_DIFF(payer, segment))</f>
        <v>0</v>
      </c>
      <c r="P8" s="450">
        <v>0.0</v>
      </c>
      <c r="Q8" s="450">
        <v>0.0</v>
      </c>
      <c r="R8" s="450">
        <v>0.0</v>
      </c>
      <c r="S8" s="450">
        <v>0.0</v>
      </c>
      <c r="T8" s="450">
        <v>0.0</v>
      </c>
      <c r="U8" s="450">
        <v>0.0</v>
      </c>
      <c r="V8" s="450">
        <v>0.0</v>
      </c>
      <c r="W8" s="450">
        <v>0.0</v>
      </c>
      <c r="X8" s="450">
        <v>0.0</v>
      </c>
      <c r="Y8" s="450">
        <v>0.0</v>
      </c>
      <c r="Z8" s="220"/>
    </row>
    <row r="9" ht="15.75" customHeight="1">
      <c r="A9" s="220"/>
      <c r="B9" s="451" t="s">
        <v>312</v>
      </c>
      <c r="C9" s="452">
        <v>1.2150936452017937</v>
      </c>
      <c r="D9" s="452">
        <v>0.17653870206278027</v>
      </c>
      <c r="E9" s="452">
        <v>0.05438643085201794</v>
      </c>
      <c r="F9" s="452">
        <v>0.0035620505829596417</v>
      </c>
      <c r="G9" s="452">
        <v>0.0</v>
      </c>
      <c r="H9" s="452">
        <v>0.0</v>
      </c>
      <c r="I9" s="452">
        <v>0.0</v>
      </c>
      <c r="J9" s="452">
        <v>0.0</v>
      </c>
      <c r="K9" s="452">
        <v>0.0</v>
      </c>
      <c r="L9" s="452">
        <v>0.0</v>
      </c>
      <c r="M9" s="452">
        <v>0.0</v>
      </c>
      <c r="N9" s="448"/>
      <c r="O9" s="453">
        <v>-0.18350635479820632</v>
      </c>
      <c r="P9" s="450">
        <v>-0.02666129793721972</v>
      </c>
      <c r="Q9" s="450">
        <v>-0.008213569147982061</v>
      </c>
      <c r="R9" s="450">
        <v>-5.379494170403586E-4</v>
      </c>
      <c r="S9" s="450">
        <v>0.0</v>
      </c>
      <c r="T9" s="450">
        <v>0.0</v>
      </c>
      <c r="U9" s="450">
        <v>0.0</v>
      </c>
      <c r="V9" s="450">
        <v>0.0</v>
      </c>
      <c r="W9" s="450">
        <v>0.0</v>
      </c>
      <c r="X9" s="450">
        <v>0.0</v>
      </c>
      <c r="Y9" s="450">
        <v>0.0</v>
      </c>
      <c r="Z9" s="220"/>
    </row>
    <row r="10" ht="15.75" customHeight="1">
      <c r="A10" s="220"/>
      <c r="B10" s="451" t="s">
        <v>189</v>
      </c>
      <c r="C10" s="452">
        <v>0.172768585642966</v>
      </c>
      <c r="D10" s="452">
        <v>0.0</v>
      </c>
      <c r="E10" s="452">
        <v>0.0</v>
      </c>
      <c r="F10" s="452">
        <v>0.0</v>
      </c>
      <c r="G10" s="452">
        <v>6.648141823683154E-4</v>
      </c>
      <c r="H10" s="452">
        <v>0.1888072277926016</v>
      </c>
      <c r="I10" s="452">
        <v>0.0</v>
      </c>
      <c r="J10" s="452">
        <v>0.12174409714619776</v>
      </c>
      <c r="K10" s="452">
        <v>0.9358090634562001</v>
      </c>
      <c r="L10" s="452">
        <v>1.4551120416586505</v>
      </c>
      <c r="M10" s="452">
        <v>0.7045368297648223</v>
      </c>
      <c r="N10" s="448"/>
      <c r="O10" s="453">
        <v>-0.03513141435703401</v>
      </c>
      <c r="P10" s="450">
        <v>0.0</v>
      </c>
      <c r="Q10" s="450">
        <v>0.0</v>
      </c>
      <c r="R10" s="450">
        <v>0.0</v>
      </c>
      <c r="S10" s="450">
        <v>-1.351858176316846E-4</v>
      </c>
      <c r="T10" s="450">
        <v>-0.03839277220739842</v>
      </c>
      <c r="U10" s="450">
        <v>0.0</v>
      </c>
      <c r="V10" s="450">
        <v>-0.024755902853802234</v>
      </c>
      <c r="W10" s="450">
        <v>-0.19029093654380003</v>
      </c>
      <c r="X10" s="450">
        <v>-0.2958879583413494</v>
      </c>
      <c r="Y10" s="450">
        <v>-0.14326317023517765</v>
      </c>
      <c r="Z10" s="220"/>
    </row>
    <row r="11" ht="15.75" customHeight="1">
      <c r="A11" s="220"/>
      <c r="B11" s="451" t="s">
        <v>311</v>
      </c>
      <c r="C11" s="452">
        <v>0.25651225600000005</v>
      </c>
      <c r="D11" s="452">
        <v>0.034978944000000005</v>
      </c>
      <c r="E11" s="452">
        <v>0.010624768000000001</v>
      </c>
      <c r="F11" s="452">
        <v>7.589120000000001E-4</v>
      </c>
      <c r="G11" s="452">
        <v>0.0</v>
      </c>
      <c r="H11" s="452">
        <v>0.0</v>
      </c>
      <c r="I11" s="452">
        <v>0.0</v>
      </c>
      <c r="J11" s="452">
        <v>0.0</v>
      </c>
      <c r="K11" s="452">
        <v>0.0</v>
      </c>
      <c r="L11" s="452">
        <v>0.0</v>
      </c>
      <c r="M11" s="452">
        <v>0.0</v>
      </c>
      <c r="N11" s="448"/>
      <c r="O11" s="453">
        <v>-0.11528774399999997</v>
      </c>
      <c r="P11" s="450">
        <v>-0.015721055999999997</v>
      </c>
      <c r="Q11" s="450">
        <v>-0.004775231999999999</v>
      </c>
      <c r="R11" s="450">
        <v>-3.410879999999999E-4</v>
      </c>
      <c r="S11" s="450">
        <v>0.0</v>
      </c>
      <c r="T11" s="450">
        <v>0.0</v>
      </c>
      <c r="U11" s="450">
        <v>0.0</v>
      </c>
      <c r="V11" s="450">
        <v>0.0</v>
      </c>
      <c r="W11" s="450">
        <v>0.0</v>
      </c>
      <c r="X11" s="450">
        <v>0.0</v>
      </c>
      <c r="Y11" s="450">
        <v>0.0</v>
      </c>
      <c r="Z11" s="220"/>
    </row>
    <row r="12" ht="15.75" customHeight="1">
      <c r="A12" s="220"/>
      <c r="B12" s="445" t="s">
        <v>366</v>
      </c>
      <c r="C12" s="447">
        <v>20.187</v>
      </c>
      <c r="D12" s="447">
        <v>0.2051</v>
      </c>
      <c r="E12" s="447">
        <v>0.3246</v>
      </c>
      <c r="F12" s="447">
        <v>0.1708</v>
      </c>
      <c r="G12" s="447">
        <v>0.0832</v>
      </c>
      <c r="H12" s="447">
        <v>0.0955</v>
      </c>
      <c r="I12" s="447">
        <v>0.0881</v>
      </c>
      <c r="J12" s="447">
        <v>0.0</v>
      </c>
      <c r="K12" s="447">
        <v>0.0</v>
      </c>
      <c r="L12" s="447">
        <v>0.0</v>
      </c>
      <c r="M12" s="447">
        <v>12.9038</v>
      </c>
      <c r="N12" s="448"/>
      <c r="O12" s="454">
        <v>0.0</v>
      </c>
      <c r="P12" s="450">
        <v>0.0</v>
      </c>
      <c r="Q12" s="450">
        <v>0.0</v>
      </c>
      <c r="R12" s="450">
        <v>0.0</v>
      </c>
      <c r="S12" s="450">
        <v>0.0</v>
      </c>
      <c r="T12" s="450">
        <v>0.0</v>
      </c>
      <c r="U12" s="450">
        <v>0.0</v>
      </c>
      <c r="V12" s="450">
        <v>0.0</v>
      </c>
      <c r="W12" s="450">
        <v>0.0</v>
      </c>
      <c r="X12" s="450">
        <v>0.0</v>
      </c>
      <c r="Y12" s="450">
        <v>0.0</v>
      </c>
      <c r="Z12" s="220"/>
    </row>
    <row r="13" ht="15.75" customHeight="1">
      <c r="A13" s="220"/>
      <c r="B13" s="455" t="s">
        <v>367</v>
      </c>
      <c r="C13" s="452">
        <v>73.47135538057742</v>
      </c>
      <c r="D13" s="452">
        <v>1.5601</v>
      </c>
      <c r="E13" s="452">
        <v>1.0554</v>
      </c>
      <c r="F13" s="452">
        <v>0.1975</v>
      </c>
      <c r="G13" s="452">
        <v>0.0</v>
      </c>
      <c r="H13" s="452">
        <v>0.0</v>
      </c>
      <c r="I13" s="452">
        <v>0.0</v>
      </c>
      <c r="J13" s="452">
        <v>27.2538</v>
      </c>
      <c r="K13" s="452">
        <v>12.1041</v>
      </c>
      <c r="L13" s="452">
        <v>10.1554</v>
      </c>
      <c r="M13" s="452">
        <v>112.2644</v>
      </c>
      <c r="N13" s="448"/>
      <c r="O13" s="453">
        <v>-47.186344619422584</v>
      </c>
      <c r="P13" s="450">
        <v>0.0</v>
      </c>
      <c r="Q13" s="450">
        <v>0.0</v>
      </c>
      <c r="R13" s="450">
        <v>0.0</v>
      </c>
      <c r="S13" s="450">
        <v>0.0</v>
      </c>
      <c r="T13" s="450">
        <v>0.0</v>
      </c>
      <c r="U13" s="450">
        <v>0.0</v>
      </c>
      <c r="V13" s="450">
        <v>0.0</v>
      </c>
      <c r="W13" s="450">
        <v>0.0</v>
      </c>
      <c r="X13" s="450">
        <v>0.0</v>
      </c>
      <c r="Y13" s="450">
        <v>0.0</v>
      </c>
      <c r="Z13" s="220"/>
    </row>
    <row r="14" ht="15.75" customHeight="1">
      <c r="A14" s="220"/>
      <c r="B14" s="455" t="s">
        <v>368</v>
      </c>
      <c r="C14" s="452">
        <v>14.0734</v>
      </c>
      <c r="D14" s="452">
        <v>0.3009</v>
      </c>
      <c r="E14" s="452">
        <v>2.0E-4</v>
      </c>
      <c r="F14" s="452">
        <v>4.0E-4</v>
      </c>
      <c r="G14" s="452">
        <v>0.8585</v>
      </c>
      <c r="H14" s="452">
        <v>0.2427</v>
      </c>
      <c r="I14" s="452">
        <v>1.0E-4</v>
      </c>
      <c r="J14" s="452">
        <v>0.0</v>
      </c>
      <c r="K14" s="452">
        <v>5.0E-4</v>
      </c>
      <c r="L14" s="452">
        <v>2.0E-4</v>
      </c>
      <c r="M14" s="452">
        <v>35.9951</v>
      </c>
      <c r="N14" s="448"/>
      <c r="O14" s="454">
        <v>0.0</v>
      </c>
      <c r="P14" s="450">
        <v>0.0</v>
      </c>
      <c r="Q14" s="450">
        <v>0.0</v>
      </c>
      <c r="R14" s="450">
        <v>0.0</v>
      </c>
      <c r="S14" s="450">
        <v>0.0</v>
      </c>
      <c r="T14" s="450">
        <v>0.0</v>
      </c>
      <c r="U14" s="450">
        <v>0.0</v>
      </c>
      <c r="V14" s="450">
        <v>0.0</v>
      </c>
      <c r="W14" s="450">
        <v>0.0</v>
      </c>
      <c r="X14" s="450">
        <v>0.0</v>
      </c>
      <c r="Y14" s="450">
        <v>0.0</v>
      </c>
      <c r="Z14" s="220"/>
    </row>
    <row r="15" ht="15.75" customHeight="1">
      <c r="A15" s="220"/>
      <c r="B15" s="445" t="s">
        <v>49</v>
      </c>
      <c r="C15" s="447">
        <v>0.0</v>
      </c>
      <c r="D15" s="447">
        <v>0.2447</v>
      </c>
      <c r="E15" s="447">
        <v>0.0</v>
      </c>
      <c r="F15" s="447">
        <v>0.0</v>
      </c>
      <c r="G15" s="447">
        <v>0.2044</v>
      </c>
      <c r="H15" s="447">
        <v>0.1976</v>
      </c>
      <c r="I15" s="447">
        <v>0.2344</v>
      </c>
      <c r="J15" s="447">
        <v>0.0</v>
      </c>
      <c r="K15" s="447">
        <v>0.0</v>
      </c>
      <c r="L15" s="447">
        <v>0.0</v>
      </c>
      <c r="M15" s="447">
        <v>127.2906</v>
      </c>
      <c r="N15" s="448"/>
      <c r="O15" s="454">
        <v>0.0</v>
      </c>
      <c r="P15" s="450">
        <v>0.0</v>
      </c>
      <c r="Q15" s="450">
        <v>0.0</v>
      </c>
      <c r="R15" s="450">
        <v>0.0</v>
      </c>
      <c r="S15" s="450">
        <v>0.0</v>
      </c>
      <c r="T15" s="450">
        <v>0.0</v>
      </c>
      <c r="U15" s="450">
        <v>0.0</v>
      </c>
      <c r="V15" s="450">
        <v>0.0</v>
      </c>
      <c r="W15" s="450">
        <v>0.0</v>
      </c>
      <c r="X15" s="450">
        <v>0.0</v>
      </c>
      <c r="Y15" s="450">
        <v>0.0</v>
      </c>
      <c r="Z15" s="220"/>
    </row>
    <row r="16" ht="15.75" customHeight="1">
      <c r="A16" s="220"/>
      <c r="B16" s="451" t="s">
        <v>44</v>
      </c>
      <c r="C16" s="452">
        <v>2.6798314613082956</v>
      </c>
      <c r="D16" s="452">
        <v>0.015313322636047403</v>
      </c>
      <c r="E16" s="452">
        <v>0.051624458886674954</v>
      </c>
      <c r="F16" s="452">
        <v>0.009976861717424824</v>
      </c>
      <c r="G16" s="452">
        <v>1.1227449732702028</v>
      </c>
      <c r="H16" s="452">
        <v>0.25800628441340473</v>
      </c>
      <c r="I16" s="452">
        <v>0.04768011820769305</v>
      </c>
      <c r="J16" s="452">
        <v>0.0</v>
      </c>
      <c r="K16" s="452">
        <v>0.10429300795308041</v>
      </c>
      <c r="L16" s="452">
        <v>0.16601033857715028</v>
      </c>
      <c r="M16" s="452">
        <v>60.031937053944866</v>
      </c>
      <c r="N16" s="448"/>
      <c r="O16" s="456">
        <v>0.3698314613082956</v>
      </c>
      <c r="P16" s="450">
        <v>0.002113322636047403</v>
      </c>
      <c r="Q16" s="450">
        <v>0.007124458886674956</v>
      </c>
      <c r="R16" s="450">
        <v>0.0013768617174248245</v>
      </c>
      <c r="S16" s="450">
        <v>0.15494497327020285</v>
      </c>
      <c r="T16" s="450">
        <v>0.03560628441340474</v>
      </c>
      <c r="U16" s="450">
        <v>0.006580118207693053</v>
      </c>
      <c r="V16" s="450">
        <v>0.0</v>
      </c>
      <c r="W16" s="450">
        <v>0.01439300795308042</v>
      </c>
      <c r="X16" s="450">
        <v>0.022910338577150274</v>
      </c>
      <c r="Y16" s="450">
        <v>8.284737053944866</v>
      </c>
      <c r="Z16" s="220"/>
    </row>
    <row r="17" ht="15.75" customHeight="1">
      <c r="A17" s="220"/>
      <c r="B17" s="451" t="s">
        <v>369</v>
      </c>
      <c r="C17" s="452">
        <v>0.33510661767722755</v>
      </c>
      <c r="D17" s="452">
        <v>7.557659397321326E-5</v>
      </c>
      <c r="E17" s="452">
        <v>0.0</v>
      </c>
      <c r="F17" s="452">
        <v>0.0</v>
      </c>
      <c r="G17" s="452">
        <v>0.0027963339770088907</v>
      </c>
      <c r="H17" s="452">
        <v>0.4787777228203059</v>
      </c>
      <c r="I17" s="452">
        <v>0.0</v>
      </c>
      <c r="J17" s="452">
        <v>0.19627241454843483</v>
      </c>
      <c r="K17" s="452">
        <v>2.6982355580316595</v>
      </c>
      <c r="L17" s="452">
        <v>4.0835545255606585</v>
      </c>
      <c r="M17" s="452">
        <v>1.852155588501537</v>
      </c>
      <c r="N17" s="448"/>
      <c r="O17" s="453">
        <v>-0.10829338232277247</v>
      </c>
      <c r="P17" s="450">
        <v>-2.4423406026786743E-5</v>
      </c>
      <c r="Q17" s="450">
        <v>0.0</v>
      </c>
      <c r="R17" s="450">
        <v>0.0</v>
      </c>
      <c r="S17" s="450">
        <v>-9.036660229911095E-4</v>
      </c>
      <c r="T17" s="450">
        <v>-0.15472227717969406</v>
      </c>
      <c r="U17" s="450">
        <v>0.0</v>
      </c>
      <c r="V17" s="450">
        <v>-0.06342758545156515</v>
      </c>
      <c r="W17" s="450">
        <v>-0.8719644419683403</v>
      </c>
      <c r="X17" s="450">
        <v>-1.3196454744393415</v>
      </c>
      <c r="Y17" s="450">
        <v>-0.5985444114984628</v>
      </c>
      <c r="Z17" s="220"/>
    </row>
    <row r="18" ht="15.75" customHeight="1">
      <c r="A18" s="220"/>
      <c r="B18" s="451" t="s">
        <v>43</v>
      </c>
      <c r="C18" s="452">
        <v>0.3432588610590368</v>
      </c>
      <c r="D18" s="452">
        <v>0.010278731144466535</v>
      </c>
      <c r="E18" s="452">
        <v>0.003299345799458394</v>
      </c>
      <c r="F18" s="452">
        <v>2.537958307275688E-4</v>
      </c>
      <c r="G18" s="452">
        <v>0.007486977006463278</v>
      </c>
      <c r="H18" s="452">
        <v>0.006217997852825435</v>
      </c>
      <c r="I18" s="452">
        <v>0.005837304106734081</v>
      </c>
      <c r="J18" s="452">
        <v>0.0</v>
      </c>
      <c r="K18" s="452">
        <v>0.0</v>
      </c>
      <c r="L18" s="452">
        <v>0.0</v>
      </c>
      <c r="M18" s="452">
        <v>7.944951583011177</v>
      </c>
      <c r="N18" s="448"/>
      <c r="O18" s="456">
        <v>0.07275886105903678</v>
      </c>
      <c r="P18" s="450">
        <v>0.0021787311444665357</v>
      </c>
      <c r="Q18" s="450">
        <v>6.993457994583941E-4</v>
      </c>
      <c r="R18" s="450">
        <v>5.3795830727568775E-5</v>
      </c>
      <c r="S18" s="450">
        <v>0.0015869770064632785</v>
      </c>
      <c r="T18" s="450">
        <v>0.0013179978528254348</v>
      </c>
      <c r="U18" s="450">
        <v>0.0012373041067340815</v>
      </c>
      <c r="V18" s="450">
        <v>0.0</v>
      </c>
      <c r="W18" s="450">
        <v>0.0</v>
      </c>
      <c r="X18" s="450">
        <v>0.0</v>
      </c>
      <c r="Y18" s="450">
        <v>1.6840515830111764</v>
      </c>
      <c r="Z18" s="220"/>
    </row>
    <row r="19" ht="15.75" customHeight="1">
      <c r="A19" s="220"/>
      <c r="B19" s="451" t="s">
        <v>50</v>
      </c>
      <c r="C19" s="452">
        <v>8.757257918565022</v>
      </c>
      <c r="D19" s="452">
        <v>0.0912232466367713</v>
      </c>
      <c r="E19" s="452">
        <v>0.08922502313901345</v>
      </c>
      <c r="F19" s="452">
        <v>0.07080661524663677</v>
      </c>
      <c r="G19" s="452">
        <v>0.01598578798206278</v>
      </c>
      <c r="H19" s="452">
        <v>0.03353540304932736</v>
      </c>
      <c r="I19" s="452">
        <v>0.06837399533632288</v>
      </c>
      <c r="J19" s="452">
        <v>0.0</v>
      </c>
      <c r="K19" s="452">
        <v>0.0</v>
      </c>
      <c r="L19" s="452">
        <v>0.0</v>
      </c>
      <c r="M19" s="452">
        <v>0.3638504351569507</v>
      </c>
      <c r="N19" s="448"/>
      <c r="O19" s="453">
        <v>-1.3225420814349782</v>
      </c>
      <c r="P19" s="450">
        <v>-0.0137767533632287</v>
      </c>
      <c r="Q19" s="450">
        <v>-0.013474976860986546</v>
      </c>
      <c r="R19" s="450">
        <v>-0.010693384753363233</v>
      </c>
      <c r="S19" s="450">
        <v>-0.00241421201793722</v>
      </c>
      <c r="T19" s="450">
        <v>-0.005064596950672642</v>
      </c>
      <c r="U19" s="450">
        <v>-0.010326004663677127</v>
      </c>
      <c r="V19" s="450">
        <v>0.0</v>
      </c>
      <c r="W19" s="450">
        <v>0.0</v>
      </c>
      <c r="X19" s="450">
        <v>0.0</v>
      </c>
      <c r="Y19" s="450">
        <v>-0.0549495648430493</v>
      </c>
      <c r="Z19" s="220"/>
    </row>
    <row r="20" ht="15.75" customHeight="1">
      <c r="A20" s="220"/>
      <c r="B20" s="445" t="s">
        <v>370</v>
      </c>
      <c r="C20" s="447">
        <v>8.8881</v>
      </c>
      <c r="D20" s="447">
        <v>0.3103</v>
      </c>
      <c r="E20" s="447">
        <v>0.1557</v>
      </c>
      <c r="F20" s="447">
        <v>0.0736</v>
      </c>
      <c r="G20" s="447">
        <v>1.2507</v>
      </c>
      <c r="H20" s="447">
        <v>1.1972</v>
      </c>
      <c r="I20" s="447">
        <v>1.4155</v>
      </c>
      <c r="J20" s="447">
        <v>0.8068</v>
      </c>
      <c r="K20" s="447">
        <v>0.1781</v>
      </c>
      <c r="L20" s="447">
        <v>0.1516</v>
      </c>
      <c r="M20" s="447">
        <v>2.7316</v>
      </c>
      <c r="N20" s="448"/>
      <c r="O20" s="454">
        <v>0.0</v>
      </c>
      <c r="P20" s="450">
        <v>0.0</v>
      </c>
      <c r="Q20" s="450">
        <v>0.0</v>
      </c>
      <c r="R20" s="450">
        <v>0.0</v>
      </c>
      <c r="S20" s="450">
        <v>0.0</v>
      </c>
      <c r="T20" s="450">
        <v>0.0</v>
      </c>
      <c r="U20" s="450">
        <v>0.0</v>
      </c>
      <c r="V20" s="450">
        <v>0.0</v>
      </c>
      <c r="W20" s="450">
        <v>0.0</v>
      </c>
      <c r="X20" s="450">
        <v>0.0</v>
      </c>
      <c r="Y20" s="450">
        <v>0.0</v>
      </c>
      <c r="Z20" s="220"/>
    </row>
    <row r="21" ht="15.75" customHeight="1">
      <c r="A21" s="220"/>
      <c r="B21" s="451" t="s">
        <v>35</v>
      </c>
      <c r="C21" s="452">
        <v>0.29775180167114873</v>
      </c>
      <c r="D21" s="452">
        <v>0.0</v>
      </c>
      <c r="E21" s="452">
        <v>0.0</v>
      </c>
      <c r="F21" s="452">
        <v>0.0</v>
      </c>
      <c r="G21" s="452">
        <v>6.947799364895875E-4</v>
      </c>
      <c r="H21" s="452">
        <v>0.08283320798370304</v>
      </c>
      <c r="I21" s="452">
        <v>0.0</v>
      </c>
      <c r="J21" s="452">
        <v>0.0035510974531690023</v>
      </c>
      <c r="K21" s="452">
        <v>0.005867030574800961</v>
      </c>
      <c r="L21" s="452">
        <v>0.059828272308825585</v>
      </c>
      <c r="M21" s="452">
        <v>1.0967487286341744</v>
      </c>
      <c r="N21" s="448"/>
      <c r="O21" s="453">
        <v>-0.08794819832885126</v>
      </c>
      <c r="P21" s="450">
        <v>0.0</v>
      </c>
      <c r="Q21" s="450">
        <v>0.0</v>
      </c>
      <c r="R21" s="450">
        <v>0.0</v>
      </c>
      <c r="S21" s="450">
        <v>-2.0522006351041252E-4</v>
      </c>
      <c r="T21" s="450">
        <v>-0.024466792016296965</v>
      </c>
      <c r="U21" s="450">
        <v>0.0</v>
      </c>
      <c r="V21" s="450">
        <v>-0.0010489025468309976</v>
      </c>
      <c r="W21" s="450">
        <v>-0.0017329694251990392</v>
      </c>
      <c r="X21" s="450">
        <v>-0.017671727691174414</v>
      </c>
      <c r="Y21" s="450">
        <v>-0.3239512713658257</v>
      </c>
      <c r="Z21" s="220"/>
    </row>
    <row r="22" ht="15.75" customHeight="1">
      <c r="A22" s="220"/>
      <c r="B22" s="451" t="s">
        <v>310</v>
      </c>
      <c r="C22" s="452">
        <v>1.6533561858295962</v>
      </c>
      <c r="D22" s="452">
        <v>0.27914313470852015</v>
      </c>
      <c r="E22" s="452">
        <v>0.07988550026905829</v>
      </c>
      <c r="F22" s="452">
        <v>0.0044308434080717485</v>
      </c>
      <c r="G22" s="452">
        <v>1.3031892376681614E-4</v>
      </c>
      <c r="H22" s="452">
        <v>0.0</v>
      </c>
      <c r="I22" s="452">
        <v>0.0</v>
      </c>
      <c r="J22" s="452">
        <v>0.0</v>
      </c>
      <c r="K22" s="452">
        <v>0.0</v>
      </c>
      <c r="L22" s="452">
        <v>0.0</v>
      </c>
      <c r="M22" s="452">
        <v>0.0</v>
      </c>
      <c r="N22" s="448"/>
      <c r="O22" s="456">
        <v>0.38465618582959626</v>
      </c>
      <c r="P22" s="450">
        <v>0.06494313470852014</v>
      </c>
      <c r="Q22" s="450">
        <v>0.018585500269058287</v>
      </c>
      <c r="R22" s="450">
        <v>0.0010308434080717487</v>
      </c>
      <c r="S22" s="450">
        <v>3.0318923766816137E-5</v>
      </c>
      <c r="T22" s="450">
        <v>0.0</v>
      </c>
      <c r="U22" s="450">
        <v>0.0</v>
      </c>
      <c r="V22" s="450">
        <v>0.0</v>
      </c>
      <c r="W22" s="450">
        <v>0.0</v>
      </c>
      <c r="X22" s="450">
        <v>0.0</v>
      </c>
      <c r="Y22" s="450">
        <v>0.0</v>
      </c>
      <c r="Z22" s="220"/>
    </row>
    <row r="23" ht="15.75" customHeight="1">
      <c r="A23" s="220"/>
      <c r="B23" s="451" t="s">
        <v>134</v>
      </c>
      <c r="C23" s="452">
        <v>0.0</v>
      </c>
      <c r="D23" s="452">
        <v>0.0</v>
      </c>
      <c r="E23" s="452">
        <v>0.0</v>
      </c>
      <c r="F23" s="452">
        <v>0.0</v>
      </c>
      <c r="G23" s="452">
        <v>0.0</v>
      </c>
      <c r="H23" s="452">
        <v>0.0</v>
      </c>
      <c r="I23" s="452">
        <v>0.0</v>
      </c>
      <c r="J23" s="452">
        <v>0.0</v>
      </c>
      <c r="K23" s="452">
        <v>0.0</v>
      </c>
      <c r="L23" s="452">
        <v>0.0</v>
      </c>
      <c r="M23" s="452">
        <v>0.0</v>
      </c>
      <c r="N23" s="448"/>
      <c r="O23" s="453">
        <v>-3.657</v>
      </c>
      <c r="P23" s="450">
        <v>-0.0019</v>
      </c>
      <c r="Q23" s="450">
        <v>-0.1277</v>
      </c>
      <c r="R23" s="450">
        <v>-0.1077</v>
      </c>
      <c r="S23" s="450">
        <v>-0.0142</v>
      </c>
      <c r="T23" s="450">
        <v>-0.0365</v>
      </c>
      <c r="U23" s="450">
        <v>-0.0477</v>
      </c>
      <c r="V23" s="450">
        <v>-1.9709</v>
      </c>
      <c r="W23" s="450">
        <v>-0.8023</v>
      </c>
      <c r="X23" s="450">
        <v>-0.312</v>
      </c>
      <c r="Y23" s="450">
        <v>-0.1823</v>
      </c>
      <c r="Z23" s="220"/>
    </row>
    <row r="24" ht="15.75" customHeight="1">
      <c r="A24" s="220"/>
      <c r="B24" s="455" t="s">
        <v>371</v>
      </c>
      <c r="C24" s="452">
        <v>44.067679999999996</v>
      </c>
      <c r="D24" s="452">
        <v>0.8023</v>
      </c>
      <c r="E24" s="452">
        <v>1.0844</v>
      </c>
      <c r="F24" s="452">
        <v>0.9483</v>
      </c>
      <c r="G24" s="452">
        <v>1.5268</v>
      </c>
      <c r="H24" s="452">
        <v>1.9636</v>
      </c>
      <c r="I24" s="452">
        <v>0.9681</v>
      </c>
      <c r="J24" s="452">
        <v>0.0</v>
      </c>
      <c r="K24" s="452">
        <v>0.0</v>
      </c>
      <c r="L24" s="452">
        <v>5.0E-4</v>
      </c>
      <c r="M24" s="452">
        <v>77.2231</v>
      </c>
      <c r="N24" s="448"/>
      <c r="O24" s="453">
        <v>-11.016920000000006</v>
      </c>
      <c r="P24" s="450">
        <v>0.0</v>
      </c>
      <c r="Q24" s="450">
        <v>0.0</v>
      </c>
      <c r="R24" s="450">
        <v>0.0</v>
      </c>
      <c r="S24" s="450">
        <v>0.0</v>
      </c>
      <c r="T24" s="450">
        <v>0.4909000000000001</v>
      </c>
      <c r="U24" s="450">
        <v>0.0</v>
      </c>
      <c r="V24" s="450">
        <v>0.0</v>
      </c>
      <c r="W24" s="450">
        <v>0.0</v>
      </c>
      <c r="X24" s="450">
        <v>0.0</v>
      </c>
      <c r="Y24" s="450">
        <v>0.0</v>
      </c>
      <c r="Z24" s="220"/>
    </row>
    <row r="25" ht="15.75" customHeight="1">
      <c r="A25" s="220"/>
      <c r="B25" s="445" t="s">
        <v>372</v>
      </c>
      <c r="C25" s="447">
        <v>24.1196</v>
      </c>
      <c r="D25" s="447">
        <v>0.0779</v>
      </c>
      <c r="E25" s="447">
        <v>0.4533</v>
      </c>
      <c r="F25" s="447">
        <v>0.0</v>
      </c>
      <c r="G25" s="447">
        <v>1.4191</v>
      </c>
      <c r="H25" s="447">
        <v>1.6215</v>
      </c>
      <c r="I25" s="447">
        <v>0.2632</v>
      </c>
      <c r="J25" s="447">
        <v>0.1103</v>
      </c>
      <c r="K25" s="447">
        <v>15.2282</v>
      </c>
      <c r="L25" s="447">
        <v>15.9366</v>
      </c>
      <c r="M25" s="447">
        <v>57.7427</v>
      </c>
      <c r="N25" s="448"/>
      <c r="O25" s="454">
        <v>0.0</v>
      </c>
      <c r="P25" s="450">
        <v>0.0</v>
      </c>
      <c r="Q25" s="450">
        <v>0.0</v>
      </c>
      <c r="R25" s="450">
        <v>0.0</v>
      </c>
      <c r="S25" s="450">
        <v>0.0</v>
      </c>
      <c r="T25" s="450">
        <v>0.0</v>
      </c>
      <c r="U25" s="450">
        <v>0.0</v>
      </c>
      <c r="V25" s="450">
        <v>0.0</v>
      </c>
      <c r="W25" s="450">
        <v>0.0</v>
      </c>
      <c r="X25" s="450">
        <v>0.0</v>
      </c>
      <c r="Y25" s="450">
        <v>0.0</v>
      </c>
      <c r="Z25" s="220"/>
    </row>
    <row r="26" ht="15.75" customHeight="1">
      <c r="A26" s="220"/>
      <c r="B26" s="451" t="s">
        <v>32</v>
      </c>
      <c r="C26" s="452">
        <v>2.759178731525437</v>
      </c>
      <c r="D26" s="452">
        <v>0.0</v>
      </c>
      <c r="E26" s="452">
        <v>0.0</v>
      </c>
      <c r="F26" s="452">
        <v>0.006211968069174727</v>
      </c>
      <c r="G26" s="452">
        <v>0.0010649088118585245</v>
      </c>
      <c r="H26" s="452">
        <v>5.324544059292622E-4</v>
      </c>
      <c r="I26" s="452">
        <v>1.7748480197642076E-4</v>
      </c>
      <c r="J26" s="452">
        <v>0.0</v>
      </c>
      <c r="K26" s="452">
        <v>0.0</v>
      </c>
      <c r="L26" s="452">
        <v>0.0</v>
      </c>
      <c r="M26" s="452">
        <v>30.41663542351108</v>
      </c>
      <c r="N26" s="448"/>
      <c r="O26" s="456">
        <v>1.204578731525437</v>
      </c>
      <c r="P26" s="450">
        <v>-0.2747</v>
      </c>
      <c r="Q26" s="450">
        <v>-0.0858</v>
      </c>
      <c r="R26" s="450">
        <v>0.0027119680691747266</v>
      </c>
      <c r="S26" s="450">
        <v>4.649088118585245E-4</v>
      </c>
      <c r="T26" s="450">
        <v>2.3245440592926226E-4</v>
      </c>
      <c r="U26" s="450">
        <v>7.748480197642076E-5</v>
      </c>
      <c r="V26" s="450">
        <v>0.0</v>
      </c>
      <c r="W26" s="450">
        <v>0.0</v>
      </c>
      <c r="X26" s="450">
        <v>0.0</v>
      </c>
      <c r="Y26" s="450">
        <v>13.279035423511083</v>
      </c>
      <c r="Z26" s="220"/>
    </row>
    <row r="27" ht="15.75" customHeight="1">
      <c r="A27" s="220"/>
      <c r="B27" s="445" t="s">
        <v>40</v>
      </c>
      <c r="C27" s="447">
        <v>26.6191</v>
      </c>
      <c r="D27" s="447">
        <v>0.4894</v>
      </c>
      <c r="E27" s="447">
        <v>0.2632</v>
      </c>
      <c r="F27" s="447">
        <v>0.1105</v>
      </c>
      <c r="G27" s="447">
        <v>0.0</v>
      </c>
      <c r="H27" s="447">
        <v>0.0</v>
      </c>
      <c r="I27" s="447">
        <v>0.0</v>
      </c>
      <c r="J27" s="447">
        <v>0.0</v>
      </c>
      <c r="K27" s="447">
        <v>1.0E-4</v>
      </c>
      <c r="L27" s="447">
        <v>1.0E-4</v>
      </c>
      <c r="M27" s="447">
        <v>0.0011</v>
      </c>
      <c r="N27" s="448"/>
      <c r="O27" s="454">
        <v>0.0</v>
      </c>
      <c r="P27" s="450">
        <v>0.0</v>
      </c>
      <c r="Q27" s="450">
        <v>0.0</v>
      </c>
      <c r="R27" s="450">
        <v>0.0</v>
      </c>
      <c r="S27" s="450">
        <v>0.0</v>
      </c>
      <c r="T27" s="450">
        <v>0.0</v>
      </c>
      <c r="U27" s="450">
        <v>0.0</v>
      </c>
      <c r="V27" s="450">
        <v>0.0</v>
      </c>
      <c r="W27" s="450">
        <v>0.0</v>
      </c>
      <c r="X27" s="450">
        <v>0.0</v>
      </c>
      <c r="Y27" s="450">
        <v>0.0</v>
      </c>
      <c r="Z27" s="220"/>
    </row>
    <row r="28" ht="15.75" customHeight="1">
      <c r="A28" s="220"/>
      <c r="B28" s="445" t="s">
        <v>42</v>
      </c>
      <c r="C28" s="447">
        <v>42.3357</v>
      </c>
      <c r="D28" s="447">
        <v>0.3893</v>
      </c>
      <c r="E28" s="447">
        <v>0.5385</v>
      </c>
      <c r="F28" s="447">
        <v>1.0326</v>
      </c>
      <c r="G28" s="447">
        <v>0.0767</v>
      </c>
      <c r="H28" s="447">
        <v>0.1454</v>
      </c>
      <c r="I28" s="447">
        <v>0.4528</v>
      </c>
      <c r="J28" s="447">
        <v>0.0</v>
      </c>
      <c r="K28" s="447">
        <v>3.0E-4</v>
      </c>
      <c r="L28" s="447">
        <v>4.0E-4</v>
      </c>
      <c r="M28" s="447">
        <v>0.0014</v>
      </c>
      <c r="N28" s="448"/>
      <c r="O28" s="454">
        <v>0.0</v>
      </c>
      <c r="P28" s="450">
        <v>0.0</v>
      </c>
      <c r="Q28" s="450">
        <v>0.0</v>
      </c>
      <c r="R28" s="450">
        <v>0.0</v>
      </c>
      <c r="S28" s="450">
        <v>0.0</v>
      </c>
      <c r="T28" s="450">
        <v>0.0</v>
      </c>
      <c r="U28" s="450">
        <v>0.0</v>
      </c>
      <c r="V28" s="450">
        <v>0.0</v>
      </c>
      <c r="W28" s="450">
        <v>0.0</v>
      </c>
      <c r="X28" s="450">
        <v>0.0</v>
      </c>
      <c r="Y28" s="450">
        <v>0.0</v>
      </c>
      <c r="Z28" s="220"/>
    </row>
    <row r="29" ht="15.75" customHeight="1">
      <c r="A29" s="220"/>
      <c r="B29" s="451" t="s">
        <v>46</v>
      </c>
      <c r="C29" s="452">
        <v>0.0</v>
      </c>
      <c r="D29" s="452">
        <v>0.0</v>
      </c>
      <c r="E29" s="452">
        <v>0.0</v>
      </c>
      <c r="F29" s="452">
        <v>0.0</v>
      </c>
      <c r="G29" s="452">
        <v>0.0</v>
      </c>
      <c r="H29" s="452">
        <v>0.0</v>
      </c>
      <c r="I29" s="452">
        <v>0.0</v>
      </c>
      <c r="J29" s="452">
        <v>0.0</v>
      </c>
      <c r="K29" s="452">
        <v>8.909933283914011E-4</v>
      </c>
      <c r="L29" s="452">
        <v>1.9799851742031136E-4</v>
      </c>
      <c r="M29" s="452">
        <v>8.909933283914011E-4</v>
      </c>
      <c r="N29" s="448"/>
      <c r="O29" s="454">
        <v>0.0</v>
      </c>
      <c r="P29" s="450">
        <v>0.0</v>
      </c>
      <c r="Q29" s="450">
        <v>0.0</v>
      </c>
      <c r="R29" s="450">
        <v>0.0</v>
      </c>
      <c r="S29" s="450">
        <v>0.0</v>
      </c>
      <c r="T29" s="450">
        <v>0.0</v>
      </c>
      <c r="U29" s="450">
        <v>0.0</v>
      </c>
      <c r="V29" s="450">
        <v>0.0</v>
      </c>
      <c r="W29" s="450">
        <v>-9.006671608598909E-6</v>
      </c>
      <c r="X29" s="450">
        <v>-2.0014825796886495E-6</v>
      </c>
      <c r="Y29" s="450">
        <v>-9.006671608598909E-6</v>
      </c>
      <c r="Z29" s="220"/>
    </row>
    <row r="30" ht="15.75" customHeight="1">
      <c r="A30" s="220"/>
      <c r="B30" s="445" t="s">
        <v>373</v>
      </c>
      <c r="C30" s="447">
        <v>0.0</v>
      </c>
      <c r="D30" s="447">
        <v>0.0</v>
      </c>
      <c r="E30" s="447">
        <v>0.0</v>
      </c>
      <c r="F30" s="447">
        <v>0.0</v>
      </c>
      <c r="G30" s="447">
        <v>0.0</v>
      </c>
      <c r="H30" s="447">
        <v>0.0</v>
      </c>
      <c r="I30" s="447">
        <v>0.0</v>
      </c>
      <c r="J30" s="447">
        <v>0.0</v>
      </c>
      <c r="K30" s="447">
        <v>0.0</v>
      </c>
      <c r="L30" s="447">
        <v>7.0E-4</v>
      </c>
      <c r="M30" s="447">
        <v>0.0</v>
      </c>
      <c r="N30" s="448"/>
      <c r="O30" s="454">
        <v>0.0</v>
      </c>
      <c r="P30" s="450">
        <v>0.0</v>
      </c>
      <c r="Q30" s="450">
        <v>0.0</v>
      </c>
      <c r="R30" s="450">
        <v>0.0</v>
      </c>
      <c r="S30" s="450">
        <v>0.0</v>
      </c>
      <c r="T30" s="450">
        <v>0.0</v>
      </c>
      <c r="U30" s="450">
        <v>0.0</v>
      </c>
      <c r="V30" s="450">
        <v>0.0</v>
      </c>
      <c r="W30" s="450">
        <v>0.0</v>
      </c>
      <c r="X30" s="450">
        <v>0.0</v>
      </c>
      <c r="Y30" s="450">
        <v>0.0</v>
      </c>
      <c r="Z30" s="220"/>
    </row>
    <row r="31" ht="15.75" customHeight="1">
      <c r="A31" s="220"/>
      <c r="B31" s="451" t="s">
        <v>54</v>
      </c>
      <c r="C31" s="452">
        <v>50.58727626044105</v>
      </c>
      <c r="D31" s="452">
        <v>3.5723693767787785</v>
      </c>
      <c r="E31" s="452">
        <v>0.6105227116927341</v>
      </c>
      <c r="F31" s="452">
        <v>0.21997083431818698</v>
      </c>
      <c r="G31" s="452">
        <v>4.9547689151047924</v>
      </c>
      <c r="H31" s="452">
        <v>5.937771235148245</v>
      </c>
      <c r="I31" s="452">
        <v>2.3334364774229783</v>
      </c>
      <c r="J31" s="452">
        <v>0.0</v>
      </c>
      <c r="K31" s="452">
        <v>0.0</v>
      </c>
      <c r="L31" s="452">
        <v>0.8778404505295591</v>
      </c>
      <c r="M31" s="452">
        <v>44.653406208065846</v>
      </c>
      <c r="N31" s="448"/>
      <c r="O31" s="456">
        <v>50.58727626044105</v>
      </c>
      <c r="P31" s="450">
        <v>3.5723693767787785</v>
      </c>
      <c r="Q31" s="450">
        <v>0.6105227116927341</v>
      </c>
      <c r="R31" s="450">
        <v>0.21997083431818698</v>
      </c>
      <c r="S31" s="450">
        <v>4.9547689151047924</v>
      </c>
      <c r="T31" s="450">
        <v>5.937771235148245</v>
      </c>
      <c r="U31" s="450">
        <v>2.3334364774229783</v>
      </c>
      <c r="V31" s="450">
        <v>0.0</v>
      </c>
      <c r="W31" s="450">
        <v>0.0</v>
      </c>
      <c r="X31" s="450">
        <v>0.8776404505295591</v>
      </c>
      <c r="Y31" s="450">
        <v>44.653406208065846</v>
      </c>
      <c r="Z31" s="220"/>
    </row>
    <row r="32" ht="15.75" customHeight="1">
      <c r="A32" s="220"/>
      <c r="B32" s="445" t="s">
        <v>374</v>
      </c>
      <c r="C32" s="447">
        <v>1.0E-4</v>
      </c>
      <c r="D32" s="447">
        <v>0.0</v>
      </c>
      <c r="E32" s="447">
        <v>0.0</v>
      </c>
      <c r="F32" s="447">
        <v>0.0</v>
      </c>
      <c r="G32" s="447">
        <v>0.0</v>
      </c>
      <c r="H32" s="447">
        <v>0.0</v>
      </c>
      <c r="I32" s="447">
        <v>0.0</v>
      </c>
      <c r="J32" s="447">
        <v>0.0</v>
      </c>
      <c r="K32" s="447">
        <v>0.0</v>
      </c>
      <c r="L32" s="447">
        <v>0.0</v>
      </c>
      <c r="M32" s="447">
        <v>3.0E-4</v>
      </c>
      <c r="N32" s="448"/>
      <c r="O32" s="454">
        <v>0.0</v>
      </c>
      <c r="P32" s="450">
        <v>0.0</v>
      </c>
      <c r="Q32" s="450">
        <v>0.0</v>
      </c>
      <c r="R32" s="450">
        <v>0.0</v>
      </c>
      <c r="S32" s="450">
        <v>0.0</v>
      </c>
      <c r="T32" s="450">
        <v>0.0</v>
      </c>
      <c r="U32" s="450">
        <v>0.0</v>
      </c>
      <c r="V32" s="450">
        <v>0.0</v>
      </c>
      <c r="W32" s="450">
        <v>0.0</v>
      </c>
      <c r="X32" s="450">
        <v>0.0</v>
      </c>
      <c r="Y32" s="450">
        <v>0.0</v>
      </c>
      <c r="Z32" s="220"/>
    </row>
    <row r="33" ht="15.75" customHeight="1">
      <c r="A33" s="220"/>
      <c r="B33" s="220"/>
      <c r="C33" s="448"/>
      <c r="D33" s="448"/>
      <c r="E33" s="448"/>
      <c r="F33" s="448"/>
      <c r="G33" s="448"/>
      <c r="H33" s="448"/>
      <c r="I33" s="448"/>
      <c r="J33" s="448"/>
      <c r="K33" s="448"/>
      <c r="L33" s="448"/>
      <c r="M33" s="448"/>
      <c r="N33" s="448"/>
      <c r="O33" s="448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</row>
    <row r="34" ht="15.75" customHeight="1">
      <c r="A34" s="220"/>
      <c r="B34" s="220"/>
      <c r="C34" s="448"/>
      <c r="D34" s="448"/>
      <c r="E34" s="448"/>
      <c r="F34" s="448"/>
      <c r="G34" s="448"/>
      <c r="H34" s="448"/>
      <c r="I34" s="448"/>
      <c r="J34" s="448"/>
      <c r="K34" s="448"/>
      <c r="L34" s="448"/>
      <c r="M34" s="448"/>
      <c r="N34" s="448"/>
      <c r="O34" s="448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</row>
    <row r="35" ht="15.75" customHeight="1">
      <c r="A35" s="220"/>
      <c r="B35" s="439" t="s">
        <v>57</v>
      </c>
      <c r="C35" s="457" t="s">
        <v>1876</v>
      </c>
      <c r="D35" s="458"/>
      <c r="E35" s="458"/>
      <c r="F35" s="458"/>
      <c r="G35" s="458"/>
      <c r="H35" s="458"/>
      <c r="I35" s="458"/>
      <c r="J35" s="458"/>
      <c r="K35" s="458"/>
      <c r="L35" s="458"/>
      <c r="M35" s="458"/>
      <c r="N35" s="448"/>
      <c r="O35" s="459" t="s">
        <v>1877</v>
      </c>
      <c r="P35" s="441"/>
      <c r="Q35" s="441"/>
      <c r="R35" s="441"/>
      <c r="S35" s="441"/>
      <c r="T35" s="441"/>
      <c r="U35" s="441"/>
      <c r="V35" s="441"/>
      <c r="W35" s="441"/>
      <c r="X35" s="441"/>
      <c r="Y35" s="441"/>
      <c r="Z35" s="220"/>
    </row>
    <row r="36" ht="60.75" customHeight="1">
      <c r="A36" s="220"/>
      <c r="B36" s="442" t="s">
        <v>391</v>
      </c>
      <c r="C36" s="460" t="s">
        <v>1872</v>
      </c>
      <c r="D36" s="460" t="s">
        <v>72</v>
      </c>
      <c r="E36" s="460" t="s">
        <v>73</v>
      </c>
      <c r="F36" s="460" t="s">
        <v>74</v>
      </c>
      <c r="G36" s="460" t="s">
        <v>69</v>
      </c>
      <c r="H36" s="460" t="s">
        <v>70</v>
      </c>
      <c r="I36" s="460" t="s">
        <v>71</v>
      </c>
      <c r="J36" s="460" t="s">
        <v>1873</v>
      </c>
      <c r="K36" s="460" t="s">
        <v>1874</v>
      </c>
      <c r="L36" s="460" t="s">
        <v>1875</v>
      </c>
      <c r="M36" s="460" t="s">
        <v>75</v>
      </c>
      <c r="N36" s="448"/>
      <c r="O36" s="461" t="s">
        <v>1872</v>
      </c>
      <c r="P36" s="444" t="s">
        <v>72</v>
      </c>
      <c r="Q36" s="444" t="s">
        <v>73</v>
      </c>
      <c r="R36" s="444" t="s">
        <v>74</v>
      </c>
      <c r="S36" s="444" t="s">
        <v>69</v>
      </c>
      <c r="T36" s="444" t="s">
        <v>70</v>
      </c>
      <c r="U36" s="444" t="s">
        <v>71</v>
      </c>
      <c r="V36" s="444" t="s">
        <v>1873</v>
      </c>
      <c r="W36" s="444" t="s">
        <v>1874</v>
      </c>
      <c r="X36" s="444" t="s">
        <v>1875</v>
      </c>
      <c r="Y36" s="444" t="s">
        <v>75</v>
      </c>
      <c r="Z36" s="220"/>
    </row>
    <row r="37" ht="15.75" customHeight="1">
      <c r="A37" s="220"/>
      <c r="B37" s="445" t="s">
        <v>365</v>
      </c>
      <c r="C37" s="446">
        <f>LET(payer, $C$3, segment, $B$35, ECOGAINS_SIM(payer, segment))</f>
        <v>24.3537</v>
      </c>
      <c r="D37" s="447">
        <v>0.6467</v>
      </c>
      <c r="E37" s="447">
        <v>0.6478</v>
      </c>
      <c r="F37" s="447">
        <v>0.3472</v>
      </c>
      <c r="G37" s="447">
        <v>0.0</v>
      </c>
      <c r="H37" s="447">
        <v>0.0</v>
      </c>
      <c r="I37" s="447">
        <v>0.0</v>
      </c>
      <c r="J37" s="447">
        <v>0.0</v>
      </c>
      <c r="K37" s="447">
        <v>0.0</v>
      </c>
      <c r="L37" s="447">
        <v>0.0</v>
      </c>
      <c r="M37" s="447">
        <v>8.1675</v>
      </c>
      <c r="N37" s="448"/>
      <c r="O37" s="449">
        <f>LET(payer, $C$3, segment, $B$35, ECOGAINS_DIFF(payer, segment))</f>
        <v>0</v>
      </c>
      <c r="P37" s="450">
        <v>0.0</v>
      </c>
      <c r="Q37" s="450">
        <v>0.0</v>
      </c>
      <c r="R37" s="450">
        <v>0.0</v>
      </c>
      <c r="S37" s="450">
        <v>0.0</v>
      </c>
      <c r="T37" s="450">
        <v>0.0</v>
      </c>
      <c r="U37" s="450">
        <v>0.0</v>
      </c>
      <c r="V37" s="450">
        <v>0.0</v>
      </c>
      <c r="W37" s="450">
        <v>0.0</v>
      </c>
      <c r="X37" s="450">
        <v>0.0</v>
      </c>
      <c r="Y37" s="450">
        <v>0.0</v>
      </c>
      <c r="Z37" s="220"/>
    </row>
    <row r="38" ht="15.75" customHeight="1">
      <c r="A38" s="220"/>
      <c r="B38" s="451" t="s">
        <v>312</v>
      </c>
      <c r="C38" s="452">
        <v>5.242738028076759</v>
      </c>
      <c r="D38" s="452">
        <v>0.22474363469509595</v>
      </c>
      <c r="E38" s="452">
        <v>0.13491296941577824</v>
      </c>
      <c r="F38" s="452">
        <v>0.013691662737739873</v>
      </c>
      <c r="G38" s="452">
        <v>0.0</v>
      </c>
      <c r="H38" s="452">
        <v>0.0</v>
      </c>
      <c r="I38" s="452">
        <v>0.0</v>
      </c>
      <c r="J38" s="452">
        <v>0.0</v>
      </c>
      <c r="K38" s="452">
        <v>0.0</v>
      </c>
      <c r="L38" s="452">
        <v>0.0</v>
      </c>
      <c r="M38" s="452">
        <v>0.0</v>
      </c>
      <c r="N38" s="448"/>
      <c r="O38" s="453">
        <v>-1.037061971923241</v>
      </c>
      <c r="P38" s="450">
        <v>-0.044456365304904044</v>
      </c>
      <c r="Q38" s="450">
        <v>-0.026687030584221755</v>
      </c>
      <c r="R38" s="450">
        <v>-0.0027083372622601284</v>
      </c>
      <c r="S38" s="450">
        <v>0.0</v>
      </c>
      <c r="T38" s="450">
        <v>0.0</v>
      </c>
      <c r="U38" s="450">
        <v>0.0</v>
      </c>
      <c r="V38" s="450">
        <v>0.0</v>
      </c>
      <c r="W38" s="450">
        <v>0.0</v>
      </c>
      <c r="X38" s="450">
        <v>0.0</v>
      </c>
      <c r="Y38" s="450">
        <v>0.0</v>
      </c>
      <c r="Z38" s="220"/>
    </row>
    <row r="39" ht="15.75" customHeight="1">
      <c r="A39" s="220"/>
      <c r="B39" s="451" t="s">
        <v>189</v>
      </c>
      <c r="C39" s="452">
        <v>1.75059359003237</v>
      </c>
      <c r="D39" s="452">
        <v>2.287659872847981E-4</v>
      </c>
      <c r="E39" s="452">
        <v>7.62553290949327E-5</v>
      </c>
      <c r="F39" s="452">
        <v>7.62553290949327E-5</v>
      </c>
      <c r="G39" s="452">
        <v>0.019292598261017972</v>
      </c>
      <c r="H39" s="452">
        <v>0.1870543222698699</v>
      </c>
      <c r="I39" s="452">
        <v>7.62553290949327E-5</v>
      </c>
      <c r="J39" s="452">
        <v>1.6732706863301083</v>
      </c>
      <c r="K39" s="452">
        <v>2.066366907814486</v>
      </c>
      <c r="L39" s="452">
        <v>2.1950096479976375</v>
      </c>
      <c r="M39" s="452">
        <v>3.49531551972443</v>
      </c>
      <c r="N39" s="448"/>
      <c r="O39" s="453">
        <v>-0.5451064099676302</v>
      </c>
      <c r="P39" s="450">
        <v>-7.123401271520187E-5</v>
      </c>
      <c r="Q39" s="450">
        <v>-2.374467090506731E-5</v>
      </c>
      <c r="R39" s="450">
        <v>-2.374467090506731E-5</v>
      </c>
      <c r="S39" s="450">
        <v>-0.006007401738982027</v>
      </c>
      <c r="T39" s="450">
        <v>-0.05824567773013009</v>
      </c>
      <c r="U39" s="450">
        <v>-2.374467090506731E-5</v>
      </c>
      <c r="V39" s="450">
        <v>-0.5210293136698918</v>
      </c>
      <c r="W39" s="450">
        <v>-0.6434330921855138</v>
      </c>
      <c r="X39" s="450">
        <v>-0.6834903520023623</v>
      </c>
      <c r="Y39" s="450">
        <v>-1.0883844802755704</v>
      </c>
      <c r="Z39" s="220"/>
    </row>
    <row r="40" ht="15.75" customHeight="1">
      <c r="A40" s="220"/>
      <c r="B40" s="451" t="s">
        <v>311</v>
      </c>
      <c r="C40" s="452">
        <v>1.037077056</v>
      </c>
      <c r="D40" s="452">
        <v>0.048352255999999996</v>
      </c>
      <c r="E40" s="452">
        <v>0.028512064</v>
      </c>
      <c r="F40" s="452">
        <v>0.0025621439999999997</v>
      </c>
      <c r="G40" s="452">
        <v>0.0</v>
      </c>
      <c r="H40" s="452">
        <v>0.0</v>
      </c>
      <c r="I40" s="452">
        <v>0.0</v>
      </c>
      <c r="J40" s="452">
        <v>0.0</v>
      </c>
      <c r="K40" s="452">
        <v>0.0</v>
      </c>
      <c r="L40" s="452">
        <v>0.0</v>
      </c>
      <c r="M40" s="452">
        <v>0.0</v>
      </c>
      <c r="N40" s="448"/>
      <c r="O40" s="453">
        <v>-0.541522944</v>
      </c>
      <c r="P40" s="450">
        <v>-0.025247744000000003</v>
      </c>
      <c r="Q40" s="450">
        <v>-0.014887936000000001</v>
      </c>
      <c r="R40" s="450">
        <v>-0.0013378560000000001</v>
      </c>
      <c r="S40" s="450">
        <v>0.0</v>
      </c>
      <c r="T40" s="450">
        <v>0.0</v>
      </c>
      <c r="U40" s="450">
        <v>0.0</v>
      </c>
      <c r="V40" s="450">
        <v>0.0</v>
      </c>
      <c r="W40" s="450">
        <v>0.0</v>
      </c>
      <c r="X40" s="450">
        <v>0.0</v>
      </c>
      <c r="Y40" s="450">
        <v>0.0</v>
      </c>
      <c r="Z40" s="220"/>
    </row>
    <row r="41" ht="15.75" customHeight="1">
      <c r="A41" s="220"/>
      <c r="B41" s="445" t="s">
        <v>366</v>
      </c>
      <c r="C41" s="447">
        <v>41.8924</v>
      </c>
      <c r="D41" s="447">
        <v>0.3661</v>
      </c>
      <c r="E41" s="447">
        <v>0.5532</v>
      </c>
      <c r="F41" s="447">
        <v>0.2595</v>
      </c>
      <c r="G41" s="447">
        <v>0.165</v>
      </c>
      <c r="H41" s="447">
        <v>0.1837</v>
      </c>
      <c r="I41" s="447">
        <v>0.1744</v>
      </c>
      <c r="J41" s="447">
        <v>0.0</v>
      </c>
      <c r="K41" s="447">
        <v>0.0</v>
      </c>
      <c r="L41" s="447">
        <v>0.0</v>
      </c>
      <c r="M41" s="447">
        <v>26.1719</v>
      </c>
      <c r="N41" s="448"/>
      <c r="O41" s="454">
        <v>0.0</v>
      </c>
      <c r="P41" s="450">
        <v>0.0</v>
      </c>
      <c r="Q41" s="450">
        <v>0.0</v>
      </c>
      <c r="R41" s="450">
        <v>0.0</v>
      </c>
      <c r="S41" s="450">
        <v>0.0</v>
      </c>
      <c r="T41" s="450">
        <v>0.0</v>
      </c>
      <c r="U41" s="450">
        <v>0.0</v>
      </c>
      <c r="V41" s="450">
        <v>0.0</v>
      </c>
      <c r="W41" s="450">
        <v>0.0</v>
      </c>
      <c r="X41" s="450">
        <v>0.0</v>
      </c>
      <c r="Y41" s="450">
        <v>0.0</v>
      </c>
      <c r="Z41" s="220"/>
    </row>
    <row r="42" ht="15.75" customHeight="1">
      <c r="A42" s="220"/>
      <c r="B42" s="455" t="s">
        <v>367</v>
      </c>
      <c r="C42" s="452">
        <v>68.2918064516129</v>
      </c>
      <c r="D42" s="452">
        <v>1.2272</v>
      </c>
      <c r="E42" s="452">
        <v>0.8131</v>
      </c>
      <c r="F42" s="452">
        <v>0.1398</v>
      </c>
      <c r="G42" s="452">
        <v>0.0</v>
      </c>
      <c r="H42" s="452">
        <v>0.0</v>
      </c>
      <c r="I42" s="452">
        <v>0.0</v>
      </c>
      <c r="J42" s="452">
        <v>15.224</v>
      </c>
      <c r="K42" s="452">
        <v>10.3974</v>
      </c>
      <c r="L42" s="452">
        <v>8.2907</v>
      </c>
      <c r="M42" s="452">
        <v>98.3149</v>
      </c>
      <c r="N42" s="448"/>
      <c r="O42" s="453">
        <v>-37.5604935483871</v>
      </c>
      <c r="P42" s="450">
        <v>0.0</v>
      </c>
      <c r="Q42" s="450">
        <v>0.0</v>
      </c>
      <c r="R42" s="450">
        <v>0.0</v>
      </c>
      <c r="S42" s="450">
        <v>0.0</v>
      </c>
      <c r="T42" s="450">
        <v>0.0</v>
      </c>
      <c r="U42" s="450">
        <v>0.0</v>
      </c>
      <c r="V42" s="450">
        <v>0.0</v>
      </c>
      <c r="W42" s="450">
        <v>0.0</v>
      </c>
      <c r="X42" s="450">
        <v>0.0</v>
      </c>
      <c r="Y42" s="450">
        <v>0.0</v>
      </c>
      <c r="Z42" s="220"/>
    </row>
    <row r="43" ht="15.75" customHeight="1">
      <c r="A43" s="220"/>
      <c r="B43" s="455" t="s">
        <v>368</v>
      </c>
      <c r="C43" s="452">
        <v>43.5118</v>
      </c>
      <c r="D43" s="452">
        <v>0.6415</v>
      </c>
      <c r="E43" s="452">
        <v>2.0E-4</v>
      </c>
      <c r="F43" s="452">
        <v>0.0021</v>
      </c>
      <c r="G43" s="452">
        <v>1.1902</v>
      </c>
      <c r="H43" s="452">
        <v>0.5686</v>
      </c>
      <c r="I43" s="452">
        <v>1.0E-4</v>
      </c>
      <c r="J43" s="452">
        <v>3.0E-4</v>
      </c>
      <c r="K43" s="452">
        <v>8.0E-4</v>
      </c>
      <c r="L43" s="452">
        <v>0.0</v>
      </c>
      <c r="M43" s="452">
        <v>37.343</v>
      </c>
      <c r="N43" s="448"/>
      <c r="O43" s="454">
        <v>0.0</v>
      </c>
      <c r="P43" s="450">
        <v>0.0</v>
      </c>
      <c r="Q43" s="450">
        <v>0.0</v>
      </c>
      <c r="R43" s="450">
        <v>0.0</v>
      </c>
      <c r="S43" s="450">
        <v>0.0</v>
      </c>
      <c r="T43" s="450">
        <v>0.0</v>
      </c>
      <c r="U43" s="450">
        <v>0.0</v>
      </c>
      <c r="V43" s="450">
        <v>0.0</v>
      </c>
      <c r="W43" s="450">
        <v>0.0</v>
      </c>
      <c r="X43" s="450">
        <v>0.0</v>
      </c>
      <c r="Y43" s="450">
        <v>0.0</v>
      </c>
      <c r="Z43" s="220"/>
    </row>
    <row r="44" ht="15.75" customHeight="1">
      <c r="A44" s="220"/>
      <c r="B44" s="445" t="s">
        <v>49</v>
      </c>
      <c r="C44" s="447">
        <v>0.0</v>
      </c>
      <c r="D44" s="447">
        <v>0.5192</v>
      </c>
      <c r="E44" s="447">
        <v>0.0</v>
      </c>
      <c r="F44" s="447">
        <v>0.0</v>
      </c>
      <c r="G44" s="447">
        <v>0.4638</v>
      </c>
      <c r="H44" s="447">
        <v>0.4615</v>
      </c>
      <c r="I44" s="447">
        <v>0.5146</v>
      </c>
      <c r="J44" s="447">
        <v>0.0</v>
      </c>
      <c r="K44" s="447">
        <v>0.0</v>
      </c>
      <c r="L44" s="447">
        <v>0.0</v>
      </c>
      <c r="M44" s="447">
        <v>132.211</v>
      </c>
      <c r="N44" s="448"/>
      <c r="O44" s="454">
        <v>0.0</v>
      </c>
      <c r="P44" s="450">
        <v>0.0</v>
      </c>
      <c r="Q44" s="450">
        <v>0.0</v>
      </c>
      <c r="R44" s="450">
        <v>0.0</v>
      </c>
      <c r="S44" s="450">
        <v>0.0</v>
      </c>
      <c r="T44" s="450">
        <v>0.0</v>
      </c>
      <c r="U44" s="450">
        <v>0.0</v>
      </c>
      <c r="V44" s="450">
        <v>0.0</v>
      </c>
      <c r="W44" s="450">
        <v>0.0</v>
      </c>
      <c r="X44" s="450">
        <v>0.0</v>
      </c>
      <c r="Y44" s="450">
        <v>0.0</v>
      </c>
      <c r="Z44" s="220"/>
    </row>
    <row r="45" ht="15.75" customHeight="1">
      <c r="A45" s="220"/>
      <c r="B45" s="451" t="s">
        <v>44</v>
      </c>
      <c r="C45" s="452">
        <v>9.105025610044525</v>
      </c>
      <c r="D45" s="452">
        <v>0.10149205088521211</v>
      </c>
      <c r="E45" s="452">
        <v>0.4111113817951666</v>
      </c>
      <c r="F45" s="452">
        <v>0.026058769821878783</v>
      </c>
      <c r="G45" s="452">
        <v>1.178587870189535</v>
      </c>
      <c r="H45" s="452">
        <v>0.7514754893809342</v>
      </c>
      <c r="I45" s="452">
        <v>0.40825406054276764</v>
      </c>
      <c r="J45" s="452">
        <v>0.0</v>
      </c>
      <c r="K45" s="452">
        <v>0.2955613103481515</v>
      </c>
      <c r="L45" s="452">
        <v>1.1629297497263889</v>
      </c>
      <c r="M45" s="452">
        <v>77.10984288139095</v>
      </c>
      <c r="N45" s="448"/>
      <c r="O45" s="456">
        <v>1.1386256100445244</v>
      </c>
      <c r="P45" s="450">
        <v>0.012692050885212108</v>
      </c>
      <c r="Q45" s="450">
        <v>0.05141138179516658</v>
      </c>
      <c r="R45" s="450">
        <v>0.003258769821878782</v>
      </c>
      <c r="S45" s="450">
        <v>0.14738787018953503</v>
      </c>
      <c r="T45" s="450">
        <v>0.09397548938093425</v>
      </c>
      <c r="U45" s="450">
        <v>0.05105406054276762</v>
      </c>
      <c r="V45" s="450">
        <v>0.0</v>
      </c>
      <c r="W45" s="450">
        <v>0.03696131034815148</v>
      </c>
      <c r="X45" s="450">
        <v>0.14542974972638878</v>
      </c>
      <c r="Y45" s="450">
        <v>9.642942881390951</v>
      </c>
      <c r="Z45" s="220"/>
    </row>
    <row r="46" ht="15.75" customHeight="1">
      <c r="A46" s="220"/>
      <c r="B46" s="451" t="s">
        <v>369</v>
      </c>
      <c r="C46" s="452">
        <v>4.300018131053884</v>
      </c>
      <c r="D46" s="452">
        <v>8.173668015965841E-4</v>
      </c>
      <c r="E46" s="452">
        <v>0.0</v>
      </c>
      <c r="F46" s="452">
        <v>5.944485829793338E-4</v>
      </c>
      <c r="G46" s="452">
        <v>0.0821082105240205</v>
      </c>
      <c r="H46" s="452">
        <v>0.4587656939143009</v>
      </c>
      <c r="I46" s="452">
        <v>5.201425101069171E-4</v>
      </c>
      <c r="J46" s="452">
        <v>3.383081191808261</v>
      </c>
      <c r="K46" s="452">
        <v>5.107576531031309</v>
      </c>
      <c r="L46" s="452">
        <v>5.448567099442829</v>
      </c>
      <c r="M46" s="452">
        <v>9.591353580298678</v>
      </c>
      <c r="N46" s="448"/>
      <c r="O46" s="453">
        <v>-1.4868818689461163</v>
      </c>
      <c r="P46" s="450">
        <v>-2.82633198403416E-4</v>
      </c>
      <c r="Q46" s="450">
        <v>0.0</v>
      </c>
      <c r="R46" s="450">
        <v>-2.0555141702066626E-4</v>
      </c>
      <c r="S46" s="450">
        <v>-0.028391789475979506</v>
      </c>
      <c r="T46" s="450">
        <v>-0.15863430608569906</v>
      </c>
      <c r="U46" s="450">
        <v>-1.7985748989308287E-4</v>
      </c>
      <c r="V46" s="450">
        <v>-1.1698188081917391</v>
      </c>
      <c r="W46" s="450">
        <v>-1.7661234689686918</v>
      </c>
      <c r="X46" s="450">
        <v>-1.8840329005571714</v>
      </c>
      <c r="Y46" s="450">
        <v>-3.3165464197013215</v>
      </c>
      <c r="Z46" s="220"/>
    </row>
    <row r="47" ht="15.75" customHeight="1">
      <c r="A47" s="220"/>
      <c r="B47" s="451" t="s">
        <v>43</v>
      </c>
      <c r="C47" s="452">
        <v>1.5452667188466016</v>
      </c>
      <c r="D47" s="452">
        <v>0.04059725156791142</v>
      </c>
      <c r="E47" s="452">
        <v>0.012855796329838616</v>
      </c>
      <c r="F47" s="452">
        <v>9.472692032512664E-4</v>
      </c>
      <c r="G47" s="452">
        <v>0.022057840018565204</v>
      </c>
      <c r="H47" s="452">
        <v>0.020027977440169636</v>
      </c>
      <c r="I47" s="452">
        <v>0.02178719167477913</v>
      </c>
      <c r="J47" s="452">
        <v>0.0</v>
      </c>
      <c r="K47" s="452">
        <v>0.0</v>
      </c>
      <c r="L47" s="452">
        <v>0.0</v>
      </c>
      <c r="M47" s="452">
        <v>11.914075417634965</v>
      </c>
      <c r="N47" s="448"/>
      <c r="O47" s="456">
        <v>0.4033667188466017</v>
      </c>
      <c r="P47" s="450">
        <v>0.010597251567911421</v>
      </c>
      <c r="Q47" s="450">
        <v>0.003355796329838616</v>
      </c>
      <c r="R47" s="450">
        <v>2.4726920325126645E-4</v>
      </c>
      <c r="S47" s="450">
        <v>0.005757840018565205</v>
      </c>
      <c r="T47" s="450">
        <v>0.005227977440169635</v>
      </c>
      <c r="U47" s="450">
        <v>0.00568719167477913</v>
      </c>
      <c r="V47" s="450">
        <v>0.0</v>
      </c>
      <c r="W47" s="450">
        <v>0.0</v>
      </c>
      <c r="X47" s="450">
        <v>0.0</v>
      </c>
      <c r="Y47" s="450">
        <v>3.109975417634965</v>
      </c>
      <c r="Z47" s="220"/>
    </row>
    <row r="48" ht="15.75" customHeight="1">
      <c r="A48" s="220"/>
      <c r="B48" s="451" t="s">
        <v>50</v>
      </c>
      <c r="C48" s="452">
        <v>32.34287984498081</v>
      </c>
      <c r="D48" s="452">
        <v>0.25095815969296376</v>
      </c>
      <c r="E48" s="452">
        <v>0.25947370602985076</v>
      </c>
      <c r="F48" s="452">
        <v>0.2218216335010661</v>
      </c>
      <c r="G48" s="452">
        <v>0.038653901509594885</v>
      </c>
      <c r="H48" s="452">
        <v>0.08941323653731344</v>
      </c>
      <c r="I48" s="452">
        <v>0.1842530467206823</v>
      </c>
      <c r="J48" s="452">
        <v>0.0</v>
      </c>
      <c r="K48" s="452">
        <v>0.0</v>
      </c>
      <c r="L48" s="452">
        <v>0.0</v>
      </c>
      <c r="M48" s="452">
        <v>0.7150554350533049</v>
      </c>
      <c r="N48" s="448"/>
      <c r="O48" s="453">
        <v>-6.3977201550191936</v>
      </c>
      <c r="P48" s="450">
        <v>-0.04964184030703622</v>
      </c>
      <c r="Q48" s="450">
        <v>-0.05132629397014926</v>
      </c>
      <c r="R48" s="450">
        <v>-0.043878366498933896</v>
      </c>
      <c r="S48" s="450">
        <v>-0.007646098490405116</v>
      </c>
      <c r="T48" s="450">
        <v>-0.017686763462686564</v>
      </c>
      <c r="U48" s="450">
        <v>-0.03644695327931771</v>
      </c>
      <c r="V48" s="450">
        <v>0.0</v>
      </c>
      <c r="W48" s="450">
        <v>0.0</v>
      </c>
      <c r="X48" s="450">
        <v>0.0</v>
      </c>
      <c r="Y48" s="450">
        <v>-0.1414445649466951</v>
      </c>
      <c r="Z48" s="220"/>
    </row>
    <row r="49" ht="15.75" customHeight="1">
      <c r="A49" s="220"/>
      <c r="B49" s="445" t="s">
        <v>370</v>
      </c>
      <c r="C49" s="447">
        <v>27.6206</v>
      </c>
      <c r="D49" s="447">
        <v>0.5016</v>
      </c>
      <c r="E49" s="447">
        <v>0.4017</v>
      </c>
      <c r="F49" s="447">
        <v>0.1639</v>
      </c>
      <c r="G49" s="447">
        <v>1.0701</v>
      </c>
      <c r="H49" s="447">
        <v>1.0616</v>
      </c>
      <c r="I49" s="447">
        <v>1.1726</v>
      </c>
      <c r="J49" s="447">
        <v>0.468</v>
      </c>
      <c r="K49" s="447">
        <v>0.1644</v>
      </c>
      <c r="L49" s="447">
        <v>0.1528</v>
      </c>
      <c r="M49" s="447">
        <v>4.1216</v>
      </c>
      <c r="N49" s="448"/>
      <c r="O49" s="454">
        <v>0.0</v>
      </c>
      <c r="P49" s="450">
        <v>0.0</v>
      </c>
      <c r="Q49" s="450">
        <v>0.0</v>
      </c>
      <c r="R49" s="450">
        <v>0.0</v>
      </c>
      <c r="S49" s="450">
        <v>0.0</v>
      </c>
      <c r="T49" s="450">
        <v>0.0</v>
      </c>
      <c r="U49" s="450">
        <v>0.0</v>
      </c>
      <c r="V49" s="450">
        <v>0.0</v>
      </c>
      <c r="W49" s="450">
        <v>0.0</v>
      </c>
      <c r="X49" s="450">
        <v>0.0</v>
      </c>
      <c r="Y49" s="450">
        <v>0.0</v>
      </c>
      <c r="Z49" s="220"/>
    </row>
    <row r="50" ht="15.75" customHeight="1">
      <c r="A50" s="220"/>
      <c r="B50" s="451" t="s">
        <v>35</v>
      </c>
      <c r="C50" s="452">
        <v>1.9990309871282763</v>
      </c>
      <c r="D50" s="452">
        <v>0.0</v>
      </c>
      <c r="E50" s="452">
        <v>5.148540016151415E-4</v>
      </c>
      <c r="F50" s="452">
        <v>0.0</v>
      </c>
      <c r="G50" s="452">
        <v>0.023609733502637203</v>
      </c>
      <c r="H50" s="452">
        <v>0.15578011077440998</v>
      </c>
      <c r="I50" s="452">
        <v>2.206517149779178E-4</v>
      </c>
      <c r="J50" s="452">
        <v>0.05383901845461195</v>
      </c>
      <c r="K50" s="452">
        <v>0.18041955228027748</v>
      </c>
      <c r="L50" s="452">
        <v>0.9453454975370592</v>
      </c>
      <c r="M50" s="452">
        <v>5.078519871931756</v>
      </c>
      <c r="N50" s="448"/>
      <c r="O50" s="453">
        <v>-0.7188690128717239</v>
      </c>
      <c r="P50" s="450">
        <v>0.0</v>
      </c>
      <c r="Q50" s="450">
        <v>-1.8514599838485846E-4</v>
      </c>
      <c r="R50" s="450">
        <v>0.0</v>
      </c>
      <c r="S50" s="450">
        <v>-0.008490266497362793</v>
      </c>
      <c r="T50" s="450">
        <v>-0.05601988922559001</v>
      </c>
      <c r="U50" s="450">
        <v>-7.934828502208216E-5</v>
      </c>
      <c r="V50" s="450">
        <v>-0.019360981545388053</v>
      </c>
      <c r="W50" s="450">
        <v>-0.06488044771972251</v>
      </c>
      <c r="X50" s="450">
        <v>-0.3399545024629409</v>
      </c>
      <c r="Y50" s="450">
        <v>-1.8262801280682437</v>
      </c>
      <c r="Z50" s="220"/>
    </row>
    <row r="51" ht="15.75" customHeight="1">
      <c r="A51" s="220"/>
      <c r="B51" s="451" t="s">
        <v>310</v>
      </c>
      <c r="C51" s="452">
        <v>10.207259799607677</v>
      </c>
      <c r="D51" s="452">
        <v>0.37505972469083154</v>
      </c>
      <c r="E51" s="452">
        <v>0.2579709625586354</v>
      </c>
      <c r="F51" s="452">
        <v>0.02579709625586354</v>
      </c>
      <c r="G51" s="452">
        <v>0.0</v>
      </c>
      <c r="H51" s="452">
        <v>0.0</v>
      </c>
      <c r="I51" s="452">
        <v>0.0</v>
      </c>
      <c r="J51" s="452">
        <v>0.0</v>
      </c>
      <c r="K51" s="452">
        <v>0.0</v>
      </c>
      <c r="L51" s="452">
        <v>0.0</v>
      </c>
      <c r="M51" s="452">
        <v>0.0</v>
      </c>
      <c r="N51" s="448"/>
      <c r="O51" s="456">
        <v>2.0563597996076766</v>
      </c>
      <c r="P51" s="450">
        <v>0.07555972469083155</v>
      </c>
      <c r="Q51" s="450">
        <v>0.0519709625586354</v>
      </c>
      <c r="R51" s="450">
        <v>0.00519709625586354</v>
      </c>
      <c r="S51" s="450">
        <v>0.0</v>
      </c>
      <c r="T51" s="450">
        <v>0.0</v>
      </c>
      <c r="U51" s="450">
        <v>0.0</v>
      </c>
      <c r="V51" s="450">
        <v>0.0</v>
      </c>
      <c r="W51" s="450">
        <v>0.0</v>
      </c>
      <c r="X51" s="450">
        <v>0.0</v>
      </c>
      <c r="Y51" s="450">
        <v>0.0</v>
      </c>
      <c r="Z51" s="220"/>
    </row>
    <row r="52" ht="15.75" customHeight="1">
      <c r="A52" s="220"/>
      <c r="B52" s="451" t="s">
        <v>134</v>
      </c>
      <c r="C52" s="452">
        <v>0.0</v>
      </c>
      <c r="D52" s="452">
        <v>0.0</v>
      </c>
      <c r="E52" s="452">
        <v>0.0</v>
      </c>
      <c r="F52" s="452">
        <v>0.0</v>
      </c>
      <c r="G52" s="452">
        <v>0.0</v>
      </c>
      <c r="H52" s="452">
        <v>0.0</v>
      </c>
      <c r="I52" s="452">
        <v>0.0</v>
      </c>
      <c r="J52" s="452">
        <v>0.0</v>
      </c>
      <c r="K52" s="452">
        <v>0.0</v>
      </c>
      <c r="L52" s="452">
        <v>0.0</v>
      </c>
      <c r="M52" s="452">
        <v>0.0</v>
      </c>
      <c r="N52" s="448"/>
      <c r="O52" s="453">
        <v>-10.151</v>
      </c>
      <c r="P52" s="450">
        <v>-0.0344</v>
      </c>
      <c r="Q52" s="450">
        <v>-0.241</v>
      </c>
      <c r="R52" s="450">
        <v>-0.2579</v>
      </c>
      <c r="S52" s="450">
        <v>-0.0842</v>
      </c>
      <c r="T52" s="450">
        <v>-0.0863</v>
      </c>
      <c r="U52" s="450">
        <v>-0.0733</v>
      </c>
      <c r="V52" s="450">
        <v>-5.6736</v>
      </c>
      <c r="W52" s="450">
        <v>-2.1124</v>
      </c>
      <c r="X52" s="450">
        <v>-1.4066</v>
      </c>
      <c r="Y52" s="450">
        <v>-0.622</v>
      </c>
      <c r="Z52" s="220"/>
    </row>
    <row r="53" ht="15.75" customHeight="1">
      <c r="A53" s="220"/>
      <c r="B53" s="455" t="s">
        <v>371</v>
      </c>
      <c r="C53" s="452">
        <v>92.76823999999999</v>
      </c>
      <c r="D53" s="452">
        <v>1.4218</v>
      </c>
      <c r="E53" s="452">
        <v>1.8904</v>
      </c>
      <c r="F53" s="452">
        <v>1.6241</v>
      </c>
      <c r="G53" s="452">
        <v>3.0141</v>
      </c>
      <c r="H53" s="452">
        <v>3.963466666666667</v>
      </c>
      <c r="I53" s="452">
        <v>1.8616</v>
      </c>
      <c r="J53" s="452">
        <v>0.0</v>
      </c>
      <c r="K53" s="452">
        <v>0.0</v>
      </c>
      <c r="L53" s="452">
        <v>5.0E-4</v>
      </c>
      <c r="M53" s="452">
        <v>164.9521</v>
      </c>
      <c r="N53" s="448"/>
      <c r="O53" s="453">
        <v>-23.192060000000012</v>
      </c>
      <c r="P53" s="450">
        <v>0.0</v>
      </c>
      <c r="Q53" s="450">
        <v>0.0</v>
      </c>
      <c r="R53" s="450">
        <v>0.0</v>
      </c>
      <c r="S53" s="450">
        <v>0.0</v>
      </c>
      <c r="T53" s="450">
        <v>0.9908666666666672</v>
      </c>
      <c r="U53" s="450">
        <v>0.0</v>
      </c>
      <c r="V53" s="450">
        <v>0.0</v>
      </c>
      <c r="W53" s="450">
        <v>0.0</v>
      </c>
      <c r="X53" s="450">
        <v>0.0</v>
      </c>
      <c r="Y53" s="450">
        <v>0.0</v>
      </c>
      <c r="Z53" s="220"/>
    </row>
    <row r="54" ht="15.75" customHeight="1">
      <c r="A54" s="220"/>
      <c r="B54" s="445" t="s">
        <v>372</v>
      </c>
      <c r="C54" s="447">
        <v>37.7914</v>
      </c>
      <c r="D54" s="447">
        <v>0.2382</v>
      </c>
      <c r="E54" s="447">
        <v>0.6335</v>
      </c>
      <c r="F54" s="447">
        <v>0.0</v>
      </c>
      <c r="G54" s="447">
        <v>1.6378</v>
      </c>
      <c r="H54" s="447">
        <v>1.9225</v>
      </c>
      <c r="I54" s="447">
        <v>0.5719</v>
      </c>
      <c r="J54" s="447">
        <v>0.0473</v>
      </c>
      <c r="K54" s="447">
        <v>11.9188</v>
      </c>
      <c r="L54" s="447">
        <v>16.911</v>
      </c>
      <c r="M54" s="447">
        <v>64.5299</v>
      </c>
      <c r="N54" s="448"/>
      <c r="O54" s="454">
        <v>0.0</v>
      </c>
      <c r="P54" s="450">
        <v>0.0</v>
      </c>
      <c r="Q54" s="450">
        <v>0.0</v>
      </c>
      <c r="R54" s="450">
        <v>0.0</v>
      </c>
      <c r="S54" s="450">
        <v>0.0</v>
      </c>
      <c r="T54" s="450">
        <v>0.0</v>
      </c>
      <c r="U54" s="450">
        <v>0.0</v>
      </c>
      <c r="V54" s="450">
        <v>0.0</v>
      </c>
      <c r="W54" s="450">
        <v>0.0</v>
      </c>
      <c r="X54" s="450">
        <v>0.0</v>
      </c>
      <c r="Y54" s="450">
        <v>0.0</v>
      </c>
      <c r="Z54" s="220"/>
    </row>
    <row r="55" ht="15.75" customHeight="1">
      <c r="A55" s="220"/>
      <c r="B55" s="451" t="s">
        <v>32</v>
      </c>
      <c r="C55" s="452">
        <v>3.076989865872028</v>
      </c>
      <c r="D55" s="452">
        <v>0.1782009330077878</v>
      </c>
      <c r="E55" s="452">
        <v>0.3969204039506043</v>
      </c>
      <c r="F55" s="452">
        <v>0.03769635121318589</v>
      </c>
      <c r="G55" s="452">
        <v>8.063390633836553E-4</v>
      </c>
      <c r="H55" s="452">
        <v>6.047542975377414E-4</v>
      </c>
      <c r="I55" s="452">
        <v>2.0158476584591383E-4</v>
      </c>
      <c r="J55" s="452">
        <v>0.0</v>
      </c>
      <c r="K55" s="452">
        <v>0.0</v>
      </c>
      <c r="L55" s="452">
        <v>0.0</v>
      </c>
      <c r="M55" s="452">
        <v>31.128719541926014</v>
      </c>
      <c r="N55" s="448"/>
      <c r="O55" s="453">
        <v>-4.555010134127972</v>
      </c>
      <c r="P55" s="450">
        <v>-0.08699906699221219</v>
      </c>
      <c r="Q55" s="450">
        <v>0.2000204039506043</v>
      </c>
      <c r="R55" s="450">
        <v>0.018996351213185887</v>
      </c>
      <c r="S55" s="450">
        <v>4.063390633836553E-4</v>
      </c>
      <c r="T55" s="450">
        <v>3.047542975377414E-4</v>
      </c>
      <c r="U55" s="450">
        <v>1.0158476584591382E-4</v>
      </c>
      <c r="V55" s="450">
        <v>0.0</v>
      </c>
      <c r="W55" s="450">
        <v>0.0</v>
      </c>
      <c r="X55" s="450">
        <v>0.0</v>
      </c>
      <c r="Y55" s="450">
        <v>15.686719541926013</v>
      </c>
      <c r="Z55" s="220"/>
    </row>
    <row r="56" ht="15.75" customHeight="1">
      <c r="A56" s="220"/>
      <c r="B56" s="445" t="s">
        <v>40</v>
      </c>
      <c r="C56" s="447">
        <v>29.2304</v>
      </c>
      <c r="D56" s="447">
        <v>0.4683</v>
      </c>
      <c r="E56" s="447">
        <v>0.217</v>
      </c>
      <c r="F56" s="447">
        <v>0.0997</v>
      </c>
      <c r="G56" s="447">
        <v>0.0</v>
      </c>
      <c r="H56" s="447">
        <v>0.0</v>
      </c>
      <c r="I56" s="447">
        <v>0.0</v>
      </c>
      <c r="J56" s="447">
        <v>0.0</v>
      </c>
      <c r="K56" s="447">
        <v>3.0E-4</v>
      </c>
      <c r="L56" s="447">
        <v>3.0E-4</v>
      </c>
      <c r="M56" s="447">
        <v>0.0</v>
      </c>
      <c r="N56" s="448"/>
      <c r="O56" s="454">
        <v>0.0</v>
      </c>
      <c r="P56" s="450">
        <v>0.0</v>
      </c>
      <c r="Q56" s="450">
        <v>0.0</v>
      </c>
      <c r="R56" s="450">
        <v>0.0</v>
      </c>
      <c r="S56" s="450">
        <v>0.0</v>
      </c>
      <c r="T56" s="450">
        <v>0.0</v>
      </c>
      <c r="U56" s="450">
        <v>0.0</v>
      </c>
      <c r="V56" s="450">
        <v>0.0</v>
      </c>
      <c r="W56" s="450">
        <v>0.0</v>
      </c>
      <c r="X56" s="450">
        <v>0.0</v>
      </c>
      <c r="Y56" s="450">
        <v>0.0</v>
      </c>
      <c r="Z56" s="220"/>
    </row>
    <row r="57" ht="15.75" customHeight="1">
      <c r="A57" s="220"/>
      <c r="B57" s="445" t="s">
        <v>42</v>
      </c>
      <c r="C57" s="447">
        <v>47.164</v>
      </c>
      <c r="D57" s="447">
        <v>0.382</v>
      </c>
      <c r="E57" s="447">
        <v>0.507</v>
      </c>
      <c r="F57" s="447">
        <v>0.9273</v>
      </c>
      <c r="G57" s="447">
        <v>0.0616</v>
      </c>
      <c r="H57" s="447">
        <v>0.1209</v>
      </c>
      <c r="I57" s="447">
        <v>0.4012</v>
      </c>
      <c r="J57" s="447">
        <v>0.0</v>
      </c>
      <c r="K57" s="447">
        <v>0.0</v>
      </c>
      <c r="L57" s="447">
        <v>0.0</v>
      </c>
      <c r="M57" s="447">
        <v>4.0E-4</v>
      </c>
      <c r="N57" s="448"/>
      <c r="O57" s="454">
        <v>0.0</v>
      </c>
      <c r="P57" s="450">
        <v>0.0</v>
      </c>
      <c r="Q57" s="450">
        <v>0.0</v>
      </c>
      <c r="R57" s="450">
        <v>0.0</v>
      </c>
      <c r="S57" s="450">
        <v>0.0</v>
      </c>
      <c r="T57" s="450">
        <v>0.0</v>
      </c>
      <c r="U57" s="450">
        <v>0.0</v>
      </c>
      <c r="V57" s="450">
        <v>0.0</v>
      </c>
      <c r="W57" s="450">
        <v>0.0</v>
      </c>
      <c r="X57" s="450">
        <v>0.0</v>
      </c>
      <c r="Y57" s="450">
        <v>0.0</v>
      </c>
      <c r="Z57" s="220"/>
    </row>
    <row r="58" ht="15.75" customHeight="1">
      <c r="A58" s="220"/>
      <c r="B58" s="451" t="s">
        <v>46</v>
      </c>
      <c r="C58" s="452">
        <v>0.0</v>
      </c>
      <c r="D58" s="452">
        <v>0.0</v>
      </c>
      <c r="E58" s="452">
        <v>0.0</v>
      </c>
      <c r="F58" s="452">
        <v>0.0</v>
      </c>
      <c r="G58" s="452">
        <v>0.0</v>
      </c>
      <c r="H58" s="452">
        <v>0.0</v>
      </c>
      <c r="I58" s="452">
        <v>0.0</v>
      </c>
      <c r="J58" s="452">
        <v>0.0</v>
      </c>
      <c r="K58" s="452">
        <v>0.0</v>
      </c>
      <c r="L58" s="452">
        <v>9.771929824561405E-5</v>
      </c>
      <c r="M58" s="452">
        <v>0.0</v>
      </c>
      <c r="N58" s="448"/>
      <c r="O58" s="454">
        <v>0.0</v>
      </c>
      <c r="P58" s="450">
        <v>0.0</v>
      </c>
      <c r="Q58" s="450">
        <v>0.0</v>
      </c>
      <c r="R58" s="450">
        <v>0.0</v>
      </c>
      <c r="S58" s="450">
        <v>0.0</v>
      </c>
      <c r="T58" s="450">
        <v>0.0</v>
      </c>
      <c r="U58" s="450">
        <v>0.0</v>
      </c>
      <c r="V58" s="450">
        <v>0.0</v>
      </c>
      <c r="W58" s="450">
        <v>0.0</v>
      </c>
      <c r="X58" s="450">
        <v>-2.28070175438595E-6</v>
      </c>
      <c r="Y58" s="450">
        <v>0.0</v>
      </c>
      <c r="Z58" s="220"/>
    </row>
    <row r="59" ht="15.75" customHeight="1">
      <c r="A59" s="220"/>
      <c r="B59" s="445" t="s">
        <v>373</v>
      </c>
      <c r="C59" s="447">
        <v>0.0</v>
      </c>
      <c r="D59" s="447">
        <v>0.0</v>
      </c>
      <c r="E59" s="447">
        <v>0.0</v>
      </c>
      <c r="F59" s="447">
        <v>1.0E-4</v>
      </c>
      <c r="G59" s="447">
        <v>0.0</v>
      </c>
      <c r="H59" s="447">
        <v>1.0E-4</v>
      </c>
      <c r="I59" s="447">
        <v>0.0</v>
      </c>
      <c r="J59" s="447">
        <v>0.0</v>
      </c>
      <c r="K59" s="447">
        <v>0.0</v>
      </c>
      <c r="L59" s="447">
        <v>5.0E-4</v>
      </c>
      <c r="M59" s="447">
        <v>5.0E-4</v>
      </c>
      <c r="N59" s="448"/>
      <c r="O59" s="454">
        <v>0.0</v>
      </c>
      <c r="P59" s="450">
        <v>0.0</v>
      </c>
      <c r="Q59" s="450">
        <v>0.0</v>
      </c>
      <c r="R59" s="450">
        <v>0.0</v>
      </c>
      <c r="S59" s="450">
        <v>0.0</v>
      </c>
      <c r="T59" s="450">
        <v>0.0</v>
      </c>
      <c r="U59" s="450">
        <v>0.0</v>
      </c>
      <c r="V59" s="450">
        <v>0.0</v>
      </c>
      <c r="W59" s="450">
        <v>0.0</v>
      </c>
      <c r="X59" s="450">
        <v>0.0</v>
      </c>
      <c r="Y59" s="450">
        <v>0.0</v>
      </c>
      <c r="Z59" s="220"/>
    </row>
    <row r="60" ht="15.75" customHeight="1">
      <c r="A60" s="220"/>
      <c r="B60" s="451" t="s">
        <v>54</v>
      </c>
      <c r="C60" s="452">
        <v>96.99568668419839</v>
      </c>
      <c r="D60" s="452">
        <v>9.71984684960274</v>
      </c>
      <c r="E60" s="452">
        <v>2.5132607638696673</v>
      </c>
      <c r="F60" s="452">
        <v>2.4170617100897727</v>
      </c>
      <c r="G60" s="452">
        <v>9.986965646698284</v>
      </c>
      <c r="H60" s="452">
        <v>11.365693162215615</v>
      </c>
      <c r="I60" s="452">
        <v>4.194345818633308</v>
      </c>
      <c r="J60" s="452">
        <v>0.0</v>
      </c>
      <c r="K60" s="452">
        <v>0.0</v>
      </c>
      <c r="L60" s="452">
        <v>16.432532997040934</v>
      </c>
      <c r="M60" s="452">
        <v>111.51357199798478</v>
      </c>
      <c r="N60" s="448"/>
      <c r="O60" s="456">
        <v>96.99568668419839</v>
      </c>
      <c r="P60" s="450">
        <v>9.71984684960274</v>
      </c>
      <c r="Q60" s="450">
        <v>2.5132607638696673</v>
      </c>
      <c r="R60" s="450">
        <v>2.4170617100897727</v>
      </c>
      <c r="S60" s="450">
        <v>9.986965646698284</v>
      </c>
      <c r="T60" s="450">
        <v>11.365693162215615</v>
      </c>
      <c r="U60" s="450">
        <v>4.194345818633308</v>
      </c>
      <c r="V60" s="450">
        <v>0.0</v>
      </c>
      <c r="W60" s="450">
        <v>0.0</v>
      </c>
      <c r="X60" s="450">
        <v>16.432532997040934</v>
      </c>
      <c r="Y60" s="450">
        <v>111.51357199798478</v>
      </c>
      <c r="Z60" s="220"/>
    </row>
    <row r="61" ht="15.75" customHeight="1">
      <c r="A61" s="220"/>
      <c r="B61" s="445" t="s">
        <v>374</v>
      </c>
      <c r="C61" s="447">
        <v>0.0</v>
      </c>
      <c r="D61" s="447">
        <v>0.0</v>
      </c>
      <c r="E61" s="447">
        <v>0.0</v>
      </c>
      <c r="F61" s="447">
        <v>0.0</v>
      </c>
      <c r="G61" s="447">
        <v>0.0</v>
      </c>
      <c r="H61" s="447">
        <v>0.0</v>
      </c>
      <c r="I61" s="447">
        <v>0.0</v>
      </c>
      <c r="J61" s="447">
        <v>0.0</v>
      </c>
      <c r="K61" s="447">
        <v>0.0</v>
      </c>
      <c r="L61" s="447">
        <v>0.0</v>
      </c>
      <c r="M61" s="447">
        <v>3.0E-4</v>
      </c>
      <c r="N61" s="448"/>
      <c r="O61" s="454">
        <v>0.0</v>
      </c>
      <c r="P61" s="450">
        <v>0.0</v>
      </c>
      <c r="Q61" s="450">
        <v>0.0</v>
      </c>
      <c r="R61" s="450">
        <v>0.0</v>
      </c>
      <c r="S61" s="450">
        <v>0.0</v>
      </c>
      <c r="T61" s="450">
        <v>0.0</v>
      </c>
      <c r="U61" s="450">
        <v>0.0</v>
      </c>
      <c r="V61" s="450">
        <v>0.0</v>
      </c>
      <c r="W61" s="450">
        <v>0.0</v>
      </c>
      <c r="X61" s="450">
        <v>0.0</v>
      </c>
      <c r="Y61" s="450">
        <v>0.0</v>
      </c>
      <c r="Z61" s="220"/>
    </row>
    <row r="62" ht="15.75" customHeight="1">
      <c r="A62" s="220"/>
      <c r="B62" s="220"/>
      <c r="C62" s="448"/>
      <c r="D62" s="448"/>
      <c r="E62" s="448"/>
      <c r="F62" s="448"/>
      <c r="G62" s="448"/>
      <c r="H62" s="448"/>
      <c r="I62" s="448"/>
      <c r="J62" s="448"/>
      <c r="K62" s="448"/>
      <c r="L62" s="448"/>
      <c r="M62" s="448"/>
      <c r="N62" s="448"/>
      <c r="O62" s="448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</row>
    <row r="63" ht="15.75" customHeight="1">
      <c r="A63" s="220"/>
      <c r="B63" s="220"/>
      <c r="C63" s="448"/>
      <c r="D63" s="448"/>
      <c r="E63" s="448"/>
      <c r="F63" s="448"/>
      <c r="G63" s="448"/>
      <c r="H63" s="448"/>
      <c r="I63" s="448"/>
      <c r="J63" s="448"/>
      <c r="K63" s="448"/>
      <c r="L63" s="448"/>
      <c r="M63" s="448"/>
      <c r="N63" s="448"/>
      <c r="O63" s="448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</row>
    <row r="64" ht="15.75" customHeight="1">
      <c r="A64" s="220"/>
      <c r="B64" s="439" t="s">
        <v>58</v>
      </c>
      <c r="C64" s="457" t="s">
        <v>1878</v>
      </c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48"/>
      <c r="O64" s="459" t="s">
        <v>1879</v>
      </c>
      <c r="P64" s="441"/>
      <c r="Q64" s="441"/>
      <c r="R64" s="441"/>
      <c r="S64" s="441"/>
      <c r="T64" s="441"/>
      <c r="U64" s="441"/>
      <c r="V64" s="441"/>
      <c r="W64" s="441"/>
      <c r="X64" s="441"/>
      <c r="Y64" s="441"/>
      <c r="Z64" s="220"/>
    </row>
    <row r="65" ht="60.75" customHeight="1">
      <c r="A65" s="220"/>
      <c r="B65" s="442" t="s">
        <v>391</v>
      </c>
      <c r="C65" s="460" t="s">
        <v>1872</v>
      </c>
      <c r="D65" s="460" t="s">
        <v>72</v>
      </c>
      <c r="E65" s="460" t="s">
        <v>73</v>
      </c>
      <c r="F65" s="460" t="s">
        <v>74</v>
      </c>
      <c r="G65" s="460" t="s">
        <v>69</v>
      </c>
      <c r="H65" s="460" t="s">
        <v>70</v>
      </c>
      <c r="I65" s="460" t="s">
        <v>71</v>
      </c>
      <c r="J65" s="460" t="s">
        <v>1873</v>
      </c>
      <c r="K65" s="460" t="s">
        <v>1874</v>
      </c>
      <c r="L65" s="460" t="s">
        <v>1875</v>
      </c>
      <c r="M65" s="460" t="s">
        <v>75</v>
      </c>
      <c r="N65" s="448"/>
      <c r="O65" s="461" t="s">
        <v>1872</v>
      </c>
      <c r="P65" s="444" t="s">
        <v>72</v>
      </c>
      <c r="Q65" s="444" t="s">
        <v>73</v>
      </c>
      <c r="R65" s="444" t="s">
        <v>74</v>
      </c>
      <c r="S65" s="444" t="s">
        <v>69</v>
      </c>
      <c r="T65" s="444" t="s">
        <v>70</v>
      </c>
      <c r="U65" s="444" t="s">
        <v>71</v>
      </c>
      <c r="V65" s="444" t="s">
        <v>1873</v>
      </c>
      <c r="W65" s="444" t="s">
        <v>1874</v>
      </c>
      <c r="X65" s="444" t="s">
        <v>1875</v>
      </c>
      <c r="Y65" s="444" t="s">
        <v>75</v>
      </c>
      <c r="Z65" s="220"/>
    </row>
    <row r="66" ht="15.75" customHeight="1">
      <c r="A66" s="220"/>
      <c r="B66" s="445" t="s">
        <v>365</v>
      </c>
      <c r="C66" s="446">
        <f>LET(payer, $C$3, segment, $B$64, ECOGAINS_SIM(payer, segment))</f>
        <v>23.2233</v>
      </c>
      <c r="D66" s="447">
        <v>0.5761</v>
      </c>
      <c r="E66" s="447">
        <v>0.5606</v>
      </c>
      <c r="F66" s="447">
        <v>0.292</v>
      </c>
      <c r="G66" s="447">
        <v>0.0</v>
      </c>
      <c r="H66" s="447">
        <v>0.0</v>
      </c>
      <c r="I66" s="447">
        <v>0.0</v>
      </c>
      <c r="J66" s="447">
        <v>0.0</v>
      </c>
      <c r="K66" s="447">
        <v>0.0</v>
      </c>
      <c r="L66" s="447">
        <v>0.0</v>
      </c>
      <c r="M66" s="447">
        <v>7.7836</v>
      </c>
      <c r="N66" s="448"/>
      <c r="O66" s="449">
        <f>LET(payer, $C$3, segment, $B$64, ECOGAINS_DIFF(payer, segment))</f>
        <v>0</v>
      </c>
      <c r="P66" s="450">
        <v>0.0</v>
      </c>
      <c r="Q66" s="450">
        <v>0.0</v>
      </c>
      <c r="R66" s="450">
        <v>0.0</v>
      </c>
      <c r="S66" s="450">
        <v>0.0</v>
      </c>
      <c r="T66" s="450">
        <v>0.0</v>
      </c>
      <c r="U66" s="450">
        <v>0.0</v>
      </c>
      <c r="V66" s="450">
        <v>0.0</v>
      </c>
      <c r="W66" s="450">
        <v>0.0</v>
      </c>
      <c r="X66" s="450">
        <v>0.0</v>
      </c>
      <c r="Y66" s="450">
        <v>0.0</v>
      </c>
      <c r="Z66" s="220"/>
    </row>
    <row r="67" ht="15.75" customHeight="1">
      <c r="A67" s="220"/>
      <c r="B67" s="451" t="s">
        <v>312</v>
      </c>
      <c r="C67" s="452">
        <v>14.931760424441894</v>
      </c>
      <c r="D67" s="452">
        <v>0.20820457254937988</v>
      </c>
      <c r="E67" s="452">
        <v>0.221533714552136</v>
      </c>
      <c r="F67" s="452">
        <v>0.04353061565457051</v>
      </c>
      <c r="G67" s="452">
        <v>0.0</v>
      </c>
      <c r="H67" s="452">
        <v>0.0</v>
      </c>
      <c r="I67" s="452">
        <v>0.0</v>
      </c>
      <c r="J67" s="452">
        <v>0.0</v>
      </c>
      <c r="K67" s="452">
        <v>0.0</v>
      </c>
      <c r="L67" s="452">
        <v>0.0</v>
      </c>
      <c r="M67" s="452">
        <v>0.0</v>
      </c>
      <c r="N67" s="448"/>
      <c r="O67" s="453">
        <v>-2.767939575558106</v>
      </c>
      <c r="P67" s="450">
        <v>-0.03859542745062011</v>
      </c>
      <c r="Q67" s="450">
        <v>-0.041066285447864004</v>
      </c>
      <c r="R67" s="450">
        <v>-0.00806938434542949</v>
      </c>
      <c r="S67" s="450">
        <v>0.0</v>
      </c>
      <c r="T67" s="450">
        <v>0.0</v>
      </c>
      <c r="U67" s="450">
        <v>0.0</v>
      </c>
      <c r="V67" s="450">
        <v>0.0</v>
      </c>
      <c r="W67" s="450">
        <v>0.0</v>
      </c>
      <c r="X67" s="450">
        <v>0.0</v>
      </c>
      <c r="Y67" s="450">
        <v>0.0</v>
      </c>
      <c r="Z67" s="220"/>
    </row>
    <row r="68" ht="15.75" customHeight="1">
      <c r="A68" s="220"/>
      <c r="B68" s="451" t="s">
        <v>189</v>
      </c>
      <c r="C68" s="452">
        <v>3.3212263609683754</v>
      </c>
      <c r="D68" s="452">
        <v>0.00110479221640888</v>
      </c>
      <c r="E68" s="452">
        <v>2.2095844328177603E-4</v>
      </c>
      <c r="F68" s="452">
        <v>2.2095844328177603E-4</v>
      </c>
      <c r="G68" s="452">
        <v>0.08072348461227552</v>
      </c>
      <c r="H68" s="452">
        <v>0.1638038592862233</v>
      </c>
      <c r="I68" s="452">
        <v>2.2095844328177603E-4</v>
      </c>
      <c r="J68" s="452">
        <v>2.6333827270322065</v>
      </c>
      <c r="K68" s="452">
        <v>2.202366457003889</v>
      </c>
      <c r="L68" s="452">
        <v>2.5364556232459345</v>
      </c>
      <c r="M68" s="452">
        <v>7.202214111583918</v>
      </c>
      <c r="N68" s="448"/>
      <c r="O68" s="453">
        <v>-1.1880736390316242</v>
      </c>
      <c r="P68" s="450">
        <v>-3.9520778359112E-4</v>
      </c>
      <c r="Q68" s="450">
        <v>-7.904155671822395E-5</v>
      </c>
      <c r="R68" s="450">
        <v>-7.904155671822395E-5</v>
      </c>
      <c r="S68" s="450">
        <v>-0.028876515387724483</v>
      </c>
      <c r="T68" s="450">
        <v>-0.058596140713776695</v>
      </c>
      <c r="U68" s="450">
        <v>-7.904155671822395E-5</v>
      </c>
      <c r="V68" s="450">
        <v>-0.9420172729677936</v>
      </c>
      <c r="W68" s="450">
        <v>-0.7878335429961112</v>
      </c>
      <c r="X68" s="450">
        <v>-0.9073443767540654</v>
      </c>
      <c r="Y68" s="450">
        <v>-2.576385888416083</v>
      </c>
      <c r="Z68" s="220"/>
    </row>
    <row r="69" ht="15.75" customHeight="1">
      <c r="A69" s="220"/>
      <c r="B69" s="451" t="s">
        <v>311</v>
      </c>
      <c r="C69" s="452">
        <v>3.179603184</v>
      </c>
      <c r="D69" s="452">
        <v>0.03574014</v>
      </c>
      <c r="E69" s="452">
        <v>0.047297232</v>
      </c>
      <c r="F69" s="452">
        <v>0.009085343999999999</v>
      </c>
      <c r="G69" s="452">
        <v>0.0</v>
      </c>
      <c r="H69" s="452">
        <v>6.6804E-5</v>
      </c>
      <c r="I69" s="452">
        <v>0.0</v>
      </c>
      <c r="J69" s="452">
        <v>0.0</v>
      </c>
      <c r="K69" s="452">
        <v>0.0</v>
      </c>
      <c r="L69" s="452">
        <v>0.0</v>
      </c>
      <c r="M69" s="452">
        <v>0.0</v>
      </c>
      <c r="N69" s="448"/>
      <c r="O69" s="453">
        <v>-1.579996816</v>
      </c>
      <c r="P69" s="450">
        <v>-0.017759860000000002</v>
      </c>
      <c r="Q69" s="450">
        <v>-0.023502768</v>
      </c>
      <c r="R69" s="450">
        <v>-0.004514656000000001</v>
      </c>
      <c r="S69" s="450">
        <v>0.0</v>
      </c>
      <c r="T69" s="450">
        <v>-3.3196E-5</v>
      </c>
      <c r="U69" s="450">
        <v>0.0</v>
      </c>
      <c r="V69" s="450">
        <v>0.0</v>
      </c>
      <c r="W69" s="450">
        <v>0.0</v>
      </c>
      <c r="X69" s="450">
        <v>0.0</v>
      </c>
      <c r="Y69" s="450">
        <v>0.0</v>
      </c>
      <c r="Z69" s="220"/>
    </row>
    <row r="70" ht="15.75" customHeight="1">
      <c r="A70" s="220"/>
      <c r="B70" s="445" t="s">
        <v>366</v>
      </c>
      <c r="C70" s="447">
        <v>81.2514</v>
      </c>
      <c r="D70" s="447">
        <v>0.6546</v>
      </c>
      <c r="E70" s="447">
        <v>0.9781</v>
      </c>
      <c r="F70" s="447">
        <v>0.4341</v>
      </c>
      <c r="G70" s="447">
        <v>0.3207</v>
      </c>
      <c r="H70" s="447">
        <v>0.3304</v>
      </c>
      <c r="I70" s="447">
        <v>0.3293</v>
      </c>
      <c r="J70" s="447">
        <v>0.0</v>
      </c>
      <c r="K70" s="447">
        <v>0.0</v>
      </c>
      <c r="L70" s="447">
        <v>0.0</v>
      </c>
      <c r="M70" s="447">
        <v>50.7444</v>
      </c>
      <c r="N70" s="448"/>
      <c r="O70" s="454">
        <v>0.0</v>
      </c>
      <c r="P70" s="450">
        <v>0.0</v>
      </c>
      <c r="Q70" s="450">
        <v>0.0</v>
      </c>
      <c r="R70" s="450">
        <v>0.0</v>
      </c>
      <c r="S70" s="450">
        <v>0.0</v>
      </c>
      <c r="T70" s="450">
        <v>0.0</v>
      </c>
      <c r="U70" s="450">
        <v>0.0</v>
      </c>
      <c r="V70" s="450">
        <v>0.0</v>
      </c>
      <c r="W70" s="450">
        <v>0.0</v>
      </c>
      <c r="X70" s="450">
        <v>0.0</v>
      </c>
      <c r="Y70" s="450">
        <v>0.0</v>
      </c>
      <c r="Z70" s="220"/>
    </row>
    <row r="71" ht="15.75" customHeight="1">
      <c r="A71" s="220"/>
      <c r="B71" s="455" t="s">
        <v>367</v>
      </c>
      <c r="C71" s="452">
        <v>62.21503225806452</v>
      </c>
      <c r="D71" s="452">
        <v>1.0223</v>
      </c>
      <c r="E71" s="452">
        <v>0.6711</v>
      </c>
      <c r="F71" s="452">
        <v>0.109</v>
      </c>
      <c r="G71" s="452">
        <v>0.0</v>
      </c>
      <c r="H71" s="452">
        <v>0.0</v>
      </c>
      <c r="I71" s="452">
        <v>0.0</v>
      </c>
      <c r="J71" s="452">
        <v>7.878</v>
      </c>
      <c r="K71" s="452">
        <v>9.0688</v>
      </c>
      <c r="L71" s="452">
        <v>8.0734</v>
      </c>
      <c r="M71" s="452">
        <v>89.4088</v>
      </c>
      <c r="N71" s="448"/>
      <c r="O71" s="453">
        <v>-34.218267741935485</v>
      </c>
      <c r="P71" s="450">
        <v>0.0</v>
      </c>
      <c r="Q71" s="450">
        <v>0.0</v>
      </c>
      <c r="R71" s="450">
        <v>0.0</v>
      </c>
      <c r="S71" s="450">
        <v>0.0</v>
      </c>
      <c r="T71" s="450">
        <v>0.0</v>
      </c>
      <c r="U71" s="450">
        <v>0.0</v>
      </c>
      <c r="V71" s="450">
        <v>0.0</v>
      </c>
      <c r="W71" s="450">
        <v>0.0</v>
      </c>
      <c r="X71" s="450">
        <v>0.0</v>
      </c>
      <c r="Y71" s="450">
        <v>0.0</v>
      </c>
      <c r="Z71" s="220"/>
    </row>
    <row r="72" ht="15.75" customHeight="1">
      <c r="A72" s="220"/>
      <c r="B72" s="455" t="s">
        <v>368</v>
      </c>
      <c r="C72" s="447">
        <v>86.857</v>
      </c>
      <c r="D72" s="447">
        <v>0.7121</v>
      </c>
      <c r="E72" s="447">
        <v>4.0E-4</v>
      </c>
      <c r="F72" s="447">
        <v>0.0086</v>
      </c>
      <c r="G72" s="447">
        <v>1.186</v>
      </c>
      <c r="H72" s="447">
        <v>0.659</v>
      </c>
      <c r="I72" s="447">
        <v>1.0E-4</v>
      </c>
      <c r="J72" s="447">
        <v>0.0</v>
      </c>
      <c r="K72" s="447">
        <v>6.0E-4</v>
      </c>
      <c r="L72" s="447">
        <v>1.0E-4</v>
      </c>
      <c r="M72" s="447">
        <v>35.852</v>
      </c>
      <c r="N72" s="448"/>
      <c r="O72" s="454">
        <v>0.0</v>
      </c>
      <c r="P72" s="450">
        <v>0.0</v>
      </c>
      <c r="Q72" s="450">
        <v>0.0</v>
      </c>
      <c r="R72" s="450">
        <v>0.0</v>
      </c>
      <c r="S72" s="450">
        <v>0.0</v>
      </c>
      <c r="T72" s="450">
        <v>0.0</v>
      </c>
      <c r="U72" s="450">
        <v>0.0</v>
      </c>
      <c r="V72" s="450">
        <v>0.0</v>
      </c>
      <c r="W72" s="450">
        <v>0.0</v>
      </c>
      <c r="X72" s="450">
        <v>0.0</v>
      </c>
      <c r="Y72" s="450">
        <v>0.0</v>
      </c>
      <c r="Z72" s="220"/>
    </row>
    <row r="73" ht="15.75" customHeight="1">
      <c r="A73" s="220"/>
      <c r="B73" s="445" t="s">
        <v>49</v>
      </c>
      <c r="C73" s="447">
        <v>0.0</v>
      </c>
      <c r="D73" s="447">
        <v>0.7598</v>
      </c>
      <c r="E73" s="447">
        <v>0.0</v>
      </c>
      <c r="F73" s="447">
        <v>0.0</v>
      </c>
      <c r="G73" s="447">
        <v>0.7122</v>
      </c>
      <c r="H73" s="447">
        <v>0.7108</v>
      </c>
      <c r="I73" s="447">
        <v>0.7554</v>
      </c>
      <c r="J73" s="447">
        <v>0.0</v>
      </c>
      <c r="K73" s="447">
        <v>0.0</v>
      </c>
      <c r="L73" s="447">
        <v>0.0</v>
      </c>
      <c r="M73" s="447">
        <v>129.6642</v>
      </c>
      <c r="N73" s="448"/>
      <c r="O73" s="454">
        <v>0.0</v>
      </c>
      <c r="P73" s="450">
        <v>0.0</v>
      </c>
      <c r="Q73" s="450">
        <v>0.0</v>
      </c>
      <c r="R73" s="450">
        <v>0.0</v>
      </c>
      <c r="S73" s="450">
        <v>0.0</v>
      </c>
      <c r="T73" s="450">
        <v>0.0</v>
      </c>
      <c r="U73" s="450">
        <v>0.0</v>
      </c>
      <c r="V73" s="450">
        <v>0.0</v>
      </c>
      <c r="W73" s="450">
        <v>0.0</v>
      </c>
      <c r="X73" s="450">
        <v>0.0</v>
      </c>
      <c r="Y73" s="450">
        <v>0.0</v>
      </c>
      <c r="Z73" s="220"/>
    </row>
    <row r="74" ht="15.75" customHeight="1">
      <c r="A74" s="220"/>
      <c r="B74" s="451" t="s">
        <v>44</v>
      </c>
      <c r="C74" s="452">
        <v>22.059033711100128</v>
      </c>
      <c r="D74" s="452">
        <v>0.47595630154961316</v>
      </c>
      <c r="E74" s="452">
        <v>0.7332238084303873</v>
      </c>
      <c r="F74" s="452">
        <v>0.2108132587439174</v>
      </c>
      <c r="G74" s="452">
        <v>1.091161209307986</v>
      </c>
      <c r="H74" s="452">
        <v>0.8877669336817485</v>
      </c>
      <c r="I74" s="452">
        <v>0.7403003769426357</v>
      </c>
      <c r="J74" s="452">
        <v>0.0</v>
      </c>
      <c r="K74" s="452">
        <v>2.5221118454057083</v>
      </c>
      <c r="L74" s="452">
        <v>5.412775944457388</v>
      </c>
      <c r="M74" s="452">
        <v>83.31460972053534</v>
      </c>
      <c r="N74" s="448"/>
      <c r="O74" s="456">
        <v>2.7324337111001284</v>
      </c>
      <c r="P74" s="450">
        <v>0.05895630154961318</v>
      </c>
      <c r="Q74" s="450">
        <v>0.09082380843038729</v>
      </c>
      <c r="R74" s="450">
        <v>0.0261132587439174</v>
      </c>
      <c r="S74" s="450">
        <v>0.13516120930798614</v>
      </c>
      <c r="T74" s="450">
        <v>0.10996693368174848</v>
      </c>
      <c r="U74" s="450">
        <v>0.09170037694263578</v>
      </c>
      <c r="V74" s="450">
        <v>0.0</v>
      </c>
      <c r="W74" s="450">
        <v>0.3124118454057081</v>
      </c>
      <c r="X74" s="450">
        <v>0.6704759444573876</v>
      </c>
      <c r="Y74" s="450">
        <v>10.320109720535342</v>
      </c>
      <c r="Z74" s="220"/>
    </row>
    <row r="75" ht="15.75" customHeight="1">
      <c r="A75" s="220"/>
      <c r="B75" s="451" t="s">
        <v>369</v>
      </c>
      <c r="C75" s="452">
        <v>8.672632422984464</v>
      </c>
      <c r="D75" s="452">
        <v>0.009975784964081899</v>
      </c>
      <c r="E75" s="452">
        <v>0.0</v>
      </c>
      <c r="F75" s="452">
        <v>0.0030752419814087063</v>
      </c>
      <c r="G75" s="452">
        <v>0.23731867388236944</v>
      </c>
      <c r="H75" s="452">
        <v>0.43428417249649776</v>
      </c>
      <c r="I75" s="452">
        <v>0.0028502242754519713</v>
      </c>
      <c r="J75" s="452">
        <v>6.045400694135617</v>
      </c>
      <c r="K75" s="452">
        <v>5.846785065677806</v>
      </c>
      <c r="L75" s="452">
        <v>7.122785470256462</v>
      </c>
      <c r="M75" s="452">
        <v>20.736881721952802</v>
      </c>
      <c r="N75" s="448"/>
      <c r="O75" s="453">
        <v>-2.889967577015536</v>
      </c>
      <c r="P75" s="450">
        <v>-0.0033242150359181002</v>
      </c>
      <c r="Q75" s="450">
        <v>0.0</v>
      </c>
      <c r="R75" s="450">
        <v>-0.001024758018591294</v>
      </c>
      <c r="S75" s="450">
        <v>-0.07908132611763058</v>
      </c>
      <c r="T75" s="450">
        <v>-0.1447158275035022</v>
      </c>
      <c r="U75" s="450">
        <v>-9.497757245480287E-4</v>
      </c>
      <c r="V75" s="450">
        <v>-2.0144993058643834</v>
      </c>
      <c r="W75" s="450">
        <v>-1.9483149343221937</v>
      </c>
      <c r="X75" s="450">
        <v>-2.373514529743538</v>
      </c>
      <c r="Y75" s="450">
        <v>-6.910118278047197</v>
      </c>
      <c r="Z75" s="220"/>
    </row>
    <row r="76" ht="15.75" customHeight="1">
      <c r="A76" s="220"/>
      <c r="B76" s="451" t="s">
        <v>43</v>
      </c>
      <c r="C76" s="452">
        <v>8.980048884466107</v>
      </c>
      <c r="D76" s="452">
        <v>0.10122610166351975</v>
      </c>
      <c r="E76" s="452">
        <v>0.06281619747499052</v>
      </c>
      <c r="F76" s="452">
        <v>0.007068489312472394</v>
      </c>
      <c r="G76" s="452">
        <v>0.02920753131002744</v>
      </c>
      <c r="H76" s="452">
        <v>0.03147478259893368</v>
      </c>
      <c r="I76" s="452">
        <v>0.03694285923688402</v>
      </c>
      <c r="J76" s="452">
        <v>0.0</v>
      </c>
      <c r="K76" s="452">
        <v>0.0</v>
      </c>
      <c r="L76" s="452">
        <v>0.0</v>
      </c>
      <c r="M76" s="452">
        <v>13.380783636233119</v>
      </c>
      <c r="N76" s="448"/>
      <c r="O76" s="456">
        <v>2.2467488844661077</v>
      </c>
      <c r="P76" s="450">
        <v>0.025326101663519757</v>
      </c>
      <c r="Q76" s="450">
        <v>0.01571619747499052</v>
      </c>
      <c r="R76" s="450">
        <v>0.0017684893124723941</v>
      </c>
      <c r="S76" s="450">
        <v>0.00730753131002744</v>
      </c>
      <c r="T76" s="450">
        <v>0.00787478259893368</v>
      </c>
      <c r="U76" s="450">
        <v>0.009242859236884022</v>
      </c>
      <c r="V76" s="450">
        <v>0.0</v>
      </c>
      <c r="W76" s="450">
        <v>0.0</v>
      </c>
      <c r="X76" s="450">
        <v>0.0</v>
      </c>
      <c r="Y76" s="450">
        <v>3.3477836362331193</v>
      </c>
      <c r="Z76" s="220"/>
    </row>
    <row r="77" ht="15.75" customHeight="1">
      <c r="A77" s="220"/>
      <c r="B77" s="451" t="s">
        <v>50</v>
      </c>
      <c r="C77" s="452">
        <v>49.25067353023427</v>
      </c>
      <c r="D77" s="452">
        <v>0.29956824842903085</v>
      </c>
      <c r="E77" s="452">
        <v>0.3401462060450161</v>
      </c>
      <c r="F77" s="452">
        <v>0.3212491945980708</v>
      </c>
      <c r="G77" s="452">
        <v>0.04116848922370235</v>
      </c>
      <c r="H77" s="452">
        <v>0.0985344168305007</v>
      </c>
      <c r="I77" s="452">
        <v>0.20128691657326597</v>
      </c>
      <c r="J77" s="452">
        <v>0.0</v>
      </c>
      <c r="K77" s="452">
        <v>0.0</v>
      </c>
      <c r="L77" s="452">
        <v>0.0</v>
      </c>
      <c r="M77" s="452">
        <v>0.787853526352779</v>
      </c>
      <c r="N77" s="448"/>
      <c r="O77" s="453">
        <v>-9.129726469765728</v>
      </c>
      <c r="P77" s="450">
        <v>-0.05553175157096918</v>
      </c>
      <c r="Q77" s="450">
        <v>-0.0630537939549839</v>
      </c>
      <c r="R77" s="450">
        <v>-0.05955080540192925</v>
      </c>
      <c r="S77" s="450">
        <v>-0.007631510776297652</v>
      </c>
      <c r="T77" s="450">
        <v>-0.018265583169499305</v>
      </c>
      <c r="U77" s="450">
        <v>-0.037313083426734034</v>
      </c>
      <c r="V77" s="450">
        <v>0.0</v>
      </c>
      <c r="W77" s="450">
        <v>0.0</v>
      </c>
      <c r="X77" s="450">
        <v>0.0</v>
      </c>
      <c r="Y77" s="450">
        <v>-0.1460464736472209</v>
      </c>
      <c r="Z77" s="220"/>
    </row>
    <row r="78" ht="15.75" customHeight="1">
      <c r="A78" s="220"/>
      <c r="B78" s="445" t="s">
        <v>370</v>
      </c>
      <c r="C78" s="447">
        <v>58.3426</v>
      </c>
      <c r="D78" s="447">
        <v>0.4679</v>
      </c>
      <c r="E78" s="447">
        <v>0.6107</v>
      </c>
      <c r="F78" s="447">
        <v>0.281</v>
      </c>
      <c r="G78" s="447">
        <v>1.0842</v>
      </c>
      <c r="H78" s="447">
        <v>1.0783</v>
      </c>
      <c r="I78" s="447">
        <v>1.1328</v>
      </c>
      <c r="J78" s="447">
        <v>0.3579</v>
      </c>
      <c r="K78" s="447">
        <v>0.1951</v>
      </c>
      <c r="L78" s="447">
        <v>0.1874</v>
      </c>
      <c r="M78" s="447">
        <v>5.8591</v>
      </c>
      <c r="N78" s="448"/>
      <c r="O78" s="454">
        <v>0.0</v>
      </c>
      <c r="P78" s="450">
        <v>0.0</v>
      </c>
      <c r="Q78" s="450">
        <v>0.0</v>
      </c>
      <c r="R78" s="450">
        <v>0.0</v>
      </c>
      <c r="S78" s="450">
        <v>0.0</v>
      </c>
      <c r="T78" s="450">
        <v>0.0</v>
      </c>
      <c r="U78" s="450">
        <v>0.0</v>
      </c>
      <c r="V78" s="450">
        <v>0.0</v>
      </c>
      <c r="W78" s="450">
        <v>0.0</v>
      </c>
      <c r="X78" s="450">
        <v>0.0</v>
      </c>
      <c r="Y78" s="450">
        <v>0.0</v>
      </c>
      <c r="Z78" s="220"/>
    </row>
    <row r="79" ht="15.75" customHeight="1">
      <c r="A79" s="220"/>
      <c r="B79" s="451" t="s">
        <v>35</v>
      </c>
      <c r="C79" s="452">
        <v>4.125579149754045</v>
      </c>
      <c r="D79" s="452">
        <v>0.0</v>
      </c>
      <c r="E79" s="452">
        <v>0.006904734978667858</v>
      </c>
      <c r="F79" s="452">
        <v>0.0</v>
      </c>
      <c r="G79" s="452">
        <v>0.08616827427459992</v>
      </c>
      <c r="H79" s="452">
        <v>0.1570474925250067</v>
      </c>
      <c r="I79" s="452">
        <v>0.0017614119843540454</v>
      </c>
      <c r="J79" s="452">
        <v>0.6145918695808136</v>
      </c>
      <c r="K79" s="452">
        <v>1.2595504817718908</v>
      </c>
      <c r="L79" s="452">
        <v>1.9633402542403933</v>
      </c>
      <c r="M79" s="452">
        <v>10.277768472226482</v>
      </c>
      <c r="N79" s="448"/>
      <c r="O79" s="453">
        <v>-1.7299208502459553</v>
      </c>
      <c r="P79" s="450">
        <v>0.0</v>
      </c>
      <c r="Q79" s="450">
        <v>-0.002895265021332142</v>
      </c>
      <c r="R79" s="450">
        <v>0.0</v>
      </c>
      <c r="S79" s="450">
        <v>-0.03613172572540009</v>
      </c>
      <c r="T79" s="450">
        <v>-0.0658525074749933</v>
      </c>
      <c r="U79" s="450">
        <v>-7.385880156459547E-4</v>
      </c>
      <c r="V79" s="450">
        <v>-0.2577081304191864</v>
      </c>
      <c r="W79" s="450">
        <v>-0.5281495182281093</v>
      </c>
      <c r="X79" s="450">
        <v>-0.8232597457596067</v>
      </c>
      <c r="Y79" s="450">
        <v>-4.309631527773519</v>
      </c>
      <c r="Z79" s="220"/>
    </row>
    <row r="80" ht="15.75" customHeight="1">
      <c r="A80" s="220"/>
      <c r="B80" s="451" t="s">
        <v>310</v>
      </c>
      <c r="C80" s="452">
        <v>28.964942646084065</v>
      </c>
      <c r="D80" s="452">
        <v>0.26890278565686726</v>
      </c>
      <c r="E80" s="452">
        <v>0.3926613383027102</v>
      </c>
      <c r="F80" s="452">
        <v>0.08617543389756546</v>
      </c>
      <c r="G80" s="452">
        <v>1.2654248736793753E-4</v>
      </c>
      <c r="H80" s="452">
        <v>0.0</v>
      </c>
      <c r="I80" s="452">
        <v>0.0</v>
      </c>
      <c r="J80" s="452">
        <v>0.0</v>
      </c>
      <c r="K80" s="452">
        <v>0.0</v>
      </c>
      <c r="L80" s="452">
        <v>0.0</v>
      </c>
      <c r="M80" s="452">
        <v>0.0</v>
      </c>
      <c r="N80" s="448"/>
      <c r="O80" s="456">
        <v>6.075442646084063</v>
      </c>
      <c r="P80" s="450">
        <v>0.056402785656867266</v>
      </c>
      <c r="Q80" s="450">
        <v>0.0823613383027102</v>
      </c>
      <c r="R80" s="450">
        <v>0.018075433897565468</v>
      </c>
      <c r="S80" s="450">
        <v>2.654248736793753E-5</v>
      </c>
      <c r="T80" s="450">
        <v>0.0</v>
      </c>
      <c r="U80" s="450">
        <v>0.0</v>
      </c>
      <c r="V80" s="450">
        <v>0.0</v>
      </c>
      <c r="W80" s="450">
        <v>0.0</v>
      </c>
      <c r="X80" s="450">
        <v>0.0</v>
      </c>
      <c r="Y80" s="450">
        <v>0.0</v>
      </c>
      <c r="Z80" s="220"/>
    </row>
    <row r="81" ht="15.75" customHeight="1">
      <c r="A81" s="220"/>
      <c r="B81" s="451" t="s">
        <v>134</v>
      </c>
      <c r="C81" s="452">
        <v>0.0</v>
      </c>
      <c r="D81" s="452">
        <v>0.0</v>
      </c>
      <c r="E81" s="452">
        <v>0.0</v>
      </c>
      <c r="F81" s="452">
        <v>0.0</v>
      </c>
      <c r="G81" s="452">
        <v>0.0</v>
      </c>
      <c r="H81" s="452">
        <v>0.0</v>
      </c>
      <c r="I81" s="452">
        <v>0.0</v>
      </c>
      <c r="J81" s="452">
        <v>0.0</v>
      </c>
      <c r="K81" s="452">
        <v>0.0</v>
      </c>
      <c r="L81" s="452">
        <v>0.0</v>
      </c>
      <c r="M81" s="452">
        <v>0.0</v>
      </c>
      <c r="N81" s="448"/>
      <c r="O81" s="453">
        <v>-21.5114</v>
      </c>
      <c r="P81" s="450">
        <v>-0.1589</v>
      </c>
      <c r="Q81" s="450">
        <v>-0.3883</v>
      </c>
      <c r="R81" s="450">
        <v>-0.4016</v>
      </c>
      <c r="S81" s="450">
        <v>-0.2136</v>
      </c>
      <c r="T81" s="450">
        <v>-0.1433</v>
      </c>
      <c r="U81" s="450">
        <v>-0.1415</v>
      </c>
      <c r="V81" s="450">
        <v>-7.4972</v>
      </c>
      <c r="W81" s="450">
        <v>-4.4294</v>
      </c>
      <c r="X81" s="450">
        <v>-3.7494</v>
      </c>
      <c r="Y81" s="450">
        <v>-1.6338</v>
      </c>
      <c r="Z81" s="220"/>
    </row>
    <row r="82" ht="15.75" customHeight="1">
      <c r="A82" s="220"/>
      <c r="B82" s="455" t="s">
        <v>371</v>
      </c>
      <c r="C82" s="452">
        <v>159.14247999999998</v>
      </c>
      <c r="D82" s="452">
        <v>2.2637</v>
      </c>
      <c r="E82" s="452">
        <v>2.9709</v>
      </c>
      <c r="F82" s="452">
        <v>2.4703</v>
      </c>
      <c r="G82" s="452">
        <v>5.0274</v>
      </c>
      <c r="H82" s="452">
        <v>6.681466666666667</v>
      </c>
      <c r="I82" s="452">
        <v>3.01</v>
      </c>
      <c r="J82" s="452">
        <v>0.0</v>
      </c>
      <c r="K82" s="452">
        <v>0.0</v>
      </c>
      <c r="L82" s="452">
        <v>2.0E-4</v>
      </c>
      <c r="M82" s="452">
        <v>284.4803</v>
      </c>
      <c r="N82" s="448"/>
      <c r="O82" s="453">
        <v>-39.78562000000002</v>
      </c>
      <c r="P82" s="450">
        <v>0.0</v>
      </c>
      <c r="Q82" s="450">
        <v>0.0</v>
      </c>
      <c r="R82" s="450">
        <v>0.0</v>
      </c>
      <c r="S82" s="450">
        <v>0.0</v>
      </c>
      <c r="T82" s="450">
        <v>1.6703666666666672</v>
      </c>
      <c r="U82" s="450">
        <v>0.0</v>
      </c>
      <c r="V82" s="450">
        <v>0.0</v>
      </c>
      <c r="W82" s="450">
        <v>0.0</v>
      </c>
      <c r="X82" s="450">
        <v>0.0</v>
      </c>
      <c r="Y82" s="450">
        <v>0.0</v>
      </c>
      <c r="Z82" s="220"/>
    </row>
    <row r="83" ht="15.75" customHeight="1">
      <c r="A83" s="220"/>
      <c r="B83" s="445" t="s">
        <v>372</v>
      </c>
      <c r="C83" s="447">
        <v>49.0219</v>
      </c>
      <c r="D83" s="447">
        <v>0.3513</v>
      </c>
      <c r="E83" s="447">
        <v>0.739</v>
      </c>
      <c r="F83" s="447">
        <v>0.0</v>
      </c>
      <c r="G83" s="447">
        <v>1.6428</v>
      </c>
      <c r="H83" s="447">
        <v>2.023</v>
      </c>
      <c r="I83" s="447">
        <v>0.677</v>
      </c>
      <c r="J83" s="447">
        <v>0.0415</v>
      </c>
      <c r="K83" s="447">
        <v>10.5275</v>
      </c>
      <c r="L83" s="447">
        <v>16.5284</v>
      </c>
      <c r="M83" s="447">
        <v>67.909</v>
      </c>
      <c r="N83" s="448"/>
      <c r="O83" s="454">
        <v>0.0</v>
      </c>
      <c r="P83" s="450">
        <v>0.0</v>
      </c>
      <c r="Q83" s="450">
        <v>0.0</v>
      </c>
      <c r="R83" s="450">
        <v>0.0</v>
      </c>
      <c r="S83" s="450">
        <v>0.0</v>
      </c>
      <c r="T83" s="450">
        <v>0.0</v>
      </c>
      <c r="U83" s="450">
        <v>0.0</v>
      </c>
      <c r="V83" s="450">
        <v>0.0</v>
      </c>
      <c r="W83" s="450">
        <v>0.0</v>
      </c>
      <c r="X83" s="450">
        <v>0.0</v>
      </c>
      <c r="Y83" s="450">
        <v>0.0</v>
      </c>
      <c r="Z83" s="220"/>
    </row>
    <row r="84" ht="15.75" customHeight="1">
      <c r="A84" s="220"/>
      <c r="B84" s="451" t="s">
        <v>32</v>
      </c>
      <c r="C84" s="452">
        <v>9.71971682630221</v>
      </c>
      <c r="D84" s="452">
        <v>0.0</v>
      </c>
      <c r="E84" s="452">
        <v>0.25685744045470493</v>
      </c>
      <c r="F84" s="452">
        <v>0.1154437485141711</v>
      </c>
      <c r="G84" s="452">
        <v>7.839982921166119E-4</v>
      </c>
      <c r="H84" s="452">
        <v>3.9199914605830594E-4</v>
      </c>
      <c r="I84" s="452">
        <v>3.9199914605830594E-4</v>
      </c>
      <c r="J84" s="452">
        <v>0.0</v>
      </c>
      <c r="K84" s="452">
        <v>0.0</v>
      </c>
      <c r="L84" s="452">
        <v>0.0</v>
      </c>
      <c r="M84" s="452">
        <v>24.776502026188254</v>
      </c>
      <c r="N84" s="448"/>
      <c r="O84" s="453">
        <v>-10.116483173697791</v>
      </c>
      <c r="P84" s="450">
        <v>-0.1699</v>
      </c>
      <c r="Q84" s="450">
        <v>-0.005242559545295067</v>
      </c>
      <c r="R84" s="450">
        <v>0.05654374851417109</v>
      </c>
      <c r="S84" s="450">
        <v>3.8399829211661186E-4</v>
      </c>
      <c r="T84" s="450">
        <v>1.9199914605830593E-4</v>
      </c>
      <c r="U84" s="450">
        <v>1.9199914605830593E-4</v>
      </c>
      <c r="V84" s="450">
        <v>0.0</v>
      </c>
      <c r="W84" s="450">
        <v>0.0</v>
      </c>
      <c r="X84" s="450">
        <v>0.0</v>
      </c>
      <c r="Y84" s="450">
        <v>12.135402026188254</v>
      </c>
      <c r="Z84" s="220"/>
    </row>
    <row r="85" ht="15.75" customHeight="1">
      <c r="A85" s="220"/>
      <c r="B85" s="445" t="s">
        <v>40</v>
      </c>
      <c r="C85" s="447">
        <v>33.9636</v>
      </c>
      <c r="D85" s="447">
        <v>0.5219</v>
      </c>
      <c r="E85" s="447">
        <v>0.2251</v>
      </c>
      <c r="F85" s="447">
        <v>0.0989</v>
      </c>
      <c r="G85" s="447">
        <v>0.0</v>
      </c>
      <c r="H85" s="447">
        <v>0.0</v>
      </c>
      <c r="I85" s="447">
        <v>0.0</v>
      </c>
      <c r="J85" s="447">
        <v>0.0</v>
      </c>
      <c r="K85" s="447">
        <v>2.0E-4</v>
      </c>
      <c r="L85" s="447">
        <v>2.0E-4</v>
      </c>
      <c r="M85" s="447">
        <v>0.0</v>
      </c>
      <c r="N85" s="448"/>
      <c r="O85" s="454">
        <v>0.0</v>
      </c>
      <c r="P85" s="450">
        <v>0.0</v>
      </c>
      <c r="Q85" s="450">
        <v>0.0</v>
      </c>
      <c r="R85" s="450">
        <v>0.0</v>
      </c>
      <c r="S85" s="450">
        <v>0.0</v>
      </c>
      <c r="T85" s="450">
        <v>0.0</v>
      </c>
      <c r="U85" s="450">
        <v>0.0</v>
      </c>
      <c r="V85" s="450">
        <v>0.0</v>
      </c>
      <c r="W85" s="450">
        <v>0.0</v>
      </c>
      <c r="X85" s="450">
        <v>0.0</v>
      </c>
      <c r="Y85" s="450">
        <v>0.0</v>
      </c>
      <c r="Z85" s="220"/>
    </row>
    <row r="86" ht="15.75" customHeight="1">
      <c r="A86" s="220"/>
      <c r="B86" s="445" t="s">
        <v>42</v>
      </c>
      <c r="C86" s="447">
        <v>52.8229</v>
      </c>
      <c r="D86" s="447">
        <v>0.3441</v>
      </c>
      <c r="E86" s="447">
        <v>0.5035</v>
      </c>
      <c r="F86" s="447">
        <v>0.8926</v>
      </c>
      <c r="G86" s="447">
        <v>0.0562</v>
      </c>
      <c r="H86" s="447">
        <v>0.1112</v>
      </c>
      <c r="I86" s="447">
        <v>0.3715</v>
      </c>
      <c r="J86" s="447">
        <v>0.0016</v>
      </c>
      <c r="K86" s="447">
        <v>2.0E-4</v>
      </c>
      <c r="L86" s="447">
        <v>4.0E-4</v>
      </c>
      <c r="M86" s="447">
        <v>8.0E-4</v>
      </c>
      <c r="N86" s="448"/>
      <c r="O86" s="454">
        <v>0.0</v>
      </c>
      <c r="P86" s="450">
        <v>0.0</v>
      </c>
      <c r="Q86" s="450">
        <v>0.0</v>
      </c>
      <c r="R86" s="450">
        <v>0.0</v>
      </c>
      <c r="S86" s="450">
        <v>0.0</v>
      </c>
      <c r="T86" s="450">
        <v>0.0</v>
      </c>
      <c r="U86" s="450">
        <v>0.0</v>
      </c>
      <c r="V86" s="450">
        <v>0.0</v>
      </c>
      <c r="W86" s="450">
        <v>0.0</v>
      </c>
      <c r="X86" s="450">
        <v>0.0</v>
      </c>
      <c r="Y86" s="450">
        <v>0.0</v>
      </c>
      <c r="Z86" s="220"/>
    </row>
    <row r="87" ht="15.75" customHeight="1">
      <c r="A87" s="220"/>
      <c r="B87" s="451" t="s">
        <v>46</v>
      </c>
      <c r="C87" s="452">
        <v>0.0</v>
      </c>
      <c r="D87" s="452">
        <v>0.0</v>
      </c>
      <c r="E87" s="452">
        <v>0.0</v>
      </c>
      <c r="F87" s="452">
        <v>0.0</v>
      </c>
      <c r="G87" s="452">
        <v>0.0</v>
      </c>
      <c r="H87" s="452">
        <v>0.0</v>
      </c>
      <c r="I87" s="452">
        <v>0.0</v>
      </c>
      <c r="J87" s="452">
        <v>3.9443348218921995E-4</v>
      </c>
      <c r="K87" s="452">
        <v>0.0</v>
      </c>
      <c r="L87" s="452">
        <v>0.0</v>
      </c>
      <c r="M87" s="452">
        <v>0.0</v>
      </c>
      <c r="N87" s="448"/>
      <c r="O87" s="454">
        <v>0.0</v>
      </c>
      <c r="P87" s="450">
        <v>0.0</v>
      </c>
      <c r="Q87" s="450">
        <v>0.0</v>
      </c>
      <c r="R87" s="450">
        <v>0.0</v>
      </c>
      <c r="S87" s="450">
        <v>0.0</v>
      </c>
      <c r="T87" s="450">
        <v>0.0</v>
      </c>
      <c r="U87" s="450">
        <v>0.0</v>
      </c>
      <c r="V87" s="450">
        <v>-5.566517810780074E-6</v>
      </c>
      <c r="W87" s="450">
        <v>0.0</v>
      </c>
      <c r="X87" s="450">
        <v>0.0</v>
      </c>
      <c r="Y87" s="450">
        <v>0.0</v>
      </c>
      <c r="Z87" s="220"/>
    </row>
    <row r="88" ht="15.75" customHeight="1">
      <c r="A88" s="220"/>
      <c r="B88" s="445" t="s">
        <v>373</v>
      </c>
      <c r="C88" s="447">
        <v>0.0</v>
      </c>
      <c r="D88" s="447">
        <v>0.0</v>
      </c>
      <c r="E88" s="447">
        <v>0.0</v>
      </c>
      <c r="F88" s="447">
        <v>2.0E-4</v>
      </c>
      <c r="G88" s="447">
        <v>0.0</v>
      </c>
      <c r="H88" s="447">
        <v>2.0E-4</v>
      </c>
      <c r="I88" s="447">
        <v>2.0E-4</v>
      </c>
      <c r="J88" s="447">
        <v>0.0</v>
      </c>
      <c r="K88" s="447">
        <v>0.0</v>
      </c>
      <c r="L88" s="447">
        <v>0.001</v>
      </c>
      <c r="M88" s="447">
        <v>0.0012</v>
      </c>
      <c r="N88" s="448"/>
      <c r="O88" s="454">
        <v>0.0</v>
      </c>
      <c r="P88" s="450">
        <v>0.0</v>
      </c>
      <c r="Q88" s="450">
        <v>0.0</v>
      </c>
      <c r="R88" s="450">
        <v>0.0</v>
      </c>
      <c r="S88" s="450">
        <v>0.0</v>
      </c>
      <c r="T88" s="450">
        <v>0.0</v>
      </c>
      <c r="U88" s="450">
        <v>0.0</v>
      </c>
      <c r="V88" s="450">
        <v>0.0</v>
      </c>
      <c r="W88" s="450">
        <v>0.0</v>
      </c>
      <c r="X88" s="450">
        <v>0.0</v>
      </c>
      <c r="Y88" s="450">
        <v>0.0</v>
      </c>
      <c r="Z88" s="220"/>
    </row>
    <row r="89" ht="15.75" customHeight="1">
      <c r="A89" s="220"/>
      <c r="B89" s="451" t="s">
        <v>54</v>
      </c>
      <c r="C89" s="452">
        <v>132.50795216202755</v>
      </c>
      <c r="D89" s="452">
        <v>13.077442008243702</v>
      </c>
      <c r="E89" s="452">
        <v>4.590825491835526</v>
      </c>
      <c r="F89" s="452">
        <v>4.581646799762174</v>
      </c>
      <c r="G89" s="452">
        <v>12.969181399466997</v>
      </c>
      <c r="H89" s="452">
        <v>12.530930290979562</v>
      </c>
      <c r="I89" s="452">
        <v>5.227625450261046</v>
      </c>
      <c r="J89" s="452">
        <v>0.0</v>
      </c>
      <c r="K89" s="452">
        <v>0.0</v>
      </c>
      <c r="L89" s="452">
        <v>25.840868422773898</v>
      </c>
      <c r="M89" s="452">
        <v>173.5611944434619</v>
      </c>
      <c r="N89" s="448"/>
      <c r="O89" s="456">
        <v>132.50795216202755</v>
      </c>
      <c r="P89" s="450">
        <v>13.077442008243702</v>
      </c>
      <c r="Q89" s="450">
        <v>4.590825491835526</v>
      </c>
      <c r="R89" s="450">
        <v>4.581646799762174</v>
      </c>
      <c r="S89" s="450">
        <v>12.969181399466997</v>
      </c>
      <c r="T89" s="450">
        <v>12.530930290979562</v>
      </c>
      <c r="U89" s="450">
        <v>5.227625450261046</v>
      </c>
      <c r="V89" s="450">
        <v>0.0</v>
      </c>
      <c r="W89" s="450">
        <v>0.0</v>
      </c>
      <c r="X89" s="450">
        <v>25.840868422773898</v>
      </c>
      <c r="Y89" s="450">
        <v>173.5611944434619</v>
      </c>
      <c r="Z89" s="220"/>
    </row>
    <row r="90" ht="15.75" customHeight="1">
      <c r="A90" s="220"/>
      <c r="B90" s="445" t="s">
        <v>374</v>
      </c>
      <c r="C90" s="447">
        <v>0.0</v>
      </c>
      <c r="D90" s="447">
        <v>0.0</v>
      </c>
      <c r="E90" s="447">
        <v>0.0</v>
      </c>
      <c r="F90" s="447">
        <v>0.0</v>
      </c>
      <c r="G90" s="447">
        <v>0.0</v>
      </c>
      <c r="H90" s="447">
        <v>0.0</v>
      </c>
      <c r="I90" s="447">
        <v>0.0</v>
      </c>
      <c r="J90" s="447">
        <v>0.0</v>
      </c>
      <c r="K90" s="447">
        <v>0.0</v>
      </c>
      <c r="L90" s="447">
        <v>0.0</v>
      </c>
      <c r="M90" s="447">
        <v>0.0</v>
      </c>
      <c r="N90" s="448"/>
      <c r="O90" s="454">
        <v>0.0</v>
      </c>
      <c r="P90" s="450">
        <v>0.0</v>
      </c>
      <c r="Q90" s="450">
        <v>0.0</v>
      </c>
      <c r="R90" s="450">
        <v>0.0</v>
      </c>
      <c r="S90" s="450">
        <v>0.0</v>
      </c>
      <c r="T90" s="450">
        <v>0.0</v>
      </c>
      <c r="U90" s="450">
        <v>0.0</v>
      </c>
      <c r="V90" s="450">
        <v>0.0</v>
      </c>
      <c r="W90" s="450">
        <v>0.0</v>
      </c>
      <c r="X90" s="450">
        <v>0.0</v>
      </c>
      <c r="Y90" s="450">
        <v>0.0</v>
      </c>
      <c r="Z90" s="220"/>
    </row>
    <row r="91" ht="15.75" customHeight="1">
      <c r="A91" s="220"/>
      <c r="B91" s="220"/>
      <c r="C91" s="448"/>
      <c r="D91" s="448"/>
      <c r="E91" s="448"/>
      <c r="F91" s="448"/>
      <c r="G91" s="448"/>
      <c r="H91" s="448"/>
      <c r="I91" s="448"/>
      <c r="J91" s="448"/>
      <c r="K91" s="448"/>
      <c r="L91" s="448"/>
      <c r="M91" s="448"/>
      <c r="N91" s="448"/>
      <c r="O91" s="448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</row>
    <row r="92" ht="15.75" customHeight="1">
      <c r="A92" s="220"/>
      <c r="B92" s="220"/>
      <c r="C92" s="448"/>
      <c r="D92" s="448"/>
      <c r="E92" s="448"/>
      <c r="F92" s="448"/>
      <c r="G92" s="448"/>
      <c r="H92" s="448"/>
      <c r="I92" s="448"/>
      <c r="J92" s="448"/>
      <c r="K92" s="448"/>
      <c r="L92" s="448"/>
      <c r="M92" s="448"/>
      <c r="N92" s="448"/>
      <c r="O92" s="448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</row>
    <row r="93" ht="15.75" customHeight="1">
      <c r="A93" s="220"/>
      <c r="B93" s="439" t="s">
        <v>59</v>
      </c>
      <c r="C93" s="457" t="s">
        <v>1880</v>
      </c>
      <c r="D93" s="458"/>
      <c r="E93" s="458"/>
      <c r="F93" s="458"/>
      <c r="G93" s="458"/>
      <c r="H93" s="458"/>
      <c r="I93" s="458"/>
      <c r="J93" s="458"/>
      <c r="K93" s="458"/>
      <c r="L93" s="458"/>
      <c r="M93" s="458"/>
      <c r="N93" s="448"/>
      <c r="O93" s="459" t="s">
        <v>1881</v>
      </c>
      <c r="P93" s="441"/>
      <c r="Q93" s="441"/>
      <c r="R93" s="441"/>
      <c r="S93" s="441"/>
      <c r="T93" s="441"/>
      <c r="U93" s="441"/>
      <c r="V93" s="441"/>
      <c r="W93" s="441"/>
      <c r="X93" s="441"/>
      <c r="Y93" s="441"/>
      <c r="Z93" s="220"/>
    </row>
    <row r="94" ht="60.75" customHeight="1">
      <c r="A94" s="220"/>
      <c r="B94" s="442" t="s">
        <v>391</v>
      </c>
      <c r="C94" s="460" t="s">
        <v>1872</v>
      </c>
      <c r="D94" s="460" t="s">
        <v>72</v>
      </c>
      <c r="E94" s="460" t="s">
        <v>73</v>
      </c>
      <c r="F94" s="460" t="s">
        <v>74</v>
      </c>
      <c r="G94" s="460" t="s">
        <v>69</v>
      </c>
      <c r="H94" s="460" t="s">
        <v>70</v>
      </c>
      <c r="I94" s="460" t="s">
        <v>71</v>
      </c>
      <c r="J94" s="460" t="s">
        <v>1873</v>
      </c>
      <c r="K94" s="460" t="s">
        <v>1874</v>
      </c>
      <c r="L94" s="460" t="s">
        <v>1875</v>
      </c>
      <c r="M94" s="460" t="s">
        <v>75</v>
      </c>
      <c r="N94" s="448"/>
      <c r="O94" s="461" t="s">
        <v>1872</v>
      </c>
      <c r="P94" s="444" t="s">
        <v>72</v>
      </c>
      <c r="Q94" s="444" t="s">
        <v>73</v>
      </c>
      <c r="R94" s="444" t="s">
        <v>74</v>
      </c>
      <c r="S94" s="444" t="s">
        <v>69</v>
      </c>
      <c r="T94" s="444" t="s">
        <v>70</v>
      </c>
      <c r="U94" s="444" t="s">
        <v>71</v>
      </c>
      <c r="V94" s="444" t="s">
        <v>1873</v>
      </c>
      <c r="W94" s="444" t="s">
        <v>1874</v>
      </c>
      <c r="X94" s="444" t="s">
        <v>1875</v>
      </c>
      <c r="Y94" s="444" t="s">
        <v>75</v>
      </c>
      <c r="Z94" s="220"/>
    </row>
    <row r="95" ht="15.75" customHeight="1">
      <c r="A95" s="220"/>
      <c r="B95" s="445" t="s">
        <v>365</v>
      </c>
      <c r="C95" s="446">
        <f>LET(payer, $C$3, segment, $B$93, ECOGAINS_SIM(payer, segment))</f>
        <v>29.3957</v>
      </c>
      <c r="D95" s="447">
        <v>0.6801</v>
      </c>
      <c r="E95" s="447">
        <v>0.6711</v>
      </c>
      <c r="F95" s="447">
        <v>0.325</v>
      </c>
      <c r="G95" s="447">
        <v>1.0E-4</v>
      </c>
      <c r="H95" s="447">
        <v>0.0</v>
      </c>
      <c r="I95" s="447">
        <v>0.0</v>
      </c>
      <c r="J95" s="447">
        <v>0.0</v>
      </c>
      <c r="K95" s="447">
        <v>0.0</v>
      </c>
      <c r="L95" s="447">
        <v>0.0</v>
      </c>
      <c r="M95" s="447">
        <v>9.8071</v>
      </c>
      <c r="N95" s="448"/>
      <c r="O95" s="449">
        <f>LET(payer, $C$3, segment, $B$93, ECOGAINS_DIFF(payer, segment))</f>
        <v>0</v>
      </c>
      <c r="P95" s="450">
        <v>0.0</v>
      </c>
      <c r="Q95" s="450">
        <v>0.0</v>
      </c>
      <c r="R95" s="450">
        <v>0.0</v>
      </c>
      <c r="S95" s="450">
        <v>0.0</v>
      </c>
      <c r="T95" s="450">
        <v>0.0</v>
      </c>
      <c r="U95" s="450">
        <v>0.0</v>
      </c>
      <c r="V95" s="450">
        <v>0.0</v>
      </c>
      <c r="W95" s="450">
        <v>0.0</v>
      </c>
      <c r="X95" s="450">
        <v>0.0</v>
      </c>
      <c r="Y95" s="450">
        <v>0.0</v>
      </c>
      <c r="Z95" s="220"/>
    </row>
    <row r="96" ht="15.75" customHeight="1">
      <c r="A96" s="220"/>
      <c r="B96" s="451" t="s">
        <v>312</v>
      </c>
      <c r="C96" s="452">
        <v>37.01599138868384</v>
      </c>
      <c r="D96" s="452">
        <v>0.1499690329286619</v>
      </c>
      <c r="E96" s="452">
        <v>0.2968670276403546</v>
      </c>
      <c r="F96" s="452">
        <v>0.12292683529590546</v>
      </c>
      <c r="G96" s="452">
        <v>8.530661713803294E-5</v>
      </c>
      <c r="H96" s="452">
        <v>0.0</v>
      </c>
      <c r="I96" s="452">
        <v>8.530661713803294E-5</v>
      </c>
      <c r="J96" s="452">
        <v>0.0</v>
      </c>
      <c r="K96" s="452">
        <v>0.0</v>
      </c>
      <c r="L96" s="452">
        <v>0.0</v>
      </c>
      <c r="M96" s="452">
        <v>0.0</v>
      </c>
      <c r="N96" s="448"/>
      <c r="O96" s="453">
        <v>-6.375708611316163</v>
      </c>
      <c r="P96" s="450">
        <v>-0.025830967071338112</v>
      </c>
      <c r="Q96" s="450">
        <v>-0.05113297235964537</v>
      </c>
      <c r="R96" s="450">
        <v>-0.02117316470409454</v>
      </c>
      <c r="S96" s="450">
        <v>-1.4693382861967068E-5</v>
      </c>
      <c r="T96" s="450">
        <v>0.0</v>
      </c>
      <c r="U96" s="450">
        <v>-1.4693382861967068E-5</v>
      </c>
      <c r="V96" s="450">
        <v>0.0</v>
      </c>
      <c r="W96" s="450">
        <v>0.0</v>
      </c>
      <c r="X96" s="450">
        <v>0.0</v>
      </c>
      <c r="Y96" s="450">
        <v>0.0</v>
      </c>
      <c r="Z96" s="220"/>
    </row>
    <row r="97" ht="15.75" customHeight="1">
      <c r="A97" s="220"/>
      <c r="B97" s="451" t="s">
        <v>189</v>
      </c>
      <c r="C97" s="452">
        <v>6.7893502767611995</v>
      </c>
      <c r="D97" s="452">
        <v>0.048644041059420245</v>
      </c>
      <c r="E97" s="452">
        <v>0.023799768555145793</v>
      </c>
      <c r="F97" s="452">
        <v>0.02738092495215833</v>
      </c>
      <c r="G97" s="452">
        <v>0.11907345020066674</v>
      </c>
      <c r="H97" s="452">
        <v>0.15495962159572985</v>
      </c>
      <c r="I97" s="452">
        <v>0.026858672977594</v>
      </c>
      <c r="J97" s="452">
        <v>4.125492169358439</v>
      </c>
      <c r="K97" s="452">
        <v>3.246765918441488</v>
      </c>
      <c r="L97" s="452">
        <v>3.3976221316656416</v>
      </c>
      <c r="M97" s="452">
        <v>12.599105064089594</v>
      </c>
      <c r="N97" s="448"/>
      <c r="O97" s="453">
        <v>-2.3107497232388</v>
      </c>
      <c r="P97" s="450">
        <v>-0.01655595894057975</v>
      </c>
      <c r="Q97" s="450">
        <v>-0.008100231444854205</v>
      </c>
      <c r="R97" s="450">
        <v>-0.009319075047841675</v>
      </c>
      <c r="S97" s="450">
        <v>-0.04052654979933325</v>
      </c>
      <c r="T97" s="450">
        <v>-0.05274037840427015</v>
      </c>
      <c r="U97" s="450">
        <v>-0.009141327022405998</v>
      </c>
      <c r="V97" s="450">
        <v>-1.4041078306415615</v>
      </c>
      <c r="W97" s="450">
        <v>-1.1050340815585118</v>
      </c>
      <c r="X97" s="450">
        <v>-1.1563778683343586</v>
      </c>
      <c r="Y97" s="450">
        <v>-4.288094935910406</v>
      </c>
      <c r="Z97" s="220"/>
    </row>
    <row r="98" ht="15.75" customHeight="1">
      <c r="A98" s="220"/>
      <c r="B98" s="451" t="s">
        <v>311</v>
      </c>
      <c r="C98" s="452">
        <v>8.156356152</v>
      </c>
      <c r="D98" s="452">
        <v>0.021735384</v>
      </c>
      <c r="E98" s="452">
        <v>0.05866509600000001</v>
      </c>
      <c r="F98" s="452">
        <v>0.027526944</v>
      </c>
      <c r="G98" s="452">
        <v>0.0</v>
      </c>
      <c r="H98" s="452">
        <v>0.0</v>
      </c>
      <c r="I98" s="452">
        <v>0.0</v>
      </c>
      <c r="J98" s="452">
        <v>0.0</v>
      </c>
      <c r="K98" s="452">
        <v>0.0</v>
      </c>
      <c r="L98" s="452">
        <v>0.0</v>
      </c>
      <c r="M98" s="452">
        <v>0.0</v>
      </c>
      <c r="N98" s="448"/>
      <c r="O98" s="453">
        <v>-3.814343848</v>
      </c>
      <c r="P98" s="450">
        <v>-0.010164615999999998</v>
      </c>
      <c r="Q98" s="450">
        <v>-0.02743490399999999</v>
      </c>
      <c r="R98" s="450">
        <v>-0.012873055999999997</v>
      </c>
      <c r="S98" s="450">
        <v>0.0</v>
      </c>
      <c r="T98" s="450">
        <v>0.0</v>
      </c>
      <c r="U98" s="450">
        <v>0.0</v>
      </c>
      <c r="V98" s="450">
        <v>0.0</v>
      </c>
      <c r="W98" s="450">
        <v>0.0</v>
      </c>
      <c r="X98" s="450">
        <v>0.0</v>
      </c>
      <c r="Y98" s="450">
        <v>0.0</v>
      </c>
      <c r="Z98" s="220"/>
    </row>
    <row r="99" ht="15.75" customHeight="1">
      <c r="A99" s="220"/>
      <c r="B99" s="445" t="s">
        <v>366</v>
      </c>
      <c r="C99" s="447">
        <v>193.3373</v>
      </c>
      <c r="D99" s="447">
        <v>1.4455</v>
      </c>
      <c r="E99" s="447">
        <v>2.1762</v>
      </c>
      <c r="F99" s="447">
        <v>0.9077</v>
      </c>
      <c r="G99" s="447">
        <v>0.7551</v>
      </c>
      <c r="H99" s="447">
        <v>0.7765</v>
      </c>
      <c r="I99" s="447">
        <v>0.7218</v>
      </c>
      <c r="J99" s="447">
        <v>0.0</v>
      </c>
      <c r="K99" s="447">
        <v>0.0</v>
      </c>
      <c r="L99" s="447">
        <v>0.0</v>
      </c>
      <c r="M99" s="447">
        <v>120.767</v>
      </c>
      <c r="N99" s="448"/>
      <c r="O99" s="454">
        <v>0.0</v>
      </c>
      <c r="P99" s="450">
        <v>0.0</v>
      </c>
      <c r="Q99" s="450">
        <v>0.0</v>
      </c>
      <c r="R99" s="450">
        <v>0.0</v>
      </c>
      <c r="S99" s="450">
        <v>0.0</v>
      </c>
      <c r="T99" s="450">
        <v>0.0</v>
      </c>
      <c r="U99" s="450">
        <v>0.0</v>
      </c>
      <c r="V99" s="450">
        <v>0.0</v>
      </c>
      <c r="W99" s="450">
        <v>0.0</v>
      </c>
      <c r="X99" s="450">
        <v>0.0</v>
      </c>
      <c r="Y99" s="450">
        <v>0.0</v>
      </c>
      <c r="Z99" s="220"/>
    </row>
    <row r="100" ht="15.75" customHeight="1">
      <c r="A100" s="220"/>
      <c r="B100" s="455" t="s">
        <v>367</v>
      </c>
      <c r="C100" s="452">
        <v>66.99025806451613</v>
      </c>
      <c r="D100" s="452">
        <v>0.9665</v>
      </c>
      <c r="E100" s="452">
        <v>0.7333</v>
      </c>
      <c r="F100" s="452">
        <v>0.0914</v>
      </c>
      <c r="G100" s="452">
        <v>0.0</v>
      </c>
      <c r="H100" s="452">
        <v>0.0</v>
      </c>
      <c r="I100" s="452">
        <v>0.0</v>
      </c>
      <c r="J100" s="452">
        <v>5.6497</v>
      </c>
      <c r="K100" s="452">
        <v>8.2063</v>
      </c>
      <c r="L100" s="452">
        <v>12.0314</v>
      </c>
      <c r="M100" s="452">
        <v>92.1921</v>
      </c>
      <c r="N100" s="448"/>
      <c r="O100" s="453">
        <v>-36.84464193548388</v>
      </c>
      <c r="P100" s="450">
        <v>0.0</v>
      </c>
      <c r="Q100" s="450">
        <v>0.0</v>
      </c>
      <c r="R100" s="450">
        <v>0.0</v>
      </c>
      <c r="S100" s="450">
        <v>0.0</v>
      </c>
      <c r="T100" s="450">
        <v>0.0</v>
      </c>
      <c r="U100" s="450">
        <v>0.0</v>
      </c>
      <c r="V100" s="450">
        <v>0.0</v>
      </c>
      <c r="W100" s="450">
        <v>0.0</v>
      </c>
      <c r="X100" s="450">
        <v>0.0</v>
      </c>
      <c r="Y100" s="450">
        <v>0.0</v>
      </c>
      <c r="Z100" s="220"/>
    </row>
    <row r="101" ht="15.75" customHeight="1">
      <c r="A101" s="220"/>
      <c r="B101" s="455" t="s">
        <v>368</v>
      </c>
      <c r="C101" s="452">
        <v>180.6001</v>
      </c>
      <c r="D101" s="452">
        <v>0.9843</v>
      </c>
      <c r="E101" s="452">
        <v>1.0E-4</v>
      </c>
      <c r="F101" s="452">
        <v>0.1086</v>
      </c>
      <c r="G101" s="452">
        <v>1.3769</v>
      </c>
      <c r="H101" s="452">
        <v>0.8587</v>
      </c>
      <c r="I101" s="452">
        <v>0.0</v>
      </c>
      <c r="J101" s="452">
        <v>4.0E-4</v>
      </c>
      <c r="K101" s="452">
        <v>8.0E-4</v>
      </c>
      <c r="L101" s="452">
        <v>0.0</v>
      </c>
      <c r="M101" s="452">
        <v>44.551</v>
      </c>
      <c r="N101" s="448"/>
      <c r="O101" s="454">
        <v>0.0</v>
      </c>
      <c r="P101" s="450">
        <v>0.0</v>
      </c>
      <c r="Q101" s="450">
        <v>0.0</v>
      </c>
      <c r="R101" s="450">
        <v>0.0</v>
      </c>
      <c r="S101" s="450">
        <v>0.0</v>
      </c>
      <c r="T101" s="450">
        <v>0.0</v>
      </c>
      <c r="U101" s="450">
        <v>0.0</v>
      </c>
      <c r="V101" s="450">
        <v>0.0</v>
      </c>
      <c r="W101" s="450">
        <v>0.0</v>
      </c>
      <c r="X101" s="450">
        <v>0.0</v>
      </c>
      <c r="Y101" s="450">
        <v>0.0</v>
      </c>
      <c r="Z101" s="220"/>
    </row>
    <row r="102" ht="15.75" customHeight="1">
      <c r="A102" s="220"/>
      <c r="B102" s="445" t="s">
        <v>49</v>
      </c>
      <c r="C102" s="447">
        <v>0.0</v>
      </c>
      <c r="D102" s="447">
        <v>1.0788</v>
      </c>
      <c r="E102" s="447">
        <v>0.0</v>
      </c>
      <c r="F102" s="447">
        <v>0.0</v>
      </c>
      <c r="G102" s="447">
        <v>1.0598</v>
      </c>
      <c r="H102" s="447">
        <v>1.0554</v>
      </c>
      <c r="I102" s="447">
        <v>1.0813</v>
      </c>
      <c r="J102" s="447">
        <v>0.0</v>
      </c>
      <c r="K102" s="447">
        <v>0.0</v>
      </c>
      <c r="L102" s="447">
        <v>0.0</v>
      </c>
      <c r="M102" s="447">
        <v>143.8753</v>
      </c>
      <c r="N102" s="448"/>
      <c r="O102" s="454">
        <v>0.0</v>
      </c>
      <c r="P102" s="450">
        <v>0.0</v>
      </c>
      <c r="Q102" s="450">
        <v>0.0</v>
      </c>
      <c r="R102" s="450">
        <v>0.0</v>
      </c>
      <c r="S102" s="450">
        <v>0.0</v>
      </c>
      <c r="T102" s="450">
        <v>0.0</v>
      </c>
      <c r="U102" s="450">
        <v>0.0</v>
      </c>
      <c r="V102" s="450">
        <v>0.0</v>
      </c>
      <c r="W102" s="450">
        <v>0.0</v>
      </c>
      <c r="X102" s="450">
        <v>0.0</v>
      </c>
      <c r="Y102" s="450">
        <v>0.0</v>
      </c>
      <c r="Z102" s="220"/>
    </row>
    <row r="103" ht="15.75" customHeight="1">
      <c r="A103" s="220"/>
      <c r="B103" s="451" t="s">
        <v>44</v>
      </c>
      <c r="C103" s="452">
        <v>46.82033397114508</v>
      </c>
      <c r="D103" s="452">
        <v>0.8065849166481105</v>
      </c>
      <c r="E103" s="452">
        <v>0.9086296130625939</v>
      </c>
      <c r="F103" s="452">
        <v>0.6720404616873663</v>
      </c>
      <c r="G103" s="452">
        <v>1.0854464812373559</v>
      </c>
      <c r="H103" s="452">
        <v>0.9888562897537134</v>
      </c>
      <c r="I103" s="452">
        <v>0.9232885950642291</v>
      </c>
      <c r="J103" s="452">
        <v>0.0</v>
      </c>
      <c r="K103" s="452">
        <v>8.098576196066151</v>
      </c>
      <c r="L103" s="452">
        <v>9.022432968727342</v>
      </c>
      <c r="M103" s="452">
        <v>90.62080401443393</v>
      </c>
      <c r="N103" s="448"/>
      <c r="O103" s="456">
        <v>5.618133971145085</v>
      </c>
      <c r="P103" s="450">
        <v>0.09678491664811051</v>
      </c>
      <c r="Q103" s="450">
        <v>0.10902961306259396</v>
      </c>
      <c r="R103" s="450">
        <v>0.08064046168736627</v>
      </c>
      <c r="S103" s="450">
        <v>0.13024648123735583</v>
      </c>
      <c r="T103" s="450">
        <v>0.11865628975371345</v>
      </c>
      <c r="U103" s="450">
        <v>0.11078859506422911</v>
      </c>
      <c r="V103" s="450">
        <v>0.0</v>
      </c>
      <c r="W103" s="450">
        <v>0.9717761960661511</v>
      </c>
      <c r="X103" s="450">
        <v>1.0826329687273422</v>
      </c>
      <c r="Y103" s="450">
        <v>10.873904014433933</v>
      </c>
      <c r="Z103" s="220"/>
    </row>
    <row r="104" ht="15.75" customHeight="1">
      <c r="A104" s="220"/>
      <c r="B104" s="451" t="s">
        <v>369</v>
      </c>
      <c r="C104" s="452">
        <v>20.912051301586644</v>
      </c>
      <c r="D104" s="452">
        <v>0.16374005923252188</v>
      </c>
      <c r="E104" s="452">
        <v>0.0</v>
      </c>
      <c r="F104" s="452">
        <v>0.1164834345426295</v>
      </c>
      <c r="G104" s="452">
        <v>0.34290070125858757</v>
      </c>
      <c r="H104" s="452">
        <v>0.4655192063749926</v>
      </c>
      <c r="I104" s="452">
        <v>0.11457658828321277</v>
      </c>
      <c r="J104" s="452">
        <v>9.694903821029186</v>
      </c>
      <c r="K104" s="452">
        <v>9.322737175006507</v>
      </c>
      <c r="L104" s="452">
        <v>9.784940127017299</v>
      </c>
      <c r="M104" s="452">
        <v>37.11908381760121</v>
      </c>
      <c r="N104" s="448"/>
      <c r="O104" s="453">
        <v>-4.311648698413357</v>
      </c>
      <c r="P104" s="450">
        <v>-0.033759940767478125</v>
      </c>
      <c r="Q104" s="450">
        <v>0.0</v>
      </c>
      <c r="R104" s="450">
        <v>-0.02401656545737052</v>
      </c>
      <c r="S104" s="450">
        <v>-0.07069929874141245</v>
      </c>
      <c r="T104" s="450">
        <v>-0.09598079362500739</v>
      </c>
      <c r="U104" s="450">
        <v>-0.023623411716787224</v>
      </c>
      <c r="V104" s="450">
        <v>-1.9988961789708135</v>
      </c>
      <c r="W104" s="450">
        <v>-1.9221628249934923</v>
      </c>
      <c r="X104" s="450">
        <v>-2.017459872982702</v>
      </c>
      <c r="Y104" s="450">
        <v>-7.653216182398793</v>
      </c>
      <c r="Z104" s="220"/>
    </row>
    <row r="105" ht="15.75" customHeight="1">
      <c r="A105" s="220"/>
      <c r="B105" s="451" t="s">
        <v>43</v>
      </c>
      <c r="C105" s="452">
        <v>36.152471001512836</v>
      </c>
      <c r="D105" s="452">
        <v>0.1162109218610636</v>
      </c>
      <c r="E105" s="452">
        <v>0.18656635031584506</v>
      </c>
      <c r="F105" s="452">
        <v>0.06197042394620415</v>
      </c>
      <c r="G105" s="452">
        <v>0.0186042287534059</v>
      </c>
      <c r="H105" s="452">
        <v>0.0</v>
      </c>
      <c r="I105" s="452">
        <v>0.028561421607341448</v>
      </c>
      <c r="J105" s="452">
        <v>0.0</v>
      </c>
      <c r="K105" s="452">
        <v>0.0</v>
      </c>
      <c r="L105" s="452">
        <v>0.0</v>
      </c>
      <c r="M105" s="452">
        <v>14.892554101405976</v>
      </c>
      <c r="N105" s="448"/>
      <c r="O105" s="456">
        <v>3.0396710015128363</v>
      </c>
      <c r="P105" s="450">
        <v>0.027510921861063603</v>
      </c>
      <c r="Q105" s="450">
        <v>0.044166350315845065</v>
      </c>
      <c r="R105" s="450">
        <v>0.014670423946204152</v>
      </c>
      <c r="S105" s="450">
        <v>0.0044042287534059</v>
      </c>
      <c r="T105" s="450">
        <v>-0.0184</v>
      </c>
      <c r="U105" s="450">
        <v>0.006761421607341448</v>
      </c>
      <c r="V105" s="450">
        <v>0.0</v>
      </c>
      <c r="W105" s="450">
        <v>0.0</v>
      </c>
      <c r="X105" s="450">
        <v>0.0</v>
      </c>
      <c r="Y105" s="450">
        <v>3.525554101405975</v>
      </c>
      <c r="Z105" s="220"/>
    </row>
    <row r="106" ht="15.75" customHeight="1">
      <c r="A106" s="220"/>
      <c r="B106" s="451" t="s">
        <v>50</v>
      </c>
      <c r="C106" s="452">
        <v>70.55787079442128</v>
      </c>
      <c r="D106" s="452">
        <v>0.3123075253423386</v>
      </c>
      <c r="E106" s="452">
        <v>0.4031590725943437</v>
      </c>
      <c r="F106" s="452">
        <v>0.45835245388265095</v>
      </c>
      <c r="G106" s="452">
        <v>0.03693776522076826</v>
      </c>
      <c r="H106" s="452">
        <v>0.09460503840607852</v>
      </c>
      <c r="I106" s="452">
        <v>0.20004401718868722</v>
      </c>
      <c r="J106" s="452">
        <v>0.0</v>
      </c>
      <c r="K106" s="452">
        <v>0.0</v>
      </c>
      <c r="L106" s="452">
        <v>0.0</v>
      </c>
      <c r="M106" s="452">
        <v>0.7426794088037147</v>
      </c>
      <c r="N106" s="448"/>
      <c r="O106" s="453">
        <v>-12.153029205578719</v>
      </c>
      <c r="P106" s="450">
        <v>-0.053792474657661404</v>
      </c>
      <c r="Q106" s="450">
        <v>-0.06944092740565633</v>
      </c>
      <c r="R106" s="450">
        <v>-0.07894754611734905</v>
      </c>
      <c r="S106" s="450">
        <v>-0.006362234779231736</v>
      </c>
      <c r="T106" s="450">
        <v>-0.016294961593921478</v>
      </c>
      <c r="U106" s="450">
        <v>-0.03445598281131276</v>
      </c>
      <c r="V106" s="450">
        <v>0.0</v>
      </c>
      <c r="W106" s="450">
        <v>0.0</v>
      </c>
      <c r="X106" s="450">
        <v>0.0</v>
      </c>
      <c r="Y106" s="450">
        <v>-0.1279205911962853</v>
      </c>
      <c r="Z106" s="220"/>
    </row>
    <row r="107" ht="15.75" customHeight="1">
      <c r="A107" s="220"/>
      <c r="B107" s="445" t="s">
        <v>370</v>
      </c>
      <c r="C107" s="447">
        <v>110.5224</v>
      </c>
      <c r="D107" s="447">
        <v>0.4428</v>
      </c>
      <c r="E107" s="447">
        <v>0.776</v>
      </c>
      <c r="F107" s="447">
        <v>0.5121</v>
      </c>
      <c r="G107" s="447">
        <v>1.2099</v>
      </c>
      <c r="H107" s="447">
        <v>1.1983</v>
      </c>
      <c r="I107" s="447">
        <v>1.2147</v>
      </c>
      <c r="J107" s="447">
        <v>0.3277</v>
      </c>
      <c r="K107" s="447">
        <v>0.2336</v>
      </c>
      <c r="L107" s="447">
        <v>0.2265</v>
      </c>
      <c r="M107" s="447">
        <v>8.9364</v>
      </c>
      <c r="N107" s="448"/>
      <c r="O107" s="454">
        <v>0.0</v>
      </c>
      <c r="P107" s="450">
        <v>0.0</v>
      </c>
      <c r="Q107" s="450">
        <v>0.0</v>
      </c>
      <c r="R107" s="450">
        <v>0.0</v>
      </c>
      <c r="S107" s="450">
        <v>0.0</v>
      </c>
      <c r="T107" s="450">
        <v>0.0</v>
      </c>
      <c r="U107" s="450">
        <v>0.0</v>
      </c>
      <c r="V107" s="450">
        <v>0.0</v>
      </c>
      <c r="W107" s="450">
        <v>0.0</v>
      </c>
      <c r="X107" s="450">
        <v>0.0</v>
      </c>
      <c r="Y107" s="450">
        <v>0.0</v>
      </c>
      <c r="Z107" s="220"/>
    </row>
    <row r="108" ht="15.75" customHeight="1">
      <c r="A108" s="220"/>
      <c r="B108" s="451" t="s">
        <v>35</v>
      </c>
      <c r="C108" s="452">
        <v>9.593065370640739</v>
      </c>
      <c r="D108" s="452">
        <v>0.0</v>
      </c>
      <c r="E108" s="452">
        <v>0.08571219641404852</v>
      </c>
      <c r="F108" s="452">
        <v>0.0</v>
      </c>
      <c r="G108" s="452">
        <v>0.133244774392849</v>
      </c>
      <c r="H108" s="452">
        <v>0.1592795050625885</v>
      </c>
      <c r="I108" s="452">
        <v>0.06400495448834079</v>
      </c>
      <c r="J108" s="452">
        <v>2.915331449366432</v>
      </c>
      <c r="K108" s="452">
        <v>2.3577833834418236</v>
      </c>
      <c r="L108" s="452">
        <v>2.441331835483856</v>
      </c>
      <c r="M108" s="452">
        <v>25.842576209863374</v>
      </c>
      <c r="N108" s="448"/>
      <c r="O108" s="453">
        <v>-4.150934629359261</v>
      </c>
      <c r="P108" s="450">
        <v>0.0</v>
      </c>
      <c r="Q108" s="450">
        <v>-0.037087803585951484</v>
      </c>
      <c r="R108" s="450">
        <v>0.0</v>
      </c>
      <c r="S108" s="450">
        <v>-0.05765522560715097</v>
      </c>
      <c r="T108" s="450">
        <v>-0.06892049493741148</v>
      </c>
      <c r="U108" s="450">
        <v>-0.027695045511659216</v>
      </c>
      <c r="V108" s="450">
        <v>-1.2614685506335679</v>
      </c>
      <c r="W108" s="450">
        <v>-1.0202166165581765</v>
      </c>
      <c r="X108" s="450">
        <v>-1.0563681645161442</v>
      </c>
      <c r="Y108" s="450">
        <v>-11.182123790136629</v>
      </c>
      <c r="Z108" s="220"/>
    </row>
    <row r="109" ht="15.75" customHeight="1">
      <c r="A109" s="220"/>
      <c r="B109" s="451" t="s">
        <v>310</v>
      </c>
      <c r="C109" s="452">
        <v>61.182758877568595</v>
      </c>
      <c r="D109" s="452">
        <v>0.13973223887209796</v>
      </c>
      <c r="E109" s="452">
        <v>0.40179416672013507</v>
      </c>
      <c r="F109" s="452">
        <v>0.2147167553364289</v>
      </c>
      <c r="G109" s="452">
        <v>2.559198514140988E-4</v>
      </c>
      <c r="H109" s="452">
        <v>0.0</v>
      </c>
      <c r="I109" s="452">
        <v>0.0</v>
      </c>
      <c r="J109" s="452">
        <v>0.0</v>
      </c>
      <c r="K109" s="452">
        <v>0.0</v>
      </c>
      <c r="L109" s="452">
        <v>0.0</v>
      </c>
      <c r="M109" s="452">
        <v>0.0</v>
      </c>
      <c r="N109" s="448"/>
      <c r="O109" s="456">
        <v>13.368758877568595</v>
      </c>
      <c r="P109" s="450">
        <v>0.030532238872097953</v>
      </c>
      <c r="Q109" s="450">
        <v>0.08779416672013507</v>
      </c>
      <c r="R109" s="450">
        <v>0.04691675533642889</v>
      </c>
      <c r="S109" s="450">
        <v>5.591985141409879E-5</v>
      </c>
      <c r="T109" s="450">
        <v>0.0</v>
      </c>
      <c r="U109" s="450">
        <v>0.0</v>
      </c>
      <c r="V109" s="450">
        <v>0.0</v>
      </c>
      <c r="W109" s="450">
        <v>0.0</v>
      </c>
      <c r="X109" s="450">
        <v>0.0</v>
      </c>
      <c r="Y109" s="450">
        <v>0.0</v>
      </c>
      <c r="Z109" s="220"/>
    </row>
    <row r="110" ht="15.75" customHeight="1">
      <c r="A110" s="220"/>
      <c r="B110" s="451" t="s">
        <v>134</v>
      </c>
      <c r="C110" s="452">
        <v>0.0</v>
      </c>
      <c r="D110" s="452">
        <v>0.0</v>
      </c>
      <c r="E110" s="452">
        <v>0.0</v>
      </c>
      <c r="F110" s="452">
        <v>0.0</v>
      </c>
      <c r="G110" s="452">
        <v>0.0</v>
      </c>
      <c r="H110" s="452">
        <v>0.0</v>
      </c>
      <c r="I110" s="452">
        <v>0.0</v>
      </c>
      <c r="J110" s="452">
        <v>0.0</v>
      </c>
      <c r="K110" s="452">
        <v>0.0</v>
      </c>
      <c r="L110" s="452">
        <v>0.0</v>
      </c>
      <c r="M110" s="452">
        <v>0.0</v>
      </c>
      <c r="N110" s="448"/>
      <c r="O110" s="453">
        <v>-52.1783</v>
      </c>
      <c r="P110" s="450">
        <v>-0.5471</v>
      </c>
      <c r="Q110" s="450">
        <v>-0.6794</v>
      </c>
      <c r="R110" s="450">
        <v>-0.6719</v>
      </c>
      <c r="S110" s="450">
        <v>-0.4142</v>
      </c>
      <c r="T110" s="450">
        <v>-0.2572</v>
      </c>
      <c r="U110" s="450">
        <v>-0.3237</v>
      </c>
      <c r="V110" s="450">
        <v>-8.888</v>
      </c>
      <c r="W110" s="450">
        <v>-10.252</v>
      </c>
      <c r="X110" s="450">
        <v>-11.3338</v>
      </c>
      <c r="Y110" s="450">
        <v>-4.3948</v>
      </c>
      <c r="Z110" s="220"/>
    </row>
    <row r="111" ht="15.75" customHeight="1">
      <c r="A111" s="220"/>
      <c r="B111" s="455" t="s">
        <v>371</v>
      </c>
      <c r="C111" s="452">
        <v>320.2116</v>
      </c>
      <c r="D111" s="452">
        <v>4.3116</v>
      </c>
      <c r="E111" s="452">
        <v>5.6684</v>
      </c>
      <c r="F111" s="452">
        <v>4.429</v>
      </c>
      <c r="G111" s="452">
        <v>9.9379</v>
      </c>
      <c r="H111" s="452">
        <v>13.205200000000001</v>
      </c>
      <c r="I111" s="452">
        <v>5.7687</v>
      </c>
      <c r="J111" s="452">
        <v>6.0E-4</v>
      </c>
      <c r="K111" s="452">
        <v>4.0E-4</v>
      </c>
      <c r="L111" s="452">
        <v>4.0E-4</v>
      </c>
      <c r="M111" s="452">
        <v>576.8301</v>
      </c>
      <c r="N111" s="448"/>
      <c r="O111" s="453">
        <v>-80.05290000000002</v>
      </c>
      <c r="P111" s="450">
        <v>0.0</v>
      </c>
      <c r="Q111" s="450">
        <v>0.0</v>
      </c>
      <c r="R111" s="450">
        <v>0.0</v>
      </c>
      <c r="S111" s="450">
        <v>0.0</v>
      </c>
      <c r="T111" s="450">
        <v>3.3013000000000012</v>
      </c>
      <c r="U111" s="450">
        <v>0.0</v>
      </c>
      <c r="V111" s="450">
        <v>0.0</v>
      </c>
      <c r="W111" s="450">
        <v>0.0</v>
      </c>
      <c r="X111" s="450">
        <v>0.0</v>
      </c>
      <c r="Y111" s="450">
        <v>0.0</v>
      </c>
      <c r="Z111" s="220"/>
    </row>
    <row r="112" ht="15.75" customHeight="1">
      <c r="A112" s="220"/>
      <c r="B112" s="445" t="s">
        <v>372</v>
      </c>
      <c r="C112" s="447">
        <v>67.936</v>
      </c>
      <c r="D112" s="447">
        <v>0.402</v>
      </c>
      <c r="E112" s="447">
        <v>0.851</v>
      </c>
      <c r="F112" s="447">
        <v>0.0</v>
      </c>
      <c r="G112" s="447">
        <v>1.8173</v>
      </c>
      <c r="H112" s="447">
        <v>2.2885</v>
      </c>
      <c r="I112" s="447">
        <v>0.8164</v>
      </c>
      <c r="J112" s="447">
        <v>0.0407</v>
      </c>
      <c r="K112" s="447">
        <v>9.2025</v>
      </c>
      <c r="L112" s="447">
        <v>17.4008</v>
      </c>
      <c r="M112" s="447">
        <v>73.808</v>
      </c>
      <c r="N112" s="448"/>
      <c r="O112" s="454">
        <v>0.0</v>
      </c>
      <c r="P112" s="450">
        <v>0.0</v>
      </c>
      <c r="Q112" s="450">
        <v>0.0</v>
      </c>
      <c r="R112" s="450">
        <v>0.0</v>
      </c>
      <c r="S112" s="450">
        <v>0.0</v>
      </c>
      <c r="T112" s="450">
        <v>0.0</v>
      </c>
      <c r="U112" s="450">
        <v>0.0</v>
      </c>
      <c r="V112" s="450">
        <v>0.0</v>
      </c>
      <c r="W112" s="450">
        <v>0.0</v>
      </c>
      <c r="X112" s="450">
        <v>0.0</v>
      </c>
      <c r="Y112" s="450">
        <v>0.0</v>
      </c>
      <c r="Z112" s="220"/>
    </row>
    <row r="113" ht="15.75" customHeight="1">
      <c r="A113" s="220"/>
      <c r="B113" s="451" t="s">
        <v>32</v>
      </c>
      <c r="C113" s="452">
        <v>21.169383583143592</v>
      </c>
      <c r="D113" s="452">
        <v>0.17485338351133842</v>
      </c>
      <c r="E113" s="452">
        <v>0.2669213622616206</v>
      </c>
      <c r="F113" s="452">
        <v>0.2996945316521532</v>
      </c>
      <c r="G113" s="452">
        <v>9.472014274720392E-4</v>
      </c>
      <c r="H113" s="452">
        <v>7.577611419776314E-4</v>
      </c>
      <c r="I113" s="452">
        <v>5.683208564832234E-4</v>
      </c>
      <c r="J113" s="452">
        <v>0.0</v>
      </c>
      <c r="K113" s="452">
        <v>0.0</v>
      </c>
      <c r="L113" s="452">
        <v>0.0</v>
      </c>
      <c r="M113" s="452">
        <v>23.584557782911798</v>
      </c>
      <c r="N113" s="448"/>
      <c r="O113" s="453">
        <v>-23.529416416856407</v>
      </c>
      <c r="P113" s="450">
        <v>0.08255338351133842</v>
      </c>
      <c r="Q113" s="450">
        <v>-0.014878637738379386</v>
      </c>
      <c r="R113" s="450">
        <v>0.1414945316521532</v>
      </c>
      <c r="S113" s="450">
        <v>4.4720142747203915E-4</v>
      </c>
      <c r="T113" s="450">
        <v>3.5776114197763137E-4</v>
      </c>
      <c r="U113" s="450">
        <v>2.6832085648322343E-4</v>
      </c>
      <c r="V113" s="450">
        <v>0.0</v>
      </c>
      <c r="W113" s="450">
        <v>0.0</v>
      </c>
      <c r="X113" s="450">
        <v>0.0</v>
      </c>
      <c r="Y113" s="450">
        <v>11.134957782911798</v>
      </c>
      <c r="Z113" s="220"/>
    </row>
    <row r="114" ht="15.75" customHeight="1">
      <c r="A114" s="220"/>
      <c r="B114" s="445" t="s">
        <v>40</v>
      </c>
      <c r="C114" s="447">
        <v>45.7483</v>
      </c>
      <c r="D114" s="447">
        <v>0.5457</v>
      </c>
      <c r="E114" s="447">
        <v>0.2864</v>
      </c>
      <c r="F114" s="447">
        <v>0.1418</v>
      </c>
      <c r="G114" s="447">
        <v>0.0</v>
      </c>
      <c r="H114" s="447">
        <v>0.0</v>
      </c>
      <c r="I114" s="447">
        <v>0.0</v>
      </c>
      <c r="J114" s="447">
        <v>0.0</v>
      </c>
      <c r="K114" s="447">
        <v>8.0E-4</v>
      </c>
      <c r="L114" s="447">
        <v>8.0E-4</v>
      </c>
      <c r="M114" s="447">
        <v>0.0014</v>
      </c>
      <c r="N114" s="448"/>
      <c r="O114" s="454">
        <v>0.0</v>
      </c>
      <c r="P114" s="450">
        <v>0.0</v>
      </c>
      <c r="Q114" s="450">
        <v>0.0</v>
      </c>
      <c r="R114" s="450">
        <v>0.0</v>
      </c>
      <c r="S114" s="450">
        <v>0.0</v>
      </c>
      <c r="T114" s="450">
        <v>0.0</v>
      </c>
      <c r="U114" s="450">
        <v>0.0</v>
      </c>
      <c r="V114" s="450">
        <v>0.0</v>
      </c>
      <c r="W114" s="450">
        <v>0.0</v>
      </c>
      <c r="X114" s="450">
        <v>0.0</v>
      </c>
      <c r="Y114" s="450">
        <v>0.0</v>
      </c>
      <c r="Z114" s="220"/>
    </row>
    <row r="115" ht="15.75" customHeight="1">
      <c r="A115" s="220"/>
      <c r="B115" s="445" t="s">
        <v>42</v>
      </c>
      <c r="C115" s="447">
        <v>63.1524</v>
      </c>
      <c r="D115" s="447">
        <v>0.2816</v>
      </c>
      <c r="E115" s="447">
        <v>0.5265</v>
      </c>
      <c r="F115" s="447">
        <v>0.9048</v>
      </c>
      <c r="G115" s="447">
        <v>0.0485</v>
      </c>
      <c r="H115" s="447">
        <v>0.1038</v>
      </c>
      <c r="I115" s="447">
        <v>0.3843</v>
      </c>
      <c r="J115" s="447">
        <v>8.0E-4</v>
      </c>
      <c r="K115" s="447">
        <v>0.0</v>
      </c>
      <c r="L115" s="447">
        <v>0.0</v>
      </c>
      <c r="M115" s="447">
        <v>9.0E-4</v>
      </c>
      <c r="N115" s="448"/>
      <c r="O115" s="454">
        <v>0.0</v>
      </c>
      <c r="P115" s="450">
        <v>0.0</v>
      </c>
      <c r="Q115" s="450">
        <v>0.0</v>
      </c>
      <c r="R115" s="450">
        <v>0.0</v>
      </c>
      <c r="S115" s="450">
        <v>0.0</v>
      </c>
      <c r="T115" s="450">
        <v>0.0</v>
      </c>
      <c r="U115" s="450">
        <v>0.0</v>
      </c>
      <c r="V115" s="450">
        <v>0.0</v>
      </c>
      <c r="W115" s="450">
        <v>0.0</v>
      </c>
      <c r="X115" s="450">
        <v>0.0</v>
      </c>
      <c r="Y115" s="450">
        <v>0.0</v>
      </c>
      <c r="Z115" s="220"/>
    </row>
    <row r="116" ht="15.75" customHeight="1">
      <c r="A116" s="220"/>
      <c r="B116" s="451" t="s">
        <v>46</v>
      </c>
      <c r="C116" s="452">
        <v>0.0</v>
      </c>
      <c r="D116" s="452">
        <v>0.0</v>
      </c>
      <c r="E116" s="452">
        <v>0.0</v>
      </c>
      <c r="F116" s="452">
        <v>0.0</v>
      </c>
      <c r="G116" s="452">
        <v>0.0</v>
      </c>
      <c r="H116" s="452">
        <v>0.0</v>
      </c>
      <c r="I116" s="452">
        <v>0.0</v>
      </c>
      <c r="J116" s="452">
        <v>0.0</v>
      </c>
      <c r="K116" s="452">
        <v>0.0</v>
      </c>
      <c r="L116" s="452">
        <v>0.0</v>
      </c>
      <c r="M116" s="452">
        <v>0.0</v>
      </c>
      <c r="N116" s="448"/>
      <c r="O116" s="454">
        <v>0.0</v>
      </c>
      <c r="P116" s="450">
        <v>0.0</v>
      </c>
      <c r="Q116" s="450">
        <v>0.0</v>
      </c>
      <c r="R116" s="450">
        <v>0.0</v>
      </c>
      <c r="S116" s="450">
        <v>0.0</v>
      </c>
      <c r="T116" s="450">
        <v>0.0</v>
      </c>
      <c r="U116" s="450">
        <v>0.0</v>
      </c>
      <c r="V116" s="450">
        <v>0.0</v>
      </c>
      <c r="W116" s="450">
        <v>0.0</v>
      </c>
      <c r="X116" s="450">
        <v>0.0</v>
      </c>
      <c r="Y116" s="450">
        <v>0.0</v>
      </c>
      <c r="Z116" s="220"/>
    </row>
    <row r="117" ht="15.75" customHeight="1">
      <c r="A117" s="220"/>
      <c r="B117" s="445" t="s">
        <v>373</v>
      </c>
      <c r="C117" s="447">
        <v>0.0</v>
      </c>
      <c r="D117" s="447">
        <v>0.0</v>
      </c>
      <c r="E117" s="447">
        <v>0.0</v>
      </c>
      <c r="F117" s="447">
        <v>1.0E-4</v>
      </c>
      <c r="G117" s="447">
        <v>0.0</v>
      </c>
      <c r="H117" s="447">
        <v>1.0E-4</v>
      </c>
      <c r="I117" s="447">
        <v>1.0E-4</v>
      </c>
      <c r="J117" s="447">
        <v>0.0</v>
      </c>
      <c r="K117" s="447">
        <v>0.0</v>
      </c>
      <c r="L117" s="447">
        <v>0.0013</v>
      </c>
      <c r="M117" s="447">
        <v>6.0E-4</v>
      </c>
      <c r="N117" s="448"/>
      <c r="O117" s="454">
        <v>0.0</v>
      </c>
      <c r="P117" s="450">
        <v>0.0</v>
      </c>
      <c r="Q117" s="450">
        <v>0.0</v>
      </c>
      <c r="R117" s="450">
        <v>0.0</v>
      </c>
      <c r="S117" s="450">
        <v>0.0</v>
      </c>
      <c r="T117" s="450">
        <v>0.0</v>
      </c>
      <c r="U117" s="450">
        <v>0.0</v>
      </c>
      <c r="V117" s="450">
        <v>0.0</v>
      </c>
      <c r="W117" s="450">
        <v>0.0</v>
      </c>
      <c r="X117" s="450">
        <v>0.0</v>
      </c>
      <c r="Y117" s="450">
        <v>0.0</v>
      </c>
      <c r="Z117" s="220"/>
    </row>
    <row r="118" ht="15.75" customHeight="1">
      <c r="A118" s="220"/>
      <c r="B118" s="451" t="s">
        <v>54</v>
      </c>
      <c r="C118" s="452">
        <v>227.5595985739931</v>
      </c>
      <c r="D118" s="452">
        <v>18.697279102389768</v>
      </c>
      <c r="E118" s="452">
        <v>8.418078433679389</v>
      </c>
      <c r="F118" s="452">
        <v>9.546807385166787</v>
      </c>
      <c r="G118" s="452">
        <v>16.412243917853825</v>
      </c>
      <c r="H118" s="452">
        <v>14.910137752504863</v>
      </c>
      <c r="I118" s="452">
        <v>6.836790484920598</v>
      </c>
      <c r="J118" s="452">
        <v>0.0</v>
      </c>
      <c r="K118" s="452">
        <v>11.006068193610858</v>
      </c>
      <c r="L118" s="452">
        <v>31.55793154149692</v>
      </c>
      <c r="M118" s="452">
        <v>288.3773099338552</v>
      </c>
      <c r="N118" s="448"/>
      <c r="O118" s="456">
        <v>227.5595985739931</v>
      </c>
      <c r="P118" s="450">
        <v>18.697279102389768</v>
      </c>
      <c r="Q118" s="450">
        <v>8.418078433679389</v>
      </c>
      <c r="R118" s="450">
        <v>9.546807385166787</v>
      </c>
      <c r="S118" s="450">
        <v>16.412243917853825</v>
      </c>
      <c r="T118" s="450">
        <v>14.910137752504863</v>
      </c>
      <c r="U118" s="450">
        <v>6.836790484920598</v>
      </c>
      <c r="V118" s="450">
        <v>0.0</v>
      </c>
      <c r="W118" s="450">
        <v>11.006068193610858</v>
      </c>
      <c r="X118" s="450">
        <v>31.55793154149692</v>
      </c>
      <c r="Y118" s="450">
        <v>288.3773099338552</v>
      </c>
      <c r="Z118" s="220"/>
    </row>
    <row r="119" ht="15.75" customHeight="1">
      <c r="A119" s="220"/>
      <c r="B119" s="445" t="s">
        <v>374</v>
      </c>
      <c r="C119" s="447">
        <v>0.0</v>
      </c>
      <c r="D119" s="447">
        <v>0.0</v>
      </c>
      <c r="E119" s="447">
        <v>0.0</v>
      </c>
      <c r="F119" s="447">
        <v>0.0</v>
      </c>
      <c r="G119" s="447">
        <v>0.0</v>
      </c>
      <c r="H119" s="447">
        <v>0.0</v>
      </c>
      <c r="I119" s="447">
        <v>0.0</v>
      </c>
      <c r="J119" s="447">
        <v>0.0</v>
      </c>
      <c r="K119" s="447">
        <v>0.0</v>
      </c>
      <c r="L119" s="447">
        <v>0.0</v>
      </c>
      <c r="M119" s="447">
        <v>0.0</v>
      </c>
      <c r="N119" s="448"/>
      <c r="O119" s="454">
        <v>0.0</v>
      </c>
      <c r="P119" s="450">
        <v>0.0</v>
      </c>
      <c r="Q119" s="450">
        <v>0.0</v>
      </c>
      <c r="R119" s="450">
        <v>0.0</v>
      </c>
      <c r="S119" s="450">
        <v>0.0</v>
      </c>
      <c r="T119" s="450">
        <v>0.0</v>
      </c>
      <c r="U119" s="450">
        <v>0.0</v>
      </c>
      <c r="V119" s="450">
        <v>0.0</v>
      </c>
      <c r="W119" s="450">
        <v>0.0</v>
      </c>
      <c r="X119" s="450">
        <v>0.0</v>
      </c>
      <c r="Y119" s="450">
        <v>0.0</v>
      </c>
      <c r="Z119" s="220"/>
    </row>
    <row r="120" ht="15.75" customHeight="1">
      <c r="A120" s="220"/>
      <c r="B120" s="220"/>
      <c r="C120" s="448"/>
      <c r="D120" s="448"/>
      <c r="E120" s="448"/>
      <c r="F120" s="448"/>
      <c r="G120" s="448"/>
      <c r="H120" s="448"/>
      <c r="I120" s="448"/>
      <c r="J120" s="448"/>
      <c r="K120" s="448"/>
      <c r="L120" s="448"/>
      <c r="M120" s="448"/>
      <c r="N120" s="448"/>
      <c r="O120" s="448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0"/>
    </row>
    <row r="121" ht="15.75" customHeight="1">
      <c r="A121" s="220"/>
      <c r="B121" s="220"/>
      <c r="C121" s="448"/>
      <c r="D121" s="448"/>
      <c r="E121" s="448"/>
      <c r="F121" s="448"/>
      <c r="G121" s="448"/>
      <c r="H121" s="448"/>
      <c r="I121" s="448"/>
      <c r="J121" s="448"/>
      <c r="K121" s="448"/>
      <c r="L121" s="448"/>
      <c r="M121" s="448"/>
      <c r="N121" s="448"/>
      <c r="O121" s="448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</row>
    <row r="122" ht="15.75" customHeight="1">
      <c r="A122" s="220"/>
      <c r="B122" s="439" t="s">
        <v>60</v>
      </c>
      <c r="C122" s="457" t="s">
        <v>1882</v>
      </c>
      <c r="D122" s="458"/>
      <c r="E122" s="458"/>
      <c r="F122" s="458"/>
      <c r="G122" s="458"/>
      <c r="H122" s="458"/>
      <c r="I122" s="458"/>
      <c r="J122" s="458"/>
      <c r="K122" s="458"/>
      <c r="L122" s="458"/>
      <c r="M122" s="458"/>
      <c r="N122" s="448"/>
      <c r="O122" s="459" t="s">
        <v>1883</v>
      </c>
      <c r="P122" s="441"/>
      <c r="Q122" s="441"/>
      <c r="R122" s="441"/>
      <c r="S122" s="441"/>
      <c r="T122" s="441"/>
      <c r="U122" s="441"/>
      <c r="V122" s="441"/>
      <c r="W122" s="441"/>
      <c r="X122" s="441"/>
      <c r="Y122" s="441"/>
      <c r="Z122" s="220"/>
    </row>
    <row r="123" ht="60.75" customHeight="1">
      <c r="A123" s="220"/>
      <c r="B123" s="442" t="s">
        <v>391</v>
      </c>
      <c r="C123" s="460" t="s">
        <v>1872</v>
      </c>
      <c r="D123" s="460" t="s">
        <v>72</v>
      </c>
      <c r="E123" s="460" t="s">
        <v>73</v>
      </c>
      <c r="F123" s="460" t="s">
        <v>74</v>
      </c>
      <c r="G123" s="460" t="s">
        <v>69</v>
      </c>
      <c r="H123" s="460" t="s">
        <v>70</v>
      </c>
      <c r="I123" s="460" t="s">
        <v>71</v>
      </c>
      <c r="J123" s="460" t="s">
        <v>1873</v>
      </c>
      <c r="K123" s="460" t="s">
        <v>1874</v>
      </c>
      <c r="L123" s="460" t="s">
        <v>1875</v>
      </c>
      <c r="M123" s="460" t="s">
        <v>75</v>
      </c>
      <c r="N123" s="448"/>
      <c r="O123" s="461" t="s">
        <v>1872</v>
      </c>
      <c r="P123" s="444" t="s">
        <v>72</v>
      </c>
      <c r="Q123" s="444" t="s">
        <v>73</v>
      </c>
      <c r="R123" s="444" t="s">
        <v>74</v>
      </c>
      <c r="S123" s="444" t="s">
        <v>69</v>
      </c>
      <c r="T123" s="444" t="s">
        <v>70</v>
      </c>
      <c r="U123" s="444" t="s">
        <v>71</v>
      </c>
      <c r="V123" s="444" t="s">
        <v>1873</v>
      </c>
      <c r="W123" s="444" t="s">
        <v>1874</v>
      </c>
      <c r="X123" s="444" t="s">
        <v>1875</v>
      </c>
      <c r="Y123" s="444" t="s">
        <v>75</v>
      </c>
      <c r="Z123" s="220"/>
    </row>
    <row r="124" ht="15.75" customHeight="1">
      <c r="A124" s="220"/>
      <c r="B124" s="445" t="s">
        <v>365</v>
      </c>
      <c r="C124" s="446">
        <f>LET(payer, $C$3, segment, $B$122, ECOGAINS_SIM(payer, segment))</f>
        <v>28.8425</v>
      </c>
      <c r="D124" s="447">
        <v>0.6317</v>
      </c>
      <c r="E124" s="447">
        <v>0.6385</v>
      </c>
      <c r="F124" s="447">
        <v>0.3006</v>
      </c>
      <c r="G124" s="447">
        <v>0.0034</v>
      </c>
      <c r="H124" s="447">
        <v>0.002</v>
      </c>
      <c r="I124" s="447">
        <v>0.0014</v>
      </c>
      <c r="J124" s="447">
        <v>0.0</v>
      </c>
      <c r="K124" s="447">
        <v>0.0</v>
      </c>
      <c r="L124" s="447">
        <v>0.0</v>
      </c>
      <c r="M124" s="447">
        <v>9.8919</v>
      </c>
      <c r="N124" s="448"/>
      <c r="O124" s="449">
        <f>LET(payer, $C$3, segment, $B$122, ECOGAINS_DIFF(payer, segment))</f>
        <v>0</v>
      </c>
      <c r="P124" s="450">
        <v>0.0</v>
      </c>
      <c r="Q124" s="450">
        <v>0.0</v>
      </c>
      <c r="R124" s="450">
        <v>0.0</v>
      </c>
      <c r="S124" s="450">
        <v>0.0</v>
      </c>
      <c r="T124" s="450">
        <v>0.0</v>
      </c>
      <c r="U124" s="450">
        <v>0.0</v>
      </c>
      <c r="V124" s="450">
        <v>0.0</v>
      </c>
      <c r="W124" s="450">
        <v>0.0</v>
      </c>
      <c r="X124" s="450">
        <v>0.0</v>
      </c>
      <c r="Y124" s="450">
        <v>0.0</v>
      </c>
      <c r="Z124" s="220"/>
    </row>
    <row r="125" ht="15.75" customHeight="1">
      <c r="A125" s="220"/>
      <c r="B125" s="451" t="s">
        <v>312</v>
      </c>
      <c r="C125" s="452">
        <v>51.684611161621625</v>
      </c>
      <c r="D125" s="452">
        <v>0.03972158432432433</v>
      </c>
      <c r="E125" s="452">
        <v>0.18611629216216216</v>
      </c>
      <c r="F125" s="452">
        <v>0.20175329594594596</v>
      </c>
      <c r="G125" s="452">
        <v>0.0</v>
      </c>
      <c r="H125" s="452">
        <v>0.0</v>
      </c>
      <c r="I125" s="452">
        <v>0.0</v>
      </c>
      <c r="J125" s="452">
        <v>0.0</v>
      </c>
      <c r="K125" s="452">
        <v>0.0</v>
      </c>
      <c r="L125" s="452">
        <v>0.0</v>
      </c>
      <c r="M125" s="452">
        <v>0.0</v>
      </c>
      <c r="N125" s="448"/>
      <c r="O125" s="453">
        <v>-5.827188838378376</v>
      </c>
      <c r="P125" s="450">
        <v>-0.004478415675675675</v>
      </c>
      <c r="Q125" s="450">
        <v>-0.020983707837837845</v>
      </c>
      <c r="R125" s="450">
        <v>-0.022746704054054045</v>
      </c>
      <c r="S125" s="450">
        <v>0.0</v>
      </c>
      <c r="T125" s="450">
        <v>0.0</v>
      </c>
      <c r="U125" s="450">
        <v>0.0</v>
      </c>
      <c r="V125" s="450">
        <v>0.0</v>
      </c>
      <c r="W125" s="450">
        <v>0.0</v>
      </c>
      <c r="X125" s="450">
        <v>0.0</v>
      </c>
      <c r="Y125" s="450">
        <v>0.0</v>
      </c>
      <c r="Z125" s="220"/>
    </row>
    <row r="126" ht="15.75" customHeight="1">
      <c r="A126" s="220"/>
      <c r="B126" s="451" t="s">
        <v>189</v>
      </c>
      <c r="C126" s="452">
        <v>9.20343148616687</v>
      </c>
      <c r="D126" s="452">
        <v>0.08992511620901347</v>
      </c>
      <c r="E126" s="452">
        <v>0.07039082130218656</v>
      </c>
      <c r="F126" s="452">
        <v>0.07055922039621094</v>
      </c>
      <c r="G126" s="452">
        <v>0.11619537487681517</v>
      </c>
      <c r="H126" s="452">
        <v>0.12032115268041221</v>
      </c>
      <c r="I126" s="452">
        <v>0.07064341994322312</v>
      </c>
      <c r="J126" s="452">
        <v>4.74818085511113</v>
      </c>
      <c r="K126" s="452">
        <v>3.2850453266803936</v>
      </c>
      <c r="L126" s="452">
        <v>3.250186714217349</v>
      </c>
      <c r="M126" s="452">
        <v>15.186735496399741</v>
      </c>
      <c r="N126" s="448"/>
      <c r="O126" s="453">
        <v>-1.7270685138331299</v>
      </c>
      <c r="P126" s="450">
        <v>-0.016874883790986533</v>
      </c>
      <c r="Q126" s="450">
        <v>-0.013209178697813434</v>
      </c>
      <c r="R126" s="450">
        <v>-0.013240779603789055</v>
      </c>
      <c r="S126" s="450">
        <v>-0.021804625123184845</v>
      </c>
      <c r="T126" s="450">
        <v>-0.022578847319587786</v>
      </c>
      <c r="U126" s="450">
        <v>-0.013256580056776879</v>
      </c>
      <c r="V126" s="450">
        <v>-0.8910191448888698</v>
      </c>
      <c r="W126" s="450">
        <v>-0.6164546733196063</v>
      </c>
      <c r="X126" s="450">
        <v>-0.609913285782651</v>
      </c>
      <c r="Y126" s="450">
        <v>-2.8498645036002586</v>
      </c>
      <c r="Z126" s="220"/>
    </row>
    <row r="127" ht="15.75" customHeight="1">
      <c r="A127" s="220"/>
      <c r="B127" s="451" t="s">
        <v>311</v>
      </c>
      <c r="C127" s="452">
        <v>11.34556604</v>
      </c>
      <c r="D127" s="452">
        <v>0.00465152</v>
      </c>
      <c r="E127" s="452">
        <v>0.02914468</v>
      </c>
      <c r="F127" s="452">
        <v>0.047096639999999995</v>
      </c>
      <c r="G127" s="452">
        <v>0.0</v>
      </c>
      <c r="H127" s="452">
        <v>0.0</v>
      </c>
      <c r="I127" s="452">
        <v>0.0</v>
      </c>
      <c r="J127" s="452">
        <v>0.0</v>
      </c>
      <c r="K127" s="452">
        <v>0.0</v>
      </c>
      <c r="L127" s="452">
        <v>0.0</v>
      </c>
      <c r="M127" s="452">
        <v>0.0</v>
      </c>
      <c r="N127" s="448"/>
      <c r="O127" s="453">
        <v>-4.264733960000001</v>
      </c>
      <c r="P127" s="450">
        <v>-0.0017484800000000002</v>
      </c>
      <c r="Q127" s="450">
        <v>-0.010955319999999998</v>
      </c>
      <c r="R127" s="450">
        <v>-0.01770336</v>
      </c>
      <c r="S127" s="450">
        <v>0.0</v>
      </c>
      <c r="T127" s="450">
        <v>0.0</v>
      </c>
      <c r="U127" s="450">
        <v>0.0</v>
      </c>
      <c r="V127" s="450">
        <v>0.0</v>
      </c>
      <c r="W127" s="450">
        <v>0.0</v>
      </c>
      <c r="X127" s="450">
        <v>0.0</v>
      </c>
      <c r="Y127" s="450">
        <v>0.0</v>
      </c>
      <c r="Z127" s="220"/>
    </row>
    <row r="128" ht="15.75" customHeight="1">
      <c r="A128" s="220"/>
      <c r="B128" s="445" t="s">
        <v>366</v>
      </c>
      <c r="C128" s="447">
        <v>414.8552</v>
      </c>
      <c r="D128" s="447">
        <v>3.3161</v>
      </c>
      <c r="E128" s="447">
        <v>4.448</v>
      </c>
      <c r="F128" s="447">
        <v>1.5618</v>
      </c>
      <c r="G128" s="447">
        <v>1.4144</v>
      </c>
      <c r="H128" s="447">
        <v>2.3017</v>
      </c>
      <c r="I128" s="447">
        <v>1.7746</v>
      </c>
      <c r="J128" s="447">
        <v>0.0</v>
      </c>
      <c r="K128" s="447">
        <v>0.0</v>
      </c>
      <c r="L128" s="447">
        <v>0.0</v>
      </c>
      <c r="M128" s="447">
        <v>254.5933</v>
      </c>
      <c r="N128" s="448"/>
      <c r="O128" s="454">
        <v>0.0</v>
      </c>
      <c r="P128" s="450">
        <v>0.0</v>
      </c>
      <c r="Q128" s="450">
        <v>0.0</v>
      </c>
      <c r="R128" s="450">
        <v>0.0</v>
      </c>
      <c r="S128" s="450">
        <v>0.0</v>
      </c>
      <c r="T128" s="450">
        <v>0.0</v>
      </c>
      <c r="U128" s="450">
        <v>0.0</v>
      </c>
      <c r="V128" s="450">
        <v>0.0</v>
      </c>
      <c r="W128" s="450">
        <v>0.0</v>
      </c>
      <c r="X128" s="450">
        <v>0.0</v>
      </c>
      <c r="Y128" s="450">
        <v>0.0</v>
      </c>
      <c r="Z128" s="220"/>
    </row>
    <row r="129" ht="15.75" customHeight="1">
      <c r="A129" s="220"/>
      <c r="B129" s="455" t="s">
        <v>367</v>
      </c>
      <c r="C129" s="452">
        <v>36.5653881748072</v>
      </c>
      <c r="D129" s="452">
        <v>0.7594</v>
      </c>
      <c r="E129" s="452">
        <v>0.3839</v>
      </c>
      <c r="F129" s="452">
        <v>0.0457</v>
      </c>
      <c r="G129" s="452">
        <v>0.0</v>
      </c>
      <c r="H129" s="452">
        <v>0.0</v>
      </c>
      <c r="I129" s="452">
        <v>0.0</v>
      </c>
      <c r="J129" s="452">
        <v>2.7912</v>
      </c>
      <c r="K129" s="452">
        <v>4.3965</v>
      </c>
      <c r="L129" s="452">
        <v>6.2712</v>
      </c>
      <c r="M129" s="452">
        <v>54.4286</v>
      </c>
      <c r="N129" s="448"/>
      <c r="O129" s="453">
        <v>-22.7010118251928</v>
      </c>
      <c r="P129" s="450">
        <v>0.0</v>
      </c>
      <c r="Q129" s="450">
        <v>0.0</v>
      </c>
      <c r="R129" s="450">
        <v>0.0</v>
      </c>
      <c r="S129" s="450">
        <v>0.0</v>
      </c>
      <c r="T129" s="450">
        <v>0.0</v>
      </c>
      <c r="U129" s="450">
        <v>0.0</v>
      </c>
      <c r="V129" s="450">
        <v>0.0</v>
      </c>
      <c r="W129" s="450">
        <v>0.0</v>
      </c>
      <c r="X129" s="450">
        <v>0.0</v>
      </c>
      <c r="Y129" s="450">
        <v>0.0</v>
      </c>
      <c r="Z129" s="220"/>
    </row>
    <row r="130" ht="15.75" customHeight="1">
      <c r="A130" s="220"/>
      <c r="B130" s="455" t="s">
        <v>368</v>
      </c>
      <c r="C130" s="452">
        <v>201.3159</v>
      </c>
      <c r="D130" s="452">
        <v>0.9674</v>
      </c>
      <c r="E130" s="452">
        <v>2.0E-4</v>
      </c>
      <c r="F130" s="452">
        <v>0.2232</v>
      </c>
      <c r="G130" s="452">
        <v>1.1476</v>
      </c>
      <c r="H130" s="452">
        <v>0.7417</v>
      </c>
      <c r="I130" s="452">
        <v>2.0E-4</v>
      </c>
      <c r="J130" s="452">
        <v>0.0</v>
      </c>
      <c r="K130" s="452">
        <v>0.0013</v>
      </c>
      <c r="L130" s="452">
        <v>0.0037</v>
      </c>
      <c r="M130" s="452">
        <v>41.5183</v>
      </c>
      <c r="N130" s="448"/>
      <c r="O130" s="454">
        <v>0.0</v>
      </c>
      <c r="P130" s="450">
        <v>0.0</v>
      </c>
      <c r="Q130" s="450">
        <v>0.0</v>
      </c>
      <c r="R130" s="450">
        <v>0.0</v>
      </c>
      <c r="S130" s="450">
        <v>0.0</v>
      </c>
      <c r="T130" s="450">
        <v>0.0</v>
      </c>
      <c r="U130" s="450">
        <v>0.0</v>
      </c>
      <c r="V130" s="450">
        <v>0.0</v>
      </c>
      <c r="W130" s="450">
        <v>0.0</v>
      </c>
      <c r="X130" s="450">
        <v>0.0</v>
      </c>
      <c r="Y130" s="450">
        <v>0.0</v>
      </c>
      <c r="Z130" s="220"/>
    </row>
    <row r="131" ht="15.75" customHeight="1">
      <c r="A131" s="220"/>
      <c r="B131" s="445" t="s">
        <v>49</v>
      </c>
      <c r="C131" s="447">
        <v>0.0</v>
      </c>
      <c r="D131" s="447">
        <v>0.8916</v>
      </c>
      <c r="E131" s="447">
        <v>0.0</v>
      </c>
      <c r="F131" s="447">
        <v>0.0</v>
      </c>
      <c r="G131" s="447">
        <v>0.8905</v>
      </c>
      <c r="H131" s="447">
        <v>0.8888</v>
      </c>
      <c r="I131" s="447">
        <v>0.8913</v>
      </c>
      <c r="J131" s="447">
        <v>0.0</v>
      </c>
      <c r="K131" s="447">
        <v>0.0</v>
      </c>
      <c r="L131" s="447">
        <v>0.0</v>
      </c>
      <c r="M131" s="447">
        <v>99.4862</v>
      </c>
      <c r="N131" s="448"/>
      <c r="O131" s="454">
        <v>0.0</v>
      </c>
      <c r="P131" s="450">
        <v>0.0</v>
      </c>
      <c r="Q131" s="450">
        <v>0.0</v>
      </c>
      <c r="R131" s="450">
        <v>0.0</v>
      </c>
      <c r="S131" s="450">
        <v>0.0</v>
      </c>
      <c r="T131" s="450">
        <v>0.0</v>
      </c>
      <c r="U131" s="450">
        <v>0.0</v>
      </c>
      <c r="V131" s="450">
        <v>0.0</v>
      </c>
      <c r="W131" s="450">
        <v>0.0</v>
      </c>
      <c r="X131" s="450">
        <v>0.0</v>
      </c>
      <c r="Y131" s="450">
        <v>0.0</v>
      </c>
      <c r="Z131" s="220"/>
    </row>
    <row r="132" ht="15.75" customHeight="1">
      <c r="A132" s="220"/>
      <c r="B132" s="451" t="s">
        <v>44</v>
      </c>
      <c r="C132" s="452">
        <v>47.467204894572525</v>
      </c>
      <c r="D132" s="452">
        <v>0.7418701077608936</v>
      </c>
      <c r="E132" s="452">
        <v>0.7622111482603354</v>
      </c>
      <c r="F132" s="452">
        <v>0.7200266040427429</v>
      </c>
      <c r="G132" s="452">
        <v>0.8005817473842826</v>
      </c>
      <c r="H132" s="452">
        <v>0.7744620021974993</v>
      </c>
      <c r="I132" s="452">
        <v>0.7641759078540316</v>
      </c>
      <c r="J132" s="452">
        <v>0.0</v>
      </c>
      <c r="K132" s="452">
        <v>8.369644720957842</v>
      </c>
      <c r="L132" s="452">
        <v>8.2254082519618</v>
      </c>
      <c r="M132" s="452">
        <v>70.71470270355964</v>
      </c>
      <c r="N132" s="448"/>
      <c r="O132" s="456">
        <v>6.396404894572527</v>
      </c>
      <c r="P132" s="450">
        <v>0.09997010776089355</v>
      </c>
      <c r="Q132" s="450">
        <v>0.10271114826033545</v>
      </c>
      <c r="R132" s="450">
        <v>0.09702660404274288</v>
      </c>
      <c r="S132" s="450">
        <v>0.10788174738428258</v>
      </c>
      <c r="T132" s="450">
        <v>0.10436200219749925</v>
      </c>
      <c r="U132" s="450">
        <v>0.10297590785403155</v>
      </c>
      <c r="V132" s="450">
        <v>0.0</v>
      </c>
      <c r="W132" s="450">
        <v>1.1278447209578424</v>
      </c>
      <c r="X132" s="450">
        <v>1.1084082519618006</v>
      </c>
      <c r="Y132" s="450">
        <v>9.529102703559637</v>
      </c>
      <c r="Z132" s="220"/>
    </row>
    <row r="133" ht="15.75" customHeight="1">
      <c r="A133" s="220"/>
      <c r="B133" s="451" t="s">
        <v>369</v>
      </c>
      <c r="C133" s="452">
        <v>25.652886616621483</v>
      </c>
      <c r="D133" s="452">
        <v>0.24175766940734766</v>
      </c>
      <c r="E133" s="452">
        <v>0.0</v>
      </c>
      <c r="F133" s="452">
        <v>0.21142611873040806</v>
      </c>
      <c r="G133" s="452">
        <v>0.3200470701221624</v>
      </c>
      <c r="H133" s="452">
        <v>0.3452786255525369</v>
      </c>
      <c r="I133" s="452">
        <v>0.211515592331225</v>
      </c>
      <c r="J133" s="452">
        <v>11.30489998961842</v>
      </c>
      <c r="K133" s="452">
        <v>8.592239360050705</v>
      </c>
      <c r="L133" s="452">
        <v>8.85153385521817</v>
      </c>
      <c r="M133" s="452">
        <v>41.55234548179013</v>
      </c>
      <c r="N133" s="448"/>
      <c r="O133" s="453">
        <v>-3.0180133833785163</v>
      </c>
      <c r="P133" s="450">
        <v>-0.028442330592652332</v>
      </c>
      <c r="Q133" s="450">
        <v>0.0</v>
      </c>
      <c r="R133" s="450">
        <v>-0.024873881269591946</v>
      </c>
      <c r="S133" s="450">
        <v>-0.03765292987783764</v>
      </c>
      <c r="T133" s="450">
        <v>-0.04062137444746311</v>
      </c>
      <c r="U133" s="450">
        <v>-0.024884407668775005</v>
      </c>
      <c r="V133" s="450">
        <v>-1.3300000103815801</v>
      </c>
      <c r="W133" s="450">
        <v>-1.0108606399492945</v>
      </c>
      <c r="X133" s="450">
        <v>-1.0413661447818292</v>
      </c>
      <c r="Y133" s="450">
        <v>-4.888554518209872</v>
      </c>
      <c r="Z133" s="220"/>
    </row>
    <row r="134" ht="15.75" customHeight="1">
      <c r="A134" s="220"/>
      <c r="B134" s="451" t="s">
        <v>43</v>
      </c>
      <c r="C134" s="452">
        <v>39.65028119847751</v>
      </c>
      <c r="D134" s="452">
        <v>0.025542340306235825</v>
      </c>
      <c r="E134" s="452">
        <v>0.10087458821402812</v>
      </c>
      <c r="F134" s="452">
        <v>0.11288066522433252</v>
      </c>
      <c r="G134" s="452">
        <v>0.00388431903274554</v>
      </c>
      <c r="H134" s="452">
        <v>0.00776863806549108</v>
      </c>
      <c r="I134" s="452">
        <v>0.006356158417219975</v>
      </c>
      <c r="J134" s="452">
        <v>0.0</v>
      </c>
      <c r="K134" s="452">
        <v>0.0</v>
      </c>
      <c r="L134" s="452">
        <v>0.0</v>
      </c>
      <c r="M134" s="452">
        <v>14.475209142119645</v>
      </c>
      <c r="N134" s="448"/>
      <c r="O134" s="453">
        <v>-2.4568188015224948</v>
      </c>
      <c r="P134" s="450">
        <v>0.0038423403062358245</v>
      </c>
      <c r="Q134" s="450">
        <v>0.015174588214028117</v>
      </c>
      <c r="R134" s="450">
        <v>0.016980665224332517</v>
      </c>
      <c r="S134" s="450">
        <v>5.8431903274554E-4</v>
      </c>
      <c r="T134" s="450">
        <v>0.00116863806549108</v>
      </c>
      <c r="U134" s="450">
        <v>9.561584172199751E-4</v>
      </c>
      <c r="V134" s="450">
        <v>0.0</v>
      </c>
      <c r="W134" s="450">
        <v>0.0</v>
      </c>
      <c r="X134" s="450">
        <v>0.0</v>
      </c>
      <c r="Y134" s="450">
        <v>2.1775091421196446</v>
      </c>
      <c r="Z134" s="220"/>
    </row>
    <row r="135" ht="15.75" customHeight="1">
      <c r="A135" s="220"/>
      <c r="B135" s="451" t="s">
        <v>50</v>
      </c>
      <c r="C135" s="452">
        <v>69.93856638324326</v>
      </c>
      <c r="D135" s="452">
        <v>0.2032810491891892</v>
      </c>
      <c r="E135" s="452">
        <v>0.3181321459459459</v>
      </c>
      <c r="F135" s="452">
        <v>0.4923858835135136</v>
      </c>
      <c r="G135" s="452">
        <v>0.019860792162162164</v>
      </c>
      <c r="H135" s="452">
        <v>0.0491577072972973</v>
      </c>
      <c r="I135" s="452">
        <v>0.11251453297297298</v>
      </c>
      <c r="J135" s="452">
        <v>0.0</v>
      </c>
      <c r="K135" s="452">
        <v>0.0</v>
      </c>
      <c r="L135" s="452">
        <v>0.0</v>
      </c>
      <c r="M135" s="452">
        <v>0.46120174378378376</v>
      </c>
      <c r="N135" s="448"/>
      <c r="O135" s="453">
        <v>-7.88523361675675</v>
      </c>
      <c r="P135" s="450">
        <v>-0.0229189508108108</v>
      </c>
      <c r="Q135" s="450">
        <v>-0.03586785405405407</v>
      </c>
      <c r="R135" s="450">
        <v>-0.055514116486486464</v>
      </c>
      <c r="S135" s="450">
        <v>-0.0022392078378378373</v>
      </c>
      <c r="T135" s="450">
        <v>-0.005542292702702699</v>
      </c>
      <c r="U135" s="450">
        <v>-0.012685467027027025</v>
      </c>
      <c r="V135" s="450">
        <v>0.0</v>
      </c>
      <c r="W135" s="450">
        <v>0.0</v>
      </c>
      <c r="X135" s="450">
        <v>0.0</v>
      </c>
      <c r="Y135" s="450">
        <v>-0.05199825621621623</v>
      </c>
      <c r="Z135" s="220"/>
    </row>
    <row r="136" ht="15.75" customHeight="1">
      <c r="A136" s="220"/>
      <c r="B136" s="445" t="s">
        <v>370</v>
      </c>
      <c r="C136" s="447">
        <v>115.4999</v>
      </c>
      <c r="D136" s="447">
        <v>0.3352</v>
      </c>
      <c r="E136" s="447">
        <v>0.687</v>
      </c>
      <c r="F136" s="447">
        <v>0.5965</v>
      </c>
      <c r="G136" s="447">
        <v>1.0742</v>
      </c>
      <c r="H136" s="447">
        <v>1.0646</v>
      </c>
      <c r="I136" s="447">
        <v>1.0572</v>
      </c>
      <c r="J136" s="447">
        <v>0.1691</v>
      </c>
      <c r="K136" s="447">
        <v>0.1189</v>
      </c>
      <c r="L136" s="447">
        <v>0.1207</v>
      </c>
      <c r="M136" s="447">
        <v>10.175</v>
      </c>
      <c r="N136" s="448"/>
      <c r="O136" s="454">
        <v>0.0</v>
      </c>
      <c r="P136" s="450">
        <v>0.0</v>
      </c>
      <c r="Q136" s="450">
        <v>0.0</v>
      </c>
      <c r="R136" s="450">
        <v>0.0</v>
      </c>
      <c r="S136" s="450">
        <v>0.0</v>
      </c>
      <c r="T136" s="450">
        <v>0.0</v>
      </c>
      <c r="U136" s="450">
        <v>0.0</v>
      </c>
      <c r="V136" s="450">
        <v>0.0</v>
      </c>
      <c r="W136" s="450">
        <v>0.0</v>
      </c>
      <c r="X136" s="450">
        <v>0.0</v>
      </c>
      <c r="Y136" s="450">
        <v>0.0</v>
      </c>
      <c r="Z136" s="220"/>
    </row>
    <row r="137" ht="15.75" customHeight="1">
      <c r="A137" s="220"/>
      <c r="B137" s="451" t="s">
        <v>35</v>
      </c>
      <c r="C137" s="452">
        <v>9.467691326626968</v>
      </c>
      <c r="D137" s="452">
        <v>0.0</v>
      </c>
      <c r="E137" s="452">
        <v>0.09186580630823322</v>
      </c>
      <c r="F137" s="452">
        <v>0.0</v>
      </c>
      <c r="G137" s="452">
        <v>0.10608076115274653</v>
      </c>
      <c r="H137" s="452">
        <v>0.10727641156022895</v>
      </c>
      <c r="I137" s="452">
        <v>0.08542257911235568</v>
      </c>
      <c r="J137" s="452">
        <v>2.5435469668509523</v>
      </c>
      <c r="K137" s="452">
        <v>1.8549851821863492</v>
      </c>
      <c r="L137" s="452">
        <v>1.7681676775985975</v>
      </c>
      <c r="M137" s="452">
        <v>25.409829609771283</v>
      </c>
      <c r="N137" s="448"/>
      <c r="O137" s="453">
        <v>-4.785508673373032</v>
      </c>
      <c r="P137" s="450">
        <v>0.0</v>
      </c>
      <c r="Q137" s="450">
        <v>-0.04643419369176678</v>
      </c>
      <c r="R137" s="450">
        <v>0.0</v>
      </c>
      <c r="S137" s="450">
        <v>-0.053619238847253475</v>
      </c>
      <c r="T137" s="450">
        <v>-0.054223588439771056</v>
      </c>
      <c r="U137" s="450">
        <v>-0.04317742088764431</v>
      </c>
      <c r="V137" s="450">
        <v>-1.2856530331490479</v>
      </c>
      <c r="W137" s="450">
        <v>-0.937614817813651</v>
      </c>
      <c r="X137" s="450">
        <v>-0.8937323224014027</v>
      </c>
      <c r="Y137" s="450">
        <v>-12.843570390228717</v>
      </c>
      <c r="Z137" s="220"/>
    </row>
    <row r="138" ht="15.75" customHeight="1">
      <c r="A138" s="220"/>
      <c r="B138" s="451" t="s">
        <v>310</v>
      </c>
      <c r="C138" s="452">
        <v>77.81512289837838</v>
      </c>
      <c r="D138" s="452">
        <v>0.02952158472972973</v>
      </c>
      <c r="E138" s="452">
        <v>0.18656563135135135</v>
      </c>
      <c r="F138" s="452">
        <v>0.3270290618918919</v>
      </c>
      <c r="G138" s="452">
        <v>1.3480175675675677E-4</v>
      </c>
      <c r="H138" s="452">
        <v>0.0</v>
      </c>
      <c r="I138" s="452">
        <v>0.0</v>
      </c>
      <c r="J138" s="452">
        <v>0.0</v>
      </c>
      <c r="K138" s="452">
        <v>0.0</v>
      </c>
      <c r="L138" s="452">
        <v>0.0</v>
      </c>
      <c r="M138" s="452">
        <v>0.0</v>
      </c>
      <c r="N138" s="448"/>
      <c r="O138" s="456">
        <v>20.089522898378377</v>
      </c>
      <c r="P138" s="450">
        <v>0.007621584729729732</v>
      </c>
      <c r="Q138" s="450">
        <v>0.04816563135135135</v>
      </c>
      <c r="R138" s="450">
        <v>0.0844290618918919</v>
      </c>
      <c r="S138" s="450">
        <v>3.480175675675677E-5</v>
      </c>
      <c r="T138" s="450">
        <v>0.0</v>
      </c>
      <c r="U138" s="450">
        <v>0.0</v>
      </c>
      <c r="V138" s="450">
        <v>0.0</v>
      </c>
      <c r="W138" s="450">
        <v>0.0</v>
      </c>
      <c r="X138" s="450">
        <v>0.0</v>
      </c>
      <c r="Y138" s="450">
        <v>0.0</v>
      </c>
      <c r="Z138" s="220"/>
    </row>
    <row r="139" ht="15.75" customHeight="1">
      <c r="A139" s="220"/>
      <c r="B139" s="451" t="s">
        <v>134</v>
      </c>
      <c r="C139" s="452">
        <v>0.0</v>
      </c>
      <c r="D139" s="452">
        <v>0.0</v>
      </c>
      <c r="E139" s="452">
        <v>0.0</v>
      </c>
      <c r="F139" s="452">
        <v>0.0</v>
      </c>
      <c r="G139" s="452">
        <v>0.0</v>
      </c>
      <c r="H139" s="452">
        <v>0.0</v>
      </c>
      <c r="I139" s="452">
        <v>0.0</v>
      </c>
      <c r="J139" s="452">
        <v>0.0</v>
      </c>
      <c r="K139" s="452">
        <v>0.0</v>
      </c>
      <c r="L139" s="452">
        <v>0.0</v>
      </c>
      <c r="M139" s="452">
        <v>0.0</v>
      </c>
      <c r="N139" s="448"/>
      <c r="O139" s="453">
        <v>-85.5839</v>
      </c>
      <c r="P139" s="450">
        <v>-0.9704</v>
      </c>
      <c r="Q139" s="450">
        <v>-0.7694</v>
      </c>
      <c r="R139" s="450">
        <v>-0.8499</v>
      </c>
      <c r="S139" s="450">
        <v>-0.3771</v>
      </c>
      <c r="T139" s="450">
        <v>-0.2865</v>
      </c>
      <c r="U139" s="450">
        <v>-0.4497</v>
      </c>
      <c r="V139" s="450">
        <v>-6.2275</v>
      </c>
      <c r="W139" s="450">
        <v>-14.6382</v>
      </c>
      <c r="X139" s="450">
        <v>-20.5009</v>
      </c>
      <c r="Y139" s="450">
        <v>-6.0951</v>
      </c>
      <c r="Z139" s="220"/>
    </row>
    <row r="140" ht="15.75" customHeight="1">
      <c r="A140" s="220"/>
      <c r="B140" s="455" t="s">
        <v>371</v>
      </c>
      <c r="C140" s="452">
        <v>526.3427999999999</v>
      </c>
      <c r="D140" s="452">
        <v>6.7665</v>
      </c>
      <c r="E140" s="452">
        <v>8.7612</v>
      </c>
      <c r="F140" s="452">
        <v>6.4549</v>
      </c>
      <c r="G140" s="452">
        <v>15.7562</v>
      </c>
      <c r="H140" s="452">
        <v>21.000400000000003</v>
      </c>
      <c r="I140" s="452">
        <v>8.4192</v>
      </c>
      <c r="J140" s="452">
        <v>0.0</v>
      </c>
      <c r="K140" s="452">
        <v>0.0</v>
      </c>
      <c r="L140" s="452">
        <v>0.0</v>
      </c>
      <c r="M140" s="452">
        <v>892.4816</v>
      </c>
      <c r="N140" s="448"/>
      <c r="O140" s="453">
        <v>-131.5857000000001</v>
      </c>
      <c r="P140" s="450">
        <v>0.0</v>
      </c>
      <c r="Q140" s="450">
        <v>0.0</v>
      </c>
      <c r="R140" s="450">
        <v>0.0</v>
      </c>
      <c r="S140" s="450">
        <v>0.0</v>
      </c>
      <c r="T140" s="450">
        <v>5.250100000000003</v>
      </c>
      <c r="U140" s="450">
        <v>0.0</v>
      </c>
      <c r="V140" s="450">
        <v>0.0</v>
      </c>
      <c r="W140" s="450">
        <v>0.0</v>
      </c>
      <c r="X140" s="450">
        <v>0.0</v>
      </c>
      <c r="Y140" s="450">
        <v>0.0</v>
      </c>
      <c r="Z140" s="220"/>
    </row>
    <row r="141" ht="15.75" customHeight="1">
      <c r="A141" s="220"/>
      <c r="B141" s="445" t="s">
        <v>372</v>
      </c>
      <c r="C141" s="447">
        <v>86.5292</v>
      </c>
      <c r="D141" s="447">
        <v>0.404</v>
      </c>
      <c r="E141" s="447">
        <v>0.9737</v>
      </c>
      <c r="F141" s="447">
        <v>0.0</v>
      </c>
      <c r="G141" s="447">
        <v>2.3609</v>
      </c>
      <c r="H141" s="447">
        <v>2.8516</v>
      </c>
      <c r="I141" s="447">
        <v>1.0444</v>
      </c>
      <c r="J141" s="447">
        <v>0.0665</v>
      </c>
      <c r="K141" s="447">
        <v>9.0776</v>
      </c>
      <c r="L141" s="447">
        <v>19.6415</v>
      </c>
      <c r="M141" s="447">
        <v>76.6314</v>
      </c>
      <c r="N141" s="448"/>
      <c r="O141" s="454">
        <v>0.0</v>
      </c>
      <c r="P141" s="450">
        <v>0.0</v>
      </c>
      <c r="Q141" s="450">
        <v>0.0</v>
      </c>
      <c r="R141" s="450">
        <v>0.0</v>
      </c>
      <c r="S141" s="450">
        <v>0.0</v>
      </c>
      <c r="T141" s="450">
        <v>0.0</v>
      </c>
      <c r="U141" s="450">
        <v>0.0</v>
      </c>
      <c r="V141" s="450">
        <v>0.0</v>
      </c>
      <c r="W141" s="450">
        <v>0.0</v>
      </c>
      <c r="X141" s="450">
        <v>0.0</v>
      </c>
      <c r="Y141" s="450">
        <v>0.0</v>
      </c>
      <c r="Z141" s="220"/>
    </row>
    <row r="142" ht="15.75" customHeight="1">
      <c r="A142" s="220"/>
      <c r="B142" s="451" t="s">
        <v>32</v>
      </c>
      <c r="C142" s="452">
        <v>20.546896633815372</v>
      </c>
      <c r="D142" s="452">
        <v>0.021710323621653784</v>
      </c>
      <c r="E142" s="452">
        <v>0.18954190339188515</v>
      </c>
      <c r="F142" s="452">
        <v>0.346595308314487</v>
      </c>
      <c r="G142" s="452">
        <v>0.0012317914111576616</v>
      </c>
      <c r="H142" s="452">
        <v>4.61921779184123E-4</v>
      </c>
      <c r="I142" s="452">
        <v>0.0</v>
      </c>
      <c r="J142" s="452">
        <v>0.0</v>
      </c>
      <c r="K142" s="452">
        <v>0.0</v>
      </c>
      <c r="L142" s="452">
        <v>0.0</v>
      </c>
      <c r="M142" s="452">
        <v>12.067398533332424</v>
      </c>
      <c r="N142" s="448"/>
      <c r="O142" s="453">
        <v>-32.83070336618463</v>
      </c>
      <c r="P142" s="450">
        <v>0.0076103236216537844</v>
      </c>
      <c r="Q142" s="450">
        <v>0.06644190339188515</v>
      </c>
      <c r="R142" s="450">
        <v>0.12149530831448699</v>
      </c>
      <c r="S142" s="450">
        <v>4.317914111576616E-4</v>
      </c>
      <c r="T142" s="450">
        <v>1.6192177918412302E-4</v>
      </c>
      <c r="U142" s="450">
        <v>0.0</v>
      </c>
      <c r="V142" s="450">
        <v>0.0</v>
      </c>
      <c r="W142" s="450">
        <v>0.0</v>
      </c>
      <c r="X142" s="450">
        <v>0.0</v>
      </c>
      <c r="Y142" s="450">
        <v>4.230098533332424</v>
      </c>
      <c r="Z142" s="220"/>
    </row>
    <row r="143" ht="15.75" customHeight="1">
      <c r="A143" s="220"/>
      <c r="B143" s="445" t="s">
        <v>40</v>
      </c>
      <c r="C143" s="447">
        <v>41.0286</v>
      </c>
      <c r="D143" s="447">
        <v>0.3611</v>
      </c>
      <c r="E143" s="447">
        <v>0.2551</v>
      </c>
      <c r="F143" s="447">
        <v>0.1441</v>
      </c>
      <c r="G143" s="447">
        <v>0.0</v>
      </c>
      <c r="H143" s="447">
        <v>0.0</v>
      </c>
      <c r="I143" s="447">
        <v>0.0</v>
      </c>
      <c r="J143" s="447">
        <v>0.0</v>
      </c>
      <c r="K143" s="447">
        <v>0.0</v>
      </c>
      <c r="L143" s="447">
        <v>0.0</v>
      </c>
      <c r="M143" s="447">
        <v>0.0</v>
      </c>
      <c r="N143" s="448"/>
      <c r="O143" s="454">
        <v>0.0</v>
      </c>
      <c r="P143" s="450">
        <v>0.0</v>
      </c>
      <c r="Q143" s="450">
        <v>0.0</v>
      </c>
      <c r="R143" s="450">
        <v>0.0</v>
      </c>
      <c r="S143" s="450">
        <v>0.0</v>
      </c>
      <c r="T143" s="450">
        <v>0.0</v>
      </c>
      <c r="U143" s="450">
        <v>0.0</v>
      </c>
      <c r="V143" s="450">
        <v>0.0</v>
      </c>
      <c r="W143" s="450">
        <v>0.0</v>
      </c>
      <c r="X143" s="450">
        <v>0.0</v>
      </c>
      <c r="Y143" s="450">
        <v>0.0</v>
      </c>
      <c r="Z143" s="220"/>
    </row>
    <row r="144" ht="15.75" customHeight="1">
      <c r="A144" s="220"/>
      <c r="B144" s="445" t="s">
        <v>42</v>
      </c>
      <c r="C144" s="447">
        <v>43.0864</v>
      </c>
      <c r="D144" s="447">
        <v>0.1063</v>
      </c>
      <c r="E144" s="447">
        <v>0.3115</v>
      </c>
      <c r="F144" s="447">
        <v>0.5556</v>
      </c>
      <c r="G144" s="447">
        <v>0.0177</v>
      </c>
      <c r="H144" s="447">
        <v>0.0442</v>
      </c>
      <c r="I144" s="447">
        <v>0.2506</v>
      </c>
      <c r="J144" s="447">
        <v>0.0</v>
      </c>
      <c r="K144" s="447">
        <v>0.0</v>
      </c>
      <c r="L144" s="447">
        <v>0.0</v>
      </c>
      <c r="M144" s="447">
        <v>0.0022</v>
      </c>
      <c r="N144" s="448"/>
      <c r="O144" s="454">
        <v>0.0</v>
      </c>
      <c r="P144" s="450">
        <v>0.0</v>
      </c>
      <c r="Q144" s="450">
        <v>0.0</v>
      </c>
      <c r="R144" s="450">
        <v>0.0</v>
      </c>
      <c r="S144" s="450">
        <v>0.0</v>
      </c>
      <c r="T144" s="450">
        <v>0.0</v>
      </c>
      <c r="U144" s="450">
        <v>0.0</v>
      </c>
      <c r="V144" s="450">
        <v>0.0</v>
      </c>
      <c r="W144" s="450">
        <v>0.0</v>
      </c>
      <c r="X144" s="450">
        <v>0.0</v>
      </c>
      <c r="Y144" s="450">
        <v>0.0</v>
      </c>
      <c r="Z144" s="220"/>
    </row>
    <row r="145" ht="15.75" customHeight="1">
      <c r="A145" s="220"/>
      <c r="B145" s="451" t="s">
        <v>46</v>
      </c>
      <c r="C145" s="452">
        <v>0.0</v>
      </c>
      <c r="D145" s="452">
        <v>0.0</v>
      </c>
      <c r="E145" s="452">
        <v>0.0</v>
      </c>
      <c r="F145" s="452">
        <v>0.0</v>
      </c>
      <c r="G145" s="452">
        <v>0.0</v>
      </c>
      <c r="H145" s="452">
        <v>0.0</v>
      </c>
      <c r="I145" s="452">
        <v>0.0</v>
      </c>
      <c r="J145" s="452">
        <v>0.0</v>
      </c>
      <c r="K145" s="452">
        <v>0.0</v>
      </c>
      <c r="L145" s="452">
        <v>0.0</v>
      </c>
      <c r="M145" s="452">
        <v>0.0</v>
      </c>
      <c r="N145" s="448"/>
      <c r="O145" s="454">
        <v>0.0</v>
      </c>
      <c r="P145" s="450">
        <v>0.0</v>
      </c>
      <c r="Q145" s="450">
        <v>0.0</v>
      </c>
      <c r="R145" s="450">
        <v>0.0</v>
      </c>
      <c r="S145" s="450">
        <v>0.0</v>
      </c>
      <c r="T145" s="450">
        <v>0.0</v>
      </c>
      <c r="U145" s="450">
        <v>0.0</v>
      </c>
      <c r="V145" s="450">
        <v>0.0</v>
      </c>
      <c r="W145" s="450">
        <v>0.0</v>
      </c>
      <c r="X145" s="450">
        <v>0.0</v>
      </c>
      <c r="Y145" s="450">
        <v>0.0</v>
      </c>
      <c r="Z145" s="220"/>
    </row>
    <row r="146" ht="15.75" customHeight="1">
      <c r="A146" s="220"/>
      <c r="B146" s="445" t="s">
        <v>373</v>
      </c>
      <c r="C146" s="447">
        <v>0.0</v>
      </c>
      <c r="D146" s="447">
        <v>0.0</v>
      </c>
      <c r="E146" s="447">
        <v>0.0</v>
      </c>
      <c r="F146" s="447">
        <v>0.0</v>
      </c>
      <c r="G146" s="447">
        <v>0.0</v>
      </c>
      <c r="H146" s="447">
        <v>0.0</v>
      </c>
      <c r="I146" s="447">
        <v>0.0</v>
      </c>
      <c r="J146" s="447">
        <v>0.0</v>
      </c>
      <c r="K146" s="447">
        <v>0.0</v>
      </c>
      <c r="L146" s="447">
        <v>0.0</v>
      </c>
      <c r="M146" s="447">
        <v>0.0</v>
      </c>
      <c r="N146" s="448"/>
      <c r="O146" s="454">
        <v>0.0</v>
      </c>
      <c r="P146" s="450">
        <v>0.0</v>
      </c>
      <c r="Q146" s="450">
        <v>0.0</v>
      </c>
      <c r="R146" s="450">
        <v>0.0</v>
      </c>
      <c r="S146" s="450">
        <v>0.0</v>
      </c>
      <c r="T146" s="450">
        <v>0.0</v>
      </c>
      <c r="U146" s="450">
        <v>0.0</v>
      </c>
      <c r="V146" s="450">
        <v>0.0</v>
      </c>
      <c r="W146" s="450">
        <v>0.0</v>
      </c>
      <c r="X146" s="450">
        <v>0.0</v>
      </c>
      <c r="Y146" s="450">
        <v>0.0</v>
      </c>
      <c r="Z146" s="220"/>
    </row>
    <row r="147" ht="15.75" customHeight="1">
      <c r="A147" s="220"/>
      <c r="B147" s="451" t="s">
        <v>54</v>
      </c>
      <c r="C147" s="452">
        <v>389.90444424805884</v>
      </c>
      <c r="D147" s="452">
        <v>20.148155282288602</v>
      </c>
      <c r="E147" s="452">
        <v>11.4780753317644</v>
      </c>
      <c r="F147" s="452">
        <v>12.969021148084112</v>
      </c>
      <c r="G147" s="452">
        <v>13.50819694157409</v>
      </c>
      <c r="H147" s="452">
        <v>12.673273684369272</v>
      </c>
      <c r="I147" s="452">
        <v>8.144486240035647</v>
      </c>
      <c r="J147" s="452">
        <v>0.0</v>
      </c>
      <c r="K147" s="452">
        <v>15.217040645477088</v>
      </c>
      <c r="L147" s="452">
        <v>24.162084785578223</v>
      </c>
      <c r="M147" s="452">
        <v>325.79932388452437</v>
      </c>
      <c r="N147" s="448"/>
      <c r="O147" s="456">
        <v>389.90444424805884</v>
      </c>
      <c r="P147" s="450">
        <v>20.148155282288602</v>
      </c>
      <c r="Q147" s="450">
        <v>11.4780753317644</v>
      </c>
      <c r="R147" s="450">
        <v>12.969021148084112</v>
      </c>
      <c r="S147" s="450">
        <v>13.50819694157409</v>
      </c>
      <c r="T147" s="450">
        <v>12.673273684369272</v>
      </c>
      <c r="U147" s="450">
        <v>8.144486240035647</v>
      </c>
      <c r="V147" s="450">
        <v>-0.002</v>
      </c>
      <c r="W147" s="450">
        <v>15.217040645477088</v>
      </c>
      <c r="X147" s="450">
        <v>24.162084785578223</v>
      </c>
      <c r="Y147" s="450">
        <v>325.79932388452437</v>
      </c>
      <c r="Z147" s="220"/>
    </row>
    <row r="148" ht="15.75" customHeight="1">
      <c r="A148" s="220"/>
      <c r="B148" s="445" t="s">
        <v>374</v>
      </c>
      <c r="C148" s="447">
        <v>0.0</v>
      </c>
      <c r="D148" s="447">
        <v>2.0E-4</v>
      </c>
      <c r="E148" s="447">
        <v>0.0</v>
      </c>
      <c r="F148" s="447">
        <v>0.0</v>
      </c>
      <c r="G148" s="447">
        <v>0.0</v>
      </c>
      <c r="H148" s="447">
        <v>0.0</v>
      </c>
      <c r="I148" s="447">
        <v>0.0</v>
      </c>
      <c r="J148" s="447">
        <v>0.0</v>
      </c>
      <c r="K148" s="447">
        <v>0.0013</v>
      </c>
      <c r="L148" s="447">
        <v>0.0</v>
      </c>
      <c r="M148" s="447">
        <v>0.0</v>
      </c>
      <c r="N148" s="448"/>
      <c r="O148" s="454">
        <v>0.0</v>
      </c>
      <c r="P148" s="450">
        <v>0.0</v>
      </c>
      <c r="Q148" s="450">
        <v>0.0</v>
      </c>
      <c r="R148" s="450">
        <v>0.0</v>
      </c>
      <c r="S148" s="450">
        <v>0.0</v>
      </c>
      <c r="T148" s="450">
        <v>0.0</v>
      </c>
      <c r="U148" s="450">
        <v>0.0</v>
      </c>
      <c r="V148" s="450">
        <v>0.0</v>
      </c>
      <c r="W148" s="450">
        <v>0.0</v>
      </c>
      <c r="X148" s="450">
        <v>0.0</v>
      </c>
      <c r="Y148" s="450">
        <v>0.0</v>
      </c>
      <c r="Z148" s="220"/>
    </row>
    <row r="149" ht="15.75" customHeight="1">
      <c r="A149" s="220"/>
      <c r="B149" s="220"/>
      <c r="C149" s="448"/>
      <c r="D149" s="448"/>
      <c r="E149" s="448"/>
      <c r="F149" s="448"/>
      <c r="G149" s="448"/>
      <c r="H149" s="448"/>
      <c r="I149" s="448"/>
      <c r="J149" s="448"/>
      <c r="K149" s="448"/>
      <c r="L149" s="448"/>
      <c r="M149" s="448"/>
      <c r="N149" s="448"/>
      <c r="O149" s="448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</row>
    <row r="150" ht="15.75" customHeight="1">
      <c r="A150" s="220"/>
      <c r="B150" s="220"/>
      <c r="C150" s="448"/>
      <c r="D150" s="448"/>
      <c r="E150" s="448"/>
      <c r="F150" s="448"/>
      <c r="G150" s="448"/>
      <c r="H150" s="448"/>
      <c r="I150" s="448"/>
      <c r="J150" s="448"/>
      <c r="K150" s="448"/>
      <c r="L150" s="448"/>
      <c r="M150" s="448"/>
      <c r="N150" s="448"/>
      <c r="O150" s="448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0"/>
    </row>
    <row r="151" ht="15.75" customHeight="1">
      <c r="A151" s="220"/>
      <c r="B151" s="439" t="s">
        <v>1884</v>
      </c>
      <c r="C151" s="457" t="s">
        <v>1885</v>
      </c>
      <c r="D151" s="458"/>
      <c r="E151" s="458"/>
      <c r="F151" s="458"/>
      <c r="G151" s="458"/>
      <c r="H151" s="458"/>
      <c r="I151" s="458"/>
      <c r="J151" s="458"/>
      <c r="K151" s="458"/>
      <c r="L151" s="458"/>
      <c r="M151" s="458"/>
      <c r="N151" s="448"/>
      <c r="O151" s="459" t="s">
        <v>1886</v>
      </c>
      <c r="P151" s="441"/>
      <c r="Q151" s="441"/>
      <c r="R151" s="441"/>
      <c r="S151" s="441"/>
      <c r="T151" s="441"/>
      <c r="U151" s="441"/>
      <c r="V151" s="441"/>
      <c r="W151" s="441"/>
      <c r="X151" s="441"/>
      <c r="Y151" s="441"/>
      <c r="Z151" s="220"/>
    </row>
    <row r="152" ht="60.75" customHeight="1">
      <c r="A152" s="220"/>
      <c r="B152" s="442" t="s">
        <v>391</v>
      </c>
      <c r="C152" s="460" t="s">
        <v>1872</v>
      </c>
      <c r="D152" s="460" t="s">
        <v>72</v>
      </c>
      <c r="E152" s="460" t="s">
        <v>73</v>
      </c>
      <c r="F152" s="460" t="s">
        <v>74</v>
      </c>
      <c r="G152" s="460" t="s">
        <v>69</v>
      </c>
      <c r="H152" s="460" t="s">
        <v>70</v>
      </c>
      <c r="I152" s="460" t="s">
        <v>71</v>
      </c>
      <c r="J152" s="460" t="s">
        <v>1873</v>
      </c>
      <c r="K152" s="460" t="s">
        <v>1874</v>
      </c>
      <c r="L152" s="460" t="s">
        <v>1875</v>
      </c>
      <c r="M152" s="460" t="s">
        <v>75</v>
      </c>
      <c r="N152" s="448"/>
      <c r="O152" s="461" t="s">
        <v>1872</v>
      </c>
      <c r="P152" s="444" t="s">
        <v>72</v>
      </c>
      <c r="Q152" s="444" t="s">
        <v>73</v>
      </c>
      <c r="R152" s="444" t="s">
        <v>74</v>
      </c>
      <c r="S152" s="444" t="s">
        <v>69</v>
      </c>
      <c r="T152" s="444" t="s">
        <v>70</v>
      </c>
      <c r="U152" s="444" t="s">
        <v>71</v>
      </c>
      <c r="V152" s="444" t="s">
        <v>1873</v>
      </c>
      <c r="W152" s="444" t="s">
        <v>1874</v>
      </c>
      <c r="X152" s="444" t="s">
        <v>1875</v>
      </c>
      <c r="Y152" s="444" t="s">
        <v>75</v>
      </c>
      <c r="Z152" s="220"/>
    </row>
    <row r="153" ht="15.75" customHeight="1">
      <c r="A153" s="220"/>
      <c r="B153" s="445" t="s">
        <v>365</v>
      </c>
      <c r="C153" s="446">
        <f>LET(payer, $C$3, segment, $B$151, ECOGAINS_SIM(payer, segment))</f>
        <v>7.0883</v>
      </c>
      <c r="D153" s="447">
        <v>0.2724</v>
      </c>
      <c r="E153" s="447">
        <v>0.3376</v>
      </c>
      <c r="F153" s="447">
        <v>0.2915</v>
      </c>
      <c r="G153" s="447">
        <v>0.0</v>
      </c>
      <c r="H153" s="447">
        <v>0.0</v>
      </c>
      <c r="I153" s="447">
        <v>0.0</v>
      </c>
      <c r="J153" s="447">
        <v>0.0</v>
      </c>
      <c r="K153" s="447">
        <v>0.0</v>
      </c>
      <c r="L153" s="447">
        <v>0.0</v>
      </c>
      <c r="M153" s="447">
        <v>2.6759</v>
      </c>
      <c r="N153" s="448"/>
      <c r="O153" s="449">
        <f>LET(payer, $C$3, segment, $B$151, ECOGAINS_DIFF(payer, segment))</f>
        <v>0</v>
      </c>
      <c r="P153" s="450">
        <v>0.0</v>
      </c>
      <c r="Q153" s="450">
        <v>0.0</v>
      </c>
      <c r="R153" s="450">
        <v>0.0</v>
      </c>
      <c r="S153" s="450">
        <v>0.0</v>
      </c>
      <c r="T153" s="450">
        <v>0.0</v>
      </c>
      <c r="U153" s="450">
        <v>0.0</v>
      </c>
      <c r="V153" s="450">
        <v>0.0</v>
      </c>
      <c r="W153" s="450">
        <v>0.0</v>
      </c>
      <c r="X153" s="450">
        <v>0.0</v>
      </c>
      <c r="Y153" s="450">
        <v>0.0</v>
      </c>
      <c r="Z153" s="220"/>
    </row>
    <row r="154" ht="15.75" customHeight="1">
      <c r="A154" s="220"/>
      <c r="B154" s="445" t="s">
        <v>312</v>
      </c>
      <c r="C154" s="462">
        <v>1.3205</v>
      </c>
      <c r="D154" s="462">
        <v>0.0913</v>
      </c>
      <c r="E154" s="462">
        <v>0.0534</v>
      </c>
      <c r="F154" s="462">
        <v>0.0119</v>
      </c>
      <c r="G154" s="462">
        <v>0.0</v>
      </c>
      <c r="H154" s="462">
        <v>0.0</v>
      </c>
      <c r="I154" s="462">
        <v>1.0E-4</v>
      </c>
      <c r="J154" s="462">
        <v>0.0</v>
      </c>
      <c r="K154" s="462">
        <v>0.0</v>
      </c>
      <c r="L154" s="462">
        <v>0.0</v>
      </c>
      <c r="M154" s="462">
        <v>0.0</v>
      </c>
      <c r="N154" s="220"/>
      <c r="O154" s="450">
        <v>0.0</v>
      </c>
      <c r="P154" s="450">
        <v>0.0</v>
      </c>
      <c r="Q154" s="450">
        <v>0.0</v>
      </c>
      <c r="R154" s="450">
        <v>0.0</v>
      </c>
      <c r="S154" s="450">
        <v>0.0</v>
      </c>
      <c r="T154" s="450">
        <v>0.0</v>
      </c>
      <c r="U154" s="450">
        <v>0.0</v>
      </c>
      <c r="V154" s="450">
        <v>0.0</v>
      </c>
      <c r="W154" s="450">
        <v>0.0</v>
      </c>
      <c r="X154" s="450">
        <v>0.0</v>
      </c>
      <c r="Y154" s="450">
        <v>0.0</v>
      </c>
      <c r="Z154" s="220"/>
    </row>
    <row r="155" ht="15.75" customHeight="1">
      <c r="A155" s="220"/>
      <c r="B155" s="445" t="s">
        <v>189</v>
      </c>
      <c r="C155" s="462">
        <v>0.0889</v>
      </c>
      <c r="D155" s="462">
        <v>2.0E-4</v>
      </c>
      <c r="E155" s="462">
        <v>2.0E-4</v>
      </c>
      <c r="F155" s="462">
        <v>3.0E-4</v>
      </c>
      <c r="G155" s="462">
        <v>0.0025</v>
      </c>
      <c r="H155" s="462">
        <v>0.0647</v>
      </c>
      <c r="I155" s="462">
        <v>2.0E-4</v>
      </c>
      <c r="J155" s="462">
        <v>0.3274</v>
      </c>
      <c r="K155" s="462">
        <v>0.4764</v>
      </c>
      <c r="L155" s="462">
        <v>0.6181</v>
      </c>
      <c r="M155" s="462">
        <v>0.234</v>
      </c>
      <c r="N155" s="220"/>
      <c r="O155" s="450">
        <v>0.0</v>
      </c>
      <c r="P155" s="450">
        <v>0.0</v>
      </c>
      <c r="Q155" s="450">
        <v>0.0</v>
      </c>
      <c r="R155" s="450">
        <v>0.0</v>
      </c>
      <c r="S155" s="450">
        <v>0.0</v>
      </c>
      <c r="T155" s="450">
        <v>0.0</v>
      </c>
      <c r="U155" s="450">
        <v>0.0</v>
      </c>
      <c r="V155" s="450">
        <v>0.0</v>
      </c>
      <c r="W155" s="450">
        <v>0.0</v>
      </c>
      <c r="X155" s="450">
        <v>0.0</v>
      </c>
      <c r="Y155" s="450">
        <v>0.0</v>
      </c>
      <c r="Z155" s="220"/>
    </row>
    <row r="156" ht="15.75" customHeight="1">
      <c r="A156" s="220"/>
      <c r="B156" s="445" t="s">
        <v>311</v>
      </c>
      <c r="C156" s="462">
        <v>0.3087</v>
      </c>
      <c r="D156" s="462">
        <v>0.0257</v>
      </c>
      <c r="E156" s="462">
        <v>0.0141</v>
      </c>
      <c r="F156" s="462">
        <v>0.0024</v>
      </c>
      <c r="G156" s="462">
        <v>0.0</v>
      </c>
      <c r="H156" s="462">
        <v>0.0</v>
      </c>
      <c r="I156" s="462">
        <v>0.0</v>
      </c>
      <c r="J156" s="462">
        <v>0.0</v>
      </c>
      <c r="K156" s="462">
        <v>0.0</v>
      </c>
      <c r="L156" s="462">
        <v>0.0</v>
      </c>
      <c r="M156" s="462">
        <v>0.0</v>
      </c>
      <c r="N156" s="220"/>
      <c r="O156" s="450">
        <v>0.0</v>
      </c>
      <c r="P156" s="450">
        <v>0.0</v>
      </c>
      <c r="Q156" s="450">
        <v>0.0</v>
      </c>
      <c r="R156" s="450">
        <v>0.0</v>
      </c>
      <c r="S156" s="450">
        <v>0.0</v>
      </c>
      <c r="T156" s="450">
        <v>0.0</v>
      </c>
      <c r="U156" s="450">
        <v>0.0</v>
      </c>
      <c r="V156" s="450">
        <v>0.0</v>
      </c>
      <c r="W156" s="450">
        <v>0.0</v>
      </c>
      <c r="X156" s="450">
        <v>0.0</v>
      </c>
      <c r="Y156" s="450">
        <v>0.0</v>
      </c>
      <c r="Z156" s="220"/>
    </row>
    <row r="157" ht="15.75" customHeight="1">
      <c r="A157" s="220"/>
      <c r="B157" s="445" t="s">
        <v>366</v>
      </c>
      <c r="C157" s="462">
        <v>0.3753</v>
      </c>
      <c r="D157" s="462">
        <v>0.0048</v>
      </c>
      <c r="E157" s="462">
        <v>0.0082</v>
      </c>
      <c r="F157" s="462">
        <v>0.0059</v>
      </c>
      <c r="G157" s="462">
        <v>0.0032</v>
      </c>
      <c r="H157" s="462">
        <v>0.0038</v>
      </c>
      <c r="I157" s="462">
        <v>0.0037</v>
      </c>
      <c r="J157" s="462">
        <v>0.0</v>
      </c>
      <c r="K157" s="462">
        <v>0.0</v>
      </c>
      <c r="L157" s="462">
        <v>0.0</v>
      </c>
      <c r="M157" s="462">
        <v>0.258</v>
      </c>
      <c r="N157" s="220"/>
      <c r="O157" s="450">
        <v>0.0</v>
      </c>
      <c r="P157" s="450">
        <v>0.0</v>
      </c>
      <c r="Q157" s="450">
        <v>0.0</v>
      </c>
      <c r="R157" s="450">
        <v>0.0</v>
      </c>
      <c r="S157" s="450">
        <v>0.0</v>
      </c>
      <c r="T157" s="450">
        <v>0.0</v>
      </c>
      <c r="U157" s="450">
        <v>0.0</v>
      </c>
      <c r="V157" s="450">
        <v>0.0</v>
      </c>
      <c r="W157" s="450">
        <v>0.0</v>
      </c>
      <c r="X157" s="450">
        <v>0.0</v>
      </c>
      <c r="Y157" s="450">
        <v>0.0</v>
      </c>
      <c r="Z157" s="220"/>
    </row>
    <row r="158" ht="15.75" customHeight="1">
      <c r="A158" s="220"/>
      <c r="B158" s="455" t="s">
        <v>367</v>
      </c>
      <c r="C158" s="463">
        <v>48.91631706036745</v>
      </c>
      <c r="D158" s="463">
        <v>1.4596</v>
      </c>
      <c r="E158" s="463">
        <v>1.2316</v>
      </c>
      <c r="F158" s="463">
        <v>0.2783</v>
      </c>
      <c r="G158" s="463">
        <v>0.0</v>
      </c>
      <c r="H158" s="463">
        <v>0.0</v>
      </c>
      <c r="I158" s="463">
        <v>0.0</v>
      </c>
      <c r="J158" s="463">
        <v>30.5357</v>
      </c>
      <c r="K158" s="463">
        <v>19.124</v>
      </c>
      <c r="L158" s="463">
        <v>14.1246</v>
      </c>
      <c r="M158" s="463">
        <v>77.0285</v>
      </c>
      <c r="N158" s="220"/>
      <c r="O158" s="450">
        <v>-31.41608293963256</v>
      </c>
      <c r="P158" s="450">
        <v>0.0</v>
      </c>
      <c r="Q158" s="450">
        <v>0.0</v>
      </c>
      <c r="R158" s="450">
        <v>0.0</v>
      </c>
      <c r="S158" s="450">
        <v>0.0</v>
      </c>
      <c r="T158" s="450">
        <v>0.0</v>
      </c>
      <c r="U158" s="450">
        <v>0.0</v>
      </c>
      <c r="V158" s="450">
        <v>0.0</v>
      </c>
      <c r="W158" s="450">
        <v>0.0</v>
      </c>
      <c r="X158" s="450">
        <v>0.0</v>
      </c>
      <c r="Y158" s="450">
        <v>0.0</v>
      </c>
      <c r="Z158" s="220"/>
    </row>
    <row r="159" ht="15.75" customHeight="1">
      <c r="A159" s="220"/>
      <c r="B159" s="445" t="s">
        <v>368</v>
      </c>
      <c r="C159" s="462">
        <v>0.2881</v>
      </c>
      <c r="D159" s="462">
        <v>0.0036</v>
      </c>
      <c r="E159" s="462">
        <v>1.0E-4</v>
      </c>
      <c r="F159" s="462">
        <v>8.0E-4</v>
      </c>
      <c r="G159" s="462">
        <v>0.0072</v>
      </c>
      <c r="H159" s="462">
        <v>0.0036</v>
      </c>
      <c r="I159" s="462">
        <v>1.0E-4</v>
      </c>
      <c r="J159" s="462">
        <v>0.0</v>
      </c>
      <c r="K159" s="462">
        <v>4.0E-4</v>
      </c>
      <c r="L159" s="462">
        <v>0.0</v>
      </c>
      <c r="M159" s="462">
        <v>0.2698</v>
      </c>
      <c r="N159" s="220"/>
      <c r="O159" s="450">
        <v>0.0</v>
      </c>
      <c r="P159" s="450">
        <v>0.0</v>
      </c>
      <c r="Q159" s="450">
        <v>0.0</v>
      </c>
      <c r="R159" s="450">
        <v>0.0</v>
      </c>
      <c r="S159" s="450">
        <v>0.0</v>
      </c>
      <c r="T159" s="450">
        <v>0.0</v>
      </c>
      <c r="U159" s="450">
        <v>0.0</v>
      </c>
      <c r="V159" s="450">
        <v>0.0</v>
      </c>
      <c r="W159" s="450">
        <v>0.0</v>
      </c>
      <c r="X159" s="450">
        <v>0.0</v>
      </c>
      <c r="Y159" s="450">
        <v>0.0</v>
      </c>
      <c r="Z159" s="220"/>
    </row>
    <row r="160" ht="15.75" customHeight="1">
      <c r="A160" s="220"/>
      <c r="B160" s="445" t="s">
        <v>49</v>
      </c>
      <c r="C160" s="462">
        <v>0.0</v>
      </c>
      <c r="D160" s="462">
        <v>0.0614</v>
      </c>
      <c r="E160" s="462">
        <v>0.0</v>
      </c>
      <c r="F160" s="462">
        <v>0.0</v>
      </c>
      <c r="G160" s="462">
        <v>0.0801</v>
      </c>
      <c r="H160" s="462">
        <v>0.0683</v>
      </c>
      <c r="I160" s="462">
        <v>0.0952</v>
      </c>
      <c r="J160" s="462">
        <v>0.0</v>
      </c>
      <c r="K160" s="462">
        <v>0.0</v>
      </c>
      <c r="L160" s="462">
        <v>0.0</v>
      </c>
      <c r="M160" s="462">
        <v>47.5852</v>
      </c>
      <c r="N160" s="220"/>
      <c r="O160" s="450">
        <v>0.0</v>
      </c>
      <c r="P160" s="450">
        <v>0.0</v>
      </c>
      <c r="Q160" s="450">
        <v>0.0</v>
      </c>
      <c r="R160" s="450">
        <v>0.0</v>
      </c>
      <c r="S160" s="450">
        <v>0.0</v>
      </c>
      <c r="T160" s="450">
        <v>0.0</v>
      </c>
      <c r="U160" s="450">
        <v>0.0</v>
      </c>
      <c r="V160" s="450">
        <v>0.0</v>
      </c>
      <c r="W160" s="450">
        <v>0.0</v>
      </c>
      <c r="X160" s="450">
        <v>0.0</v>
      </c>
      <c r="Y160" s="450">
        <v>0.0</v>
      </c>
      <c r="Z160" s="220"/>
    </row>
    <row r="161" ht="15.75" customHeight="1">
      <c r="A161" s="220"/>
      <c r="B161" s="445" t="s">
        <v>44</v>
      </c>
      <c r="C161" s="462">
        <v>0.6628</v>
      </c>
      <c r="D161" s="462">
        <v>0.0108</v>
      </c>
      <c r="E161" s="462">
        <v>0.0381</v>
      </c>
      <c r="F161" s="462">
        <v>0.0088</v>
      </c>
      <c r="G161" s="462">
        <v>0.2458</v>
      </c>
      <c r="H161" s="462">
        <v>0.0869</v>
      </c>
      <c r="I161" s="462">
        <v>0.0482</v>
      </c>
      <c r="J161" s="462">
        <v>0.0</v>
      </c>
      <c r="K161" s="462">
        <v>0.1232</v>
      </c>
      <c r="L161" s="462">
        <v>0.2448</v>
      </c>
      <c r="M161" s="462">
        <v>8.2491</v>
      </c>
      <c r="N161" s="220"/>
      <c r="O161" s="450">
        <v>0.0</v>
      </c>
      <c r="P161" s="450">
        <v>0.0</v>
      </c>
      <c r="Q161" s="450">
        <v>0.0</v>
      </c>
      <c r="R161" s="450">
        <v>0.0</v>
      </c>
      <c r="S161" s="450">
        <v>0.0</v>
      </c>
      <c r="T161" s="450">
        <v>0.0</v>
      </c>
      <c r="U161" s="450">
        <v>0.0</v>
      </c>
      <c r="V161" s="450">
        <v>0.0</v>
      </c>
      <c r="W161" s="450">
        <v>0.0</v>
      </c>
      <c r="X161" s="450">
        <v>0.0</v>
      </c>
      <c r="Y161" s="450">
        <v>0.0</v>
      </c>
      <c r="Z161" s="220"/>
    </row>
    <row r="162" ht="15.75" customHeight="1">
      <c r="A162" s="220"/>
      <c r="B162" s="445" t="s">
        <v>369</v>
      </c>
      <c r="C162" s="462">
        <v>0.31</v>
      </c>
      <c r="D162" s="462">
        <v>7.0E-4</v>
      </c>
      <c r="E162" s="462">
        <v>0.0</v>
      </c>
      <c r="F162" s="462">
        <v>7.0E-4</v>
      </c>
      <c r="G162" s="462">
        <v>0.0102</v>
      </c>
      <c r="H162" s="462">
        <v>0.2301</v>
      </c>
      <c r="I162" s="462">
        <v>4.0E-4</v>
      </c>
      <c r="J162" s="462">
        <v>0.907</v>
      </c>
      <c r="K162" s="462">
        <v>1.9928</v>
      </c>
      <c r="L162" s="462">
        <v>2.5867</v>
      </c>
      <c r="M162" s="462">
        <v>0.95</v>
      </c>
      <c r="N162" s="220"/>
      <c r="O162" s="450">
        <v>0.0</v>
      </c>
      <c r="P162" s="450">
        <v>0.0</v>
      </c>
      <c r="Q162" s="450">
        <v>0.0</v>
      </c>
      <c r="R162" s="450">
        <v>0.0</v>
      </c>
      <c r="S162" s="450">
        <v>0.0</v>
      </c>
      <c r="T162" s="450">
        <v>0.0</v>
      </c>
      <c r="U162" s="450">
        <v>0.0</v>
      </c>
      <c r="V162" s="450">
        <v>0.0</v>
      </c>
      <c r="W162" s="450">
        <v>0.0</v>
      </c>
      <c r="X162" s="450">
        <v>0.0</v>
      </c>
      <c r="Y162" s="450">
        <v>0.0</v>
      </c>
      <c r="Z162" s="220"/>
    </row>
    <row r="163" ht="15.75" customHeight="1">
      <c r="A163" s="220"/>
      <c r="B163" s="445" t="s">
        <v>43</v>
      </c>
      <c r="C163" s="462">
        <v>0.6626</v>
      </c>
      <c r="D163" s="462">
        <v>0.0114</v>
      </c>
      <c r="E163" s="462">
        <v>0.0076</v>
      </c>
      <c r="F163" s="462">
        <v>0.0023</v>
      </c>
      <c r="G163" s="462">
        <v>0.0083</v>
      </c>
      <c r="H163" s="462">
        <v>0.0068</v>
      </c>
      <c r="I163" s="462">
        <v>0.0086</v>
      </c>
      <c r="J163" s="462">
        <v>0.0</v>
      </c>
      <c r="K163" s="462">
        <v>0.0</v>
      </c>
      <c r="L163" s="462">
        <v>0.0</v>
      </c>
      <c r="M163" s="462">
        <v>0.4805</v>
      </c>
      <c r="N163" s="220"/>
      <c r="O163" s="450">
        <v>0.0</v>
      </c>
      <c r="P163" s="450">
        <v>0.0</v>
      </c>
      <c r="Q163" s="450">
        <v>0.0</v>
      </c>
      <c r="R163" s="450">
        <v>0.0</v>
      </c>
      <c r="S163" s="450">
        <v>0.0</v>
      </c>
      <c r="T163" s="450">
        <v>0.0</v>
      </c>
      <c r="U163" s="450">
        <v>0.0</v>
      </c>
      <c r="V163" s="450">
        <v>0.0</v>
      </c>
      <c r="W163" s="450">
        <v>0.0</v>
      </c>
      <c r="X163" s="450">
        <v>0.0</v>
      </c>
      <c r="Y163" s="450">
        <v>0.0</v>
      </c>
      <c r="Z163" s="220"/>
    </row>
    <row r="164" ht="15.75" customHeight="1">
      <c r="A164" s="220"/>
      <c r="B164" s="445" t="s">
        <v>50</v>
      </c>
      <c r="C164" s="462">
        <v>1.6291</v>
      </c>
      <c r="D164" s="462">
        <v>0.0187</v>
      </c>
      <c r="E164" s="462">
        <v>0.0237</v>
      </c>
      <c r="F164" s="462">
        <v>0.0294</v>
      </c>
      <c r="G164" s="462">
        <v>0.0036</v>
      </c>
      <c r="H164" s="462">
        <v>0.0087</v>
      </c>
      <c r="I164" s="462">
        <v>0.0224</v>
      </c>
      <c r="J164" s="462">
        <v>0.0</v>
      </c>
      <c r="K164" s="462">
        <v>0.0</v>
      </c>
      <c r="L164" s="462">
        <v>0.0</v>
      </c>
      <c r="M164" s="462">
        <v>0.2066</v>
      </c>
      <c r="N164" s="220"/>
      <c r="O164" s="450">
        <v>0.0</v>
      </c>
      <c r="P164" s="450">
        <v>0.0</v>
      </c>
      <c r="Q164" s="450">
        <v>0.0</v>
      </c>
      <c r="R164" s="450">
        <v>0.0</v>
      </c>
      <c r="S164" s="450">
        <v>0.0</v>
      </c>
      <c r="T164" s="450">
        <v>0.0</v>
      </c>
      <c r="U164" s="450">
        <v>0.0</v>
      </c>
      <c r="V164" s="450">
        <v>0.0</v>
      </c>
      <c r="W164" s="450">
        <v>0.0</v>
      </c>
      <c r="X164" s="450">
        <v>0.0</v>
      </c>
      <c r="Y164" s="450">
        <v>0.0</v>
      </c>
      <c r="Z164" s="220"/>
    </row>
    <row r="165" ht="15.75" customHeight="1">
      <c r="A165" s="220"/>
      <c r="B165" s="445" t="s">
        <v>370</v>
      </c>
      <c r="C165" s="462">
        <v>3.7821</v>
      </c>
      <c r="D165" s="462">
        <v>0.1154</v>
      </c>
      <c r="E165" s="462">
        <v>0.0795</v>
      </c>
      <c r="F165" s="462">
        <v>0.0318</v>
      </c>
      <c r="G165" s="462">
        <v>0.909</v>
      </c>
      <c r="H165" s="462">
        <v>0.7675</v>
      </c>
      <c r="I165" s="462">
        <v>1.0762</v>
      </c>
      <c r="J165" s="462">
        <v>0.6909</v>
      </c>
      <c r="K165" s="462">
        <v>0.2001</v>
      </c>
      <c r="L165" s="462">
        <v>0.1446</v>
      </c>
      <c r="M165" s="462">
        <v>0.9354</v>
      </c>
      <c r="N165" s="220"/>
      <c r="O165" s="450">
        <v>0.0</v>
      </c>
      <c r="P165" s="450">
        <v>0.0</v>
      </c>
      <c r="Q165" s="450">
        <v>0.0</v>
      </c>
      <c r="R165" s="450">
        <v>0.0</v>
      </c>
      <c r="S165" s="450">
        <v>0.0</v>
      </c>
      <c r="T165" s="450">
        <v>0.0</v>
      </c>
      <c r="U165" s="450">
        <v>0.0</v>
      </c>
      <c r="V165" s="450">
        <v>0.0</v>
      </c>
      <c r="W165" s="450">
        <v>0.0</v>
      </c>
      <c r="X165" s="450">
        <v>0.0</v>
      </c>
      <c r="Y165" s="450">
        <v>0.0</v>
      </c>
      <c r="Z165" s="220"/>
    </row>
    <row r="166" ht="15.75" customHeight="1">
      <c r="A166" s="220"/>
      <c r="B166" s="445" t="s">
        <v>35</v>
      </c>
      <c r="C166" s="462">
        <v>0.1222</v>
      </c>
      <c r="D166" s="462">
        <v>0.0</v>
      </c>
      <c r="E166" s="462">
        <v>5.0E-4</v>
      </c>
      <c r="F166" s="462">
        <v>0.0</v>
      </c>
      <c r="G166" s="462">
        <v>0.0029</v>
      </c>
      <c r="H166" s="462">
        <v>0.0258</v>
      </c>
      <c r="I166" s="462">
        <v>3.0E-4</v>
      </c>
      <c r="J166" s="462">
        <v>0.085</v>
      </c>
      <c r="K166" s="462">
        <v>0.06</v>
      </c>
      <c r="L166" s="462">
        <v>0.1133</v>
      </c>
      <c r="M166" s="462">
        <v>0.4036</v>
      </c>
      <c r="N166" s="220"/>
      <c r="O166" s="450">
        <v>0.0</v>
      </c>
      <c r="P166" s="450">
        <v>0.0</v>
      </c>
      <c r="Q166" s="450">
        <v>0.0</v>
      </c>
      <c r="R166" s="450">
        <v>0.0</v>
      </c>
      <c r="S166" s="450">
        <v>0.0</v>
      </c>
      <c r="T166" s="450">
        <v>0.0</v>
      </c>
      <c r="U166" s="450">
        <v>0.0</v>
      </c>
      <c r="V166" s="450">
        <v>0.0</v>
      </c>
      <c r="W166" s="450">
        <v>0.0</v>
      </c>
      <c r="X166" s="450">
        <v>0.0</v>
      </c>
      <c r="Y166" s="450">
        <v>0.0</v>
      </c>
      <c r="Z166" s="220"/>
    </row>
    <row r="167" ht="15.75" customHeight="1">
      <c r="A167" s="220"/>
      <c r="B167" s="445" t="s">
        <v>310</v>
      </c>
      <c r="C167" s="462">
        <v>1.2011</v>
      </c>
      <c r="D167" s="462">
        <v>0.0954</v>
      </c>
      <c r="E167" s="462">
        <v>0.0524</v>
      </c>
      <c r="F167" s="462">
        <v>0.01</v>
      </c>
      <c r="G167" s="462">
        <v>1.0E-4</v>
      </c>
      <c r="H167" s="462">
        <v>0.0</v>
      </c>
      <c r="I167" s="462">
        <v>0.0</v>
      </c>
      <c r="J167" s="462">
        <v>0.0</v>
      </c>
      <c r="K167" s="462">
        <v>0.0</v>
      </c>
      <c r="L167" s="462">
        <v>0.0</v>
      </c>
      <c r="M167" s="462">
        <v>0.0</v>
      </c>
      <c r="N167" s="220"/>
      <c r="O167" s="450">
        <v>0.0</v>
      </c>
      <c r="P167" s="450">
        <v>0.0</v>
      </c>
      <c r="Q167" s="450">
        <v>0.0</v>
      </c>
      <c r="R167" s="450">
        <v>0.0</v>
      </c>
      <c r="S167" s="450">
        <v>0.0</v>
      </c>
      <c r="T167" s="450">
        <v>0.0</v>
      </c>
      <c r="U167" s="450">
        <v>0.0</v>
      </c>
      <c r="V167" s="450">
        <v>0.0</v>
      </c>
      <c r="W167" s="450">
        <v>0.0</v>
      </c>
      <c r="X167" s="450">
        <v>0.0</v>
      </c>
      <c r="Y167" s="450">
        <v>0.0</v>
      </c>
      <c r="Z167" s="220"/>
    </row>
    <row r="168" ht="15.75" customHeight="1">
      <c r="A168" s="220"/>
      <c r="B168" s="451" t="s">
        <v>134</v>
      </c>
      <c r="C168" s="463">
        <v>0.0</v>
      </c>
      <c r="D168" s="463">
        <v>0.0</v>
      </c>
      <c r="E168" s="463">
        <v>0.0</v>
      </c>
      <c r="F168" s="463">
        <v>0.0</v>
      </c>
      <c r="G168" s="463">
        <v>0.0</v>
      </c>
      <c r="H168" s="463">
        <v>0.0</v>
      </c>
      <c r="I168" s="463">
        <v>0.0</v>
      </c>
      <c r="J168" s="463">
        <v>0.0</v>
      </c>
      <c r="K168" s="463">
        <v>0.0</v>
      </c>
      <c r="L168" s="463">
        <v>0.0</v>
      </c>
      <c r="M168" s="463">
        <v>0.0</v>
      </c>
      <c r="N168" s="220"/>
      <c r="O168" s="450">
        <v>-0.1178</v>
      </c>
      <c r="P168" s="450">
        <v>-0.0019</v>
      </c>
      <c r="Q168" s="450">
        <v>-0.0044</v>
      </c>
      <c r="R168" s="450">
        <v>-0.006</v>
      </c>
      <c r="S168" s="450">
        <v>-0.0016</v>
      </c>
      <c r="T168" s="450">
        <v>-0.0012</v>
      </c>
      <c r="U168" s="450">
        <v>-0.0026</v>
      </c>
      <c r="V168" s="450">
        <v>-0.0978</v>
      </c>
      <c r="W168" s="450">
        <v>-0.051</v>
      </c>
      <c r="X168" s="450">
        <v>-0.0566</v>
      </c>
      <c r="Y168" s="450">
        <v>-0.0059</v>
      </c>
      <c r="Z168" s="220"/>
    </row>
    <row r="169" ht="15.75" customHeight="1">
      <c r="A169" s="220"/>
      <c r="B169" s="455" t="s">
        <v>371</v>
      </c>
      <c r="C169" s="463">
        <v>0.45296</v>
      </c>
      <c r="D169" s="463">
        <v>0.0091</v>
      </c>
      <c r="E169" s="463">
        <v>0.0131</v>
      </c>
      <c r="F169" s="463">
        <v>0.0157</v>
      </c>
      <c r="G169" s="463">
        <v>0.0279</v>
      </c>
      <c r="H169" s="463">
        <v>0.030533333333333336</v>
      </c>
      <c r="I169" s="463">
        <v>0.0127</v>
      </c>
      <c r="J169" s="463">
        <v>0.0106</v>
      </c>
      <c r="K169" s="463">
        <v>0.0</v>
      </c>
      <c r="L169" s="463">
        <v>4.0E-4</v>
      </c>
      <c r="M169" s="463">
        <v>0.6676</v>
      </c>
      <c r="N169" s="220"/>
      <c r="O169" s="450">
        <v>-0.11324000000000006</v>
      </c>
      <c r="P169" s="450">
        <v>0.0</v>
      </c>
      <c r="Q169" s="450">
        <v>0.0</v>
      </c>
      <c r="R169" s="450">
        <v>0.0</v>
      </c>
      <c r="S169" s="450">
        <v>0.0</v>
      </c>
      <c r="T169" s="450">
        <v>0.007633333333333336</v>
      </c>
      <c r="U169" s="450">
        <v>0.0</v>
      </c>
      <c r="V169" s="450">
        <v>0.0</v>
      </c>
      <c r="W169" s="450">
        <v>0.0</v>
      </c>
      <c r="X169" s="450">
        <v>0.0</v>
      </c>
      <c r="Y169" s="450">
        <v>0.0</v>
      </c>
      <c r="Z169" s="220"/>
    </row>
    <row r="170" ht="15.75" customHeight="1">
      <c r="A170" s="220"/>
      <c r="B170" s="445" t="s">
        <v>372</v>
      </c>
      <c r="C170" s="462">
        <v>5.2918</v>
      </c>
      <c r="D170" s="462">
        <v>0.0231</v>
      </c>
      <c r="E170" s="462">
        <v>0.109</v>
      </c>
      <c r="F170" s="462">
        <v>0.0</v>
      </c>
      <c r="G170" s="462">
        <v>0.4792</v>
      </c>
      <c r="H170" s="462">
        <v>0.5634</v>
      </c>
      <c r="I170" s="462">
        <v>0.0838</v>
      </c>
      <c r="J170" s="462">
        <v>0.2175</v>
      </c>
      <c r="K170" s="462">
        <v>10.6575</v>
      </c>
      <c r="L170" s="462">
        <v>8.6975</v>
      </c>
      <c r="M170" s="462">
        <v>16.7548</v>
      </c>
      <c r="N170" s="220"/>
      <c r="O170" s="450">
        <v>0.0</v>
      </c>
      <c r="P170" s="450">
        <v>0.0</v>
      </c>
      <c r="Q170" s="450">
        <v>0.0</v>
      </c>
      <c r="R170" s="450">
        <v>0.0</v>
      </c>
      <c r="S170" s="450">
        <v>0.0</v>
      </c>
      <c r="T170" s="450">
        <v>0.0</v>
      </c>
      <c r="U170" s="450">
        <v>0.0</v>
      </c>
      <c r="V170" s="450">
        <v>0.0</v>
      </c>
      <c r="W170" s="450">
        <v>0.0</v>
      </c>
      <c r="X170" s="450">
        <v>0.0</v>
      </c>
      <c r="Y170" s="450">
        <v>0.0</v>
      </c>
      <c r="Z170" s="220"/>
    </row>
    <row r="171" ht="15.75" customHeight="1">
      <c r="A171" s="220"/>
      <c r="B171" s="445" t="s">
        <v>32</v>
      </c>
      <c r="C171" s="462">
        <v>1.225</v>
      </c>
      <c r="D171" s="462">
        <v>0.1122</v>
      </c>
      <c r="E171" s="462">
        <v>0.0582</v>
      </c>
      <c r="F171" s="462">
        <v>0.0098</v>
      </c>
      <c r="G171" s="462">
        <v>3.0E-4</v>
      </c>
      <c r="H171" s="462">
        <v>1.0E-4</v>
      </c>
      <c r="I171" s="462">
        <v>0.0</v>
      </c>
      <c r="J171" s="462">
        <v>0.0</v>
      </c>
      <c r="K171" s="462">
        <v>0.0</v>
      </c>
      <c r="L171" s="462">
        <v>0.0</v>
      </c>
      <c r="M171" s="462">
        <v>0.0688</v>
      </c>
      <c r="N171" s="220"/>
      <c r="O171" s="450">
        <v>0.0</v>
      </c>
      <c r="P171" s="450">
        <v>0.0</v>
      </c>
      <c r="Q171" s="450">
        <v>0.0</v>
      </c>
      <c r="R171" s="450">
        <v>0.0</v>
      </c>
      <c r="S171" s="450">
        <v>0.0</v>
      </c>
      <c r="T171" s="450">
        <v>0.0</v>
      </c>
      <c r="U171" s="450">
        <v>0.0</v>
      </c>
      <c r="V171" s="450">
        <v>0.0</v>
      </c>
      <c r="W171" s="450">
        <v>0.0</v>
      </c>
      <c r="X171" s="450">
        <v>0.0</v>
      </c>
      <c r="Y171" s="450">
        <v>0.0</v>
      </c>
      <c r="Z171" s="220"/>
    </row>
    <row r="172" ht="15.75" customHeight="1">
      <c r="A172" s="220"/>
      <c r="B172" s="445" t="s">
        <v>40</v>
      </c>
      <c r="C172" s="462">
        <v>9.4246</v>
      </c>
      <c r="D172" s="462">
        <v>0.2233</v>
      </c>
      <c r="E172" s="462">
        <v>0.123</v>
      </c>
      <c r="F172" s="462">
        <v>0.0809</v>
      </c>
      <c r="G172" s="462">
        <v>0.0</v>
      </c>
      <c r="H172" s="462">
        <v>0.0</v>
      </c>
      <c r="I172" s="462">
        <v>0.0</v>
      </c>
      <c r="J172" s="462">
        <v>0.0</v>
      </c>
      <c r="K172" s="462">
        <v>6.0E-4</v>
      </c>
      <c r="L172" s="462">
        <v>4.0E-4</v>
      </c>
      <c r="M172" s="462">
        <v>0.0011</v>
      </c>
      <c r="N172" s="220"/>
      <c r="O172" s="450">
        <v>0.0</v>
      </c>
      <c r="P172" s="450">
        <v>0.0</v>
      </c>
      <c r="Q172" s="450">
        <v>0.0</v>
      </c>
      <c r="R172" s="450">
        <v>0.0</v>
      </c>
      <c r="S172" s="450">
        <v>0.0</v>
      </c>
      <c r="T172" s="450">
        <v>0.0</v>
      </c>
      <c r="U172" s="450">
        <v>0.0</v>
      </c>
      <c r="V172" s="450">
        <v>0.0</v>
      </c>
      <c r="W172" s="450">
        <v>0.0</v>
      </c>
      <c r="X172" s="450">
        <v>0.0</v>
      </c>
      <c r="Y172" s="450">
        <v>0.0</v>
      </c>
      <c r="Z172" s="220"/>
    </row>
    <row r="173" ht="15.75" customHeight="1">
      <c r="A173" s="220"/>
      <c r="B173" s="445" t="s">
        <v>42</v>
      </c>
      <c r="C173" s="462">
        <v>14.9567</v>
      </c>
      <c r="D173" s="462">
        <v>0.1947</v>
      </c>
      <c r="E173" s="462">
        <v>0.2889</v>
      </c>
      <c r="F173" s="462">
        <v>0.8305</v>
      </c>
      <c r="G173" s="462">
        <v>0.0595</v>
      </c>
      <c r="H173" s="462">
        <v>0.0935</v>
      </c>
      <c r="I173" s="462">
        <v>0.2936</v>
      </c>
      <c r="J173" s="462">
        <v>0.0028</v>
      </c>
      <c r="K173" s="462">
        <v>6.0E-4</v>
      </c>
      <c r="L173" s="462">
        <v>4.0E-4</v>
      </c>
      <c r="M173" s="462">
        <v>0.0016</v>
      </c>
      <c r="N173" s="220"/>
      <c r="O173" s="450">
        <v>0.0</v>
      </c>
      <c r="P173" s="450">
        <v>0.0</v>
      </c>
      <c r="Q173" s="450">
        <v>0.0</v>
      </c>
      <c r="R173" s="450">
        <v>0.0</v>
      </c>
      <c r="S173" s="450">
        <v>0.0</v>
      </c>
      <c r="T173" s="450">
        <v>0.0</v>
      </c>
      <c r="U173" s="450">
        <v>0.0</v>
      </c>
      <c r="V173" s="450">
        <v>0.0</v>
      </c>
      <c r="W173" s="450">
        <v>0.0</v>
      </c>
      <c r="X173" s="450">
        <v>0.0</v>
      </c>
      <c r="Y173" s="450">
        <v>0.0</v>
      </c>
      <c r="Z173" s="220"/>
    </row>
    <row r="174" ht="15.75" customHeight="1">
      <c r="A174" s="220"/>
      <c r="B174" s="445" t="s">
        <v>46</v>
      </c>
      <c r="C174" s="462">
        <v>0.0</v>
      </c>
      <c r="D174" s="462">
        <v>0.0</v>
      </c>
      <c r="E174" s="462">
        <v>0.0</v>
      </c>
      <c r="F174" s="462">
        <v>0.0</v>
      </c>
      <c r="G174" s="462">
        <v>0.0</v>
      </c>
      <c r="H174" s="462">
        <v>0.0</v>
      </c>
      <c r="I174" s="462">
        <v>0.0</v>
      </c>
      <c r="J174" s="462">
        <v>0.0</v>
      </c>
      <c r="K174" s="462">
        <v>0.0018</v>
      </c>
      <c r="L174" s="462">
        <v>0.0</v>
      </c>
      <c r="M174" s="462">
        <v>0.0011</v>
      </c>
      <c r="N174" s="220"/>
      <c r="O174" s="450">
        <v>0.0</v>
      </c>
      <c r="P174" s="450">
        <v>0.0</v>
      </c>
      <c r="Q174" s="450">
        <v>0.0</v>
      </c>
      <c r="R174" s="450">
        <v>0.0</v>
      </c>
      <c r="S174" s="450">
        <v>0.0</v>
      </c>
      <c r="T174" s="450">
        <v>0.0</v>
      </c>
      <c r="U174" s="450">
        <v>0.0</v>
      </c>
      <c r="V174" s="450">
        <v>0.0</v>
      </c>
      <c r="W174" s="450">
        <v>0.0</v>
      </c>
      <c r="X174" s="450">
        <v>0.0</v>
      </c>
      <c r="Y174" s="450">
        <v>0.0</v>
      </c>
      <c r="Z174" s="220"/>
    </row>
    <row r="175" ht="15.75" customHeight="1">
      <c r="A175" s="220"/>
      <c r="B175" s="445" t="s">
        <v>373</v>
      </c>
      <c r="C175" s="462">
        <v>0.0</v>
      </c>
      <c r="D175" s="462">
        <v>0.0</v>
      </c>
      <c r="E175" s="462">
        <v>0.0</v>
      </c>
      <c r="F175" s="462">
        <v>1.0E-4</v>
      </c>
      <c r="G175" s="462">
        <v>0.0</v>
      </c>
      <c r="H175" s="462">
        <v>0.0</v>
      </c>
      <c r="I175" s="462">
        <v>4.0E-4</v>
      </c>
      <c r="J175" s="462">
        <v>0.0</v>
      </c>
      <c r="K175" s="462">
        <v>0.0</v>
      </c>
      <c r="L175" s="462">
        <v>0.0011</v>
      </c>
      <c r="M175" s="462">
        <v>1.0E-4</v>
      </c>
      <c r="N175" s="220"/>
      <c r="O175" s="450">
        <v>0.0</v>
      </c>
      <c r="P175" s="450">
        <v>0.0</v>
      </c>
      <c r="Q175" s="450">
        <v>0.0</v>
      </c>
      <c r="R175" s="450">
        <v>0.0</v>
      </c>
      <c r="S175" s="450">
        <v>0.0</v>
      </c>
      <c r="T175" s="450">
        <v>0.0</v>
      </c>
      <c r="U175" s="450">
        <v>0.0</v>
      </c>
      <c r="V175" s="450">
        <v>0.0</v>
      </c>
      <c r="W175" s="450">
        <v>0.0</v>
      </c>
      <c r="X175" s="450">
        <v>0.0</v>
      </c>
      <c r="Y175" s="450">
        <v>0.0</v>
      </c>
      <c r="Z175" s="220"/>
    </row>
    <row r="176" ht="15.75" customHeight="1">
      <c r="A176" s="220"/>
      <c r="B176" s="445" t="s">
        <v>54</v>
      </c>
      <c r="C176" s="462">
        <v>0.0</v>
      </c>
      <c r="D176" s="462">
        <v>0.0</v>
      </c>
      <c r="E176" s="462">
        <v>0.0</v>
      </c>
      <c r="F176" s="462">
        <v>0.0</v>
      </c>
      <c r="G176" s="462">
        <v>0.0</v>
      </c>
      <c r="H176" s="462">
        <v>0.0</v>
      </c>
      <c r="I176" s="462">
        <v>0.0</v>
      </c>
      <c r="J176" s="462">
        <v>0.0</v>
      </c>
      <c r="K176" s="462">
        <v>0.0</v>
      </c>
      <c r="L176" s="462">
        <v>0.0</v>
      </c>
      <c r="M176" s="462">
        <v>0.0</v>
      </c>
      <c r="N176" s="220"/>
      <c r="O176" s="450">
        <v>0.0</v>
      </c>
      <c r="P176" s="450">
        <v>0.0</v>
      </c>
      <c r="Q176" s="450">
        <v>0.0</v>
      </c>
      <c r="R176" s="450">
        <v>0.0</v>
      </c>
      <c r="S176" s="450">
        <v>0.0</v>
      </c>
      <c r="T176" s="450">
        <v>0.0</v>
      </c>
      <c r="U176" s="450">
        <v>0.0</v>
      </c>
      <c r="V176" s="450">
        <v>0.0</v>
      </c>
      <c r="W176" s="450">
        <v>0.0</v>
      </c>
      <c r="X176" s="450">
        <v>0.0</v>
      </c>
      <c r="Y176" s="450">
        <v>0.0</v>
      </c>
      <c r="Z176" s="220"/>
    </row>
    <row r="177" ht="15.75" customHeight="1">
      <c r="A177" s="220"/>
      <c r="B177" s="445" t="s">
        <v>374</v>
      </c>
      <c r="C177" s="462">
        <v>0.0</v>
      </c>
      <c r="D177" s="462">
        <v>0.0</v>
      </c>
      <c r="E177" s="462">
        <v>0.0</v>
      </c>
      <c r="F177" s="462">
        <v>0.0</v>
      </c>
      <c r="G177" s="462">
        <v>0.0</v>
      </c>
      <c r="H177" s="462">
        <v>0.0</v>
      </c>
      <c r="I177" s="462">
        <v>0.0</v>
      </c>
      <c r="J177" s="462">
        <v>0.0</v>
      </c>
      <c r="K177" s="462">
        <v>0.0</v>
      </c>
      <c r="L177" s="462">
        <v>0.0</v>
      </c>
      <c r="M177" s="462">
        <v>0.0</v>
      </c>
      <c r="N177" s="220"/>
      <c r="O177" s="450">
        <v>0.0</v>
      </c>
      <c r="P177" s="450">
        <v>0.0</v>
      </c>
      <c r="Q177" s="450">
        <v>0.0</v>
      </c>
      <c r="R177" s="450">
        <v>0.0</v>
      </c>
      <c r="S177" s="450">
        <v>0.0</v>
      </c>
      <c r="T177" s="450">
        <v>0.0</v>
      </c>
      <c r="U177" s="450">
        <v>0.0</v>
      </c>
      <c r="V177" s="450">
        <v>0.0</v>
      </c>
      <c r="W177" s="450">
        <v>0.0</v>
      </c>
      <c r="X177" s="450">
        <v>0.0</v>
      </c>
      <c r="Y177" s="450">
        <v>0.0</v>
      </c>
      <c r="Z177" s="220"/>
    </row>
    <row r="178" ht="15.75" customHeight="1">
      <c r="A178" s="220"/>
      <c r="B178" s="220"/>
      <c r="C178" s="220"/>
      <c r="D178" s="220"/>
      <c r="E178" s="220"/>
      <c r="F178" s="220"/>
      <c r="G178" s="220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0"/>
    </row>
    <row r="179" ht="15.75" customHeight="1">
      <c r="A179" s="220"/>
      <c r="B179" s="220"/>
      <c r="C179" s="220"/>
      <c r="D179" s="220"/>
      <c r="E179" s="220"/>
      <c r="F179" s="220"/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0"/>
    </row>
    <row r="180" ht="15.75" customHeight="1">
      <c r="A180" s="220"/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0"/>
    </row>
    <row r="181" ht="15.75" hidden="1" customHeight="1">
      <c r="A181" s="220"/>
      <c r="B181" s="464" t="s">
        <v>1887</v>
      </c>
      <c r="C181" s="220"/>
      <c r="D181" s="220"/>
      <c r="E181" s="220"/>
      <c r="F181" s="220"/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0"/>
    </row>
    <row r="182" ht="15.75" hidden="1" customHeight="1">
      <c r="A182" s="220"/>
      <c r="B182" s="438" t="s">
        <v>1888</v>
      </c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0"/>
    </row>
    <row r="183" ht="15.75" hidden="1" customHeight="1">
      <c r="A183" s="220"/>
      <c r="B183" s="438" t="s">
        <v>1889</v>
      </c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0"/>
    </row>
    <row r="184" ht="15.75" hidden="1" customHeight="1">
      <c r="A184" s="220"/>
      <c r="B184" s="438" t="s">
        <v>1890</v>
      </c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0"/>
    </row>
    <row r="185" ht="15.75" hidden="1" customHeight="1">
      <c r="A185" s="220"/>
      <c r="B185" s="438" t="s">
        <v>1891</v>
      </c>
      <c r="C185" s="220"/>
      <c r="D185" s="220"/>
      <c r="E185" s="220"/>
      <c r="F185" s="220"/>
      <c r="G185" s="220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0"/>
    </row>
    <row r="186" ht="15.75" hidden="1" customHeight="1">
      <c r="A186" s="220"/>
      <c r="B186" s="438" t="s">
        <v>1892</v>
      </c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0"/>
    </row>
    <row r="187" ht="15.75" hidden="1" customHeight="1">
      <c r="A187" s="220"/>
      <c r="B187" s="438" t="s">
        <v>1893</v>
      </c>
      <c r="C187" s="220"/>
      <c r="D187" s="220"/>
      <c r="E187" s="220"/>
      <c r="F187" s="220"/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0"/>
    </row>
    <row r="188" ht="15.75" hidden="1" customHeight="1">
      <c r="A188" s="220"/>
      <c r="B188" s="438" t="s">
        <v>1894</v>
      </c>
      <c r="C188" s="220"/>
      <c r="D188" s="220"/>
      <c r="E188" s="220"/>
      <c r="F188" s="220"/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0"/>
    </row>
    <row r="189" ht="15.75" hidden="1" customHeight="1">
      <c r="A189" s="220"/>
      <c r="B189" s="438" t="s">
        <v>1895</v>
      </c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0"/>
    </row>
    <row r="190" ht="15.75" hidden="1" customHeight="1">
      <c r="A190" s="220"/>
      <c r="B190" s="438" t="s">
        <v>1896</v>
      </c>
      <c r="C190" s="220"/>
      <c r="D190" s="220"/>
      <c r="E190" s="220"/>
      <c r="F190" s="220"/>
      <c r="G190" s="220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0"/>
    </row>
    <row r="191" ht="15.75" customHeight="1">
      <c r="A191" s="220"/>
      <c r="B191" s="220"/>
      <c r="C191" s="220"/>
      <c r="D191" s="220"/>
      <c r="E191" s="220"/>
      <c r="F191" s="220"/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0"/>
    </row>
    <row r="192" ht="15.75" customHeight="1">
      <c r="A192" s="220"/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0"/>
    </row>
    <row r="193" ht="15.75" customHeight="1">
      <c r="A193" s="220"/>
      <c r="B193" s="220"/>
      <c r="C193" s="220"/>
      <c r="D193" s="220"/>
      <c r="E193" s="220"/>
      <c r="F193" s="220"/>
      <c r="G193" s="220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0"/>
    </row>
    <row r="194" ht="15.75" customHeight="1">
      <c r="A194" s="220"/>
      <c r="B194" s="220"/>
      <c r="C194" s="220"/>
      <c r="D194" s="220"/>
      <c r="E194" s="220"/>
      <c r="F194" s="220"/>
      <c r="G194" s="220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0"/>
    </row>
    <row r="195" ht="15.75" customHeight="1">
      <c r="A195" s="220"/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0"/>
    </row>
    <row r="196" ht="15.75" customHeight="1">
      <c r="A196" s="220"/>
      <c r="B196" s="220"/>
      <c r="C196" s="220"/>
      <c r="D196" s="220"/>
      <c r="E196" s="220"/>
      <c r="F196" s="220"/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0"/>
    </row>
    <row r="197" ht="15.75" customHeight="1">
      <c r="A197" s="220"/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0"/>
    </row>
    <row r="198" ht="15.75" customHeight="1">
      <c r="A198" s="220"/>
      <c r="B198" s="220"/>
      <c r="C198" s="220"/>
      <c r="D198" s="220"/>
      <c r="E198" s="220"/>
      <c r="F198" s="220"/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0"/>
    </row>
    <row r="199" ht="15.75" customHeight="1">
      <c r="A199" s="220"/>
      <c r="B199" s="220"/>
      <c r="C199" s="220"/>
      <c r="D199" s="220"/>
      <c r="E199" s="220"/>
      <c r="F199" s="220"/>
      <c r="G199" s="220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0"/>
    </row>
    <row r="200" ht="15.75" customHeight="1">
      <c r="A200" s="220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0"/>
    </row>
    <row r="201" ht="15.75" customHeight="1">
      <c r="A201" s="220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0"/>
    </row>
    <row r="202" ht="15.75" customHeight="1">
      <c r="A202" s="22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0"/>
    </row>
    <row r="203" ht="15.75" customHeight="1">
      <c r="A203" s="220"/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0"/>
    </row>
    <row r="204" ht="15.75" customHeight="1">
      <c r="A204" s="220"/>
      <c r="B204" s="220"/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0"/>
    </row>
    <row r="205" ht="15.75" customHeight="1">
      <c r="A205" s="220"/>
      <c r="B205" s="220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0"/>
    </row>
    <row r="206" ht="15.75" customHeight="1">
      <c r="A206" s="220"/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0"/>
    </row>
    <row r="207" ht="15.75" customHeight="1">
      <c r="A207" s="22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0"/>
    </row>
    <row r="208" ht="15.75" customHeight="1">
      <c r="A208" s="220"/>
      <c r="B208" s="220"/>
      <c r="C208" s="220"/>
      <c r="D208" s="220"/>
      <c r="E208" s="220"/>
      <c r="F208" s="220"/>
      <c r="G208" s="220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0"/>
    </row>
    <row r="209" ht="15.75" customHeight="1">
      <c r="A209" s="220"/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0"/>
    </row>
    <row r="210" ht="15.75" customHeight="1">
      <c r="A210" s="220"/>
      <c r="B210" s="220"/>
      <c r="C210" s="220"/>
      <c r="D210" s="220"/>
      <c r="E210" s="220"/>
      <c r="F210" s="220"/>
      <c r="G210" s="220"/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0"/>
    </row>
    <row r="211" ht="15.75" customHeight="1">
      <c r="A211" s="220"/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0"/>
    </row>
    <row r="212" ht="15.75" customHeight="1">
      <c r="A212" s="220"/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0"/>
    </row>
    <row r="213" ht="15.75" customHeight="1">
      <c r="A213" s="220"/>
      <c r="B213" s="220"/>
      <c r="C213" s="220"/>
      <c r="D213" s="220"/>
      <c r="E213" s="220"/>
      <c r="F213" s="220"/>
      <c r="G213" s="220"/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0"/>
    </row>
    <row r="214" ht="15.75" customHeight="1">
      <c r="A214" s="220"/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0"/>
    </row>
    <row r="215" ht="15.75" customHeight="1">
      <c r="A215" s="220"/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0"/>
    </row>
    <row r="216" ht="15.75" customHeight="1">
      <c r="A216" s="220"/>
      <c r="B216" s="220"/>
      <c r="C216" s="220"/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0"/>
    </row>
    <row r="217" ht="15.75" customHeight="1">
      <c r="A217" s="220"/>
      <c r="B217" s="220"/>
      <c r="C217" s="220"/>
      <c r="D217" s="220"/>
      <c r="E217" s="220"/>
      <c r="F217" s="220"/>
      <c r="G217" s="220"/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0"/>
    </row>
    <row r="218" ht="15.75" customHeight="1">
      <c r="A218" s="220"/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0"/>
    </row>
    <row r="219" ht="15.75" customHeight="1">
      <c r="A219" s="220"/>
      <c r="B219" s="220"/>
      <c r="C219" s="220"/>
      <c r="D219" s="220"/>
      <c r="E219" s="220"/>
      <c r="F219" s="220"/>
      <c r="G219" s="220"/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0"/>
    </row>
    <row r="220" ht="15.75" customHeight="1">
      <c r="A220" s="22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0"/>
    </row>
    <row r="221" ht="15.75" customHeight="1">
      <c r="A221" s="220"/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0"/>
    </row>
    <row r="222" ht="15.75" customHeight="1">
      <c r="A222" s="220"/>
      <c r="B222" s="220"/>
      <c r="C222" s="220"/>
      <c r="D222" s="220"/>
      <c r="E222" s="220"/>
      <c r="F222" s="220"/>
      <c r="G222" s="220"/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0"/>
    </row>
    <row r="223" ht="15.75" customHeight="1">
      <c r="A223" s="220"/>
      <c r="B223" s="220"/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0"/>
    </row>
    <row r="224" ht="15.75" customHeight="1">
      <c r="A224" s="220"/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0"/>
    </row>
    <row r="225" ht="15.75" customHeight="1">
      <c r="A225" s="220"/>
      <c r="B225" s="220"/>
      <c r="C225" s="220"/>
      <c r="D225" s="220"/>
      <c r="E225" s="220"/>
      <c r="F225" s="220"/>
      <c r="G225" s="220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0"/>
    </row>
    <row r="226" ht="15.75" customHeight="1">
      <c r="A226" s="220"/>
      <c r="B226" s="220"/>
      <c r="C226" s="220"/>
      <c r="D226" s="220"/>
      <c r="E226" s="220"/>
      <c r="F226" s="220"/>
      <c r="G226" s="220"/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0"/>
    </row>
    <row r="227" ht="15.75" customHeight="1">
      <c r="A227" s="220"/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0"/>
    </row>
    <row r="228" ht="15.75" customHeight="1">
      <c r="A228" s="220"/>
      <c r="B228" s="220"/>
      <c r="C228" s="220"/>
      <c r="D228" s="220"/>
      <c r="E228" s="220"/>
      <c r="F228" s="220"/>
      <c r="G228" s="220"/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0"/>
    </row>
    <row r="229" ht="15.75" customHeight="1">
      <c r="A229" s="220"/>
      <c r="B229" s="220"/>
      <c r="C229" s="220"/>
      <c r="D229" s="220"/>
      <c r="E229" s="220"/>
      <c r="F229" s="220"/>
      <c r="G229" s="220"/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0"/>
    </row>
    <row r="230" ht="15.75" customHeight="1">
      <c r="A230" s="220"/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0"/>
    </row>
    <row r="231" ht="15.75" customHeight="1">
      <c r="A231" s="220"/>
      <c r="B231" s="220"/>
      <c r="C231" s="220"/>
      <c r="D231" s="220"/>
      <c r="E231" s="220"/>
      <c r="F231" s="220"/>
      <c r="G231" s="220"/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0"/>
    </row>
    <row r="232" ht="15.75" customHeight="1">
      <c r="A232" s="220"/>
      <c r="B232" s="220"/>
      <c r="C232" s="220"/>
      <c r="D232" s="220"/>
      <c r="E232" s="220"/>
      <c r="F232" s="220"/>
      <c r="G232" s="220"/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0"/>
    </row>
    <row r="233" ht="15.75" customHeight="1">
      <c r="A233" s="220"/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0"/>
    </row>
    <row r="234" ht="15.75" customHeight="1">
      <c r="A234" s="220"/>
      <c r="B234" s="220"/>
      <c r="C234" s="220"/>
      <c r="D234" s="220"/>
      <c r="E234" s="220"/>
      <c r="F234" s="220"/>
      <c r="G234" s="220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0"/>
    </row>
    <row r="235" ht="15.75" customHeight="1">
      <c r="A235" s="220"/>
      <c r="B235" s="220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0"/>
    </row>
    <row r="236" ht="15.75" customHeight="1">
      <c r="A236" s="220"/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0"/>
    </row>
    <row r="237" ht="15.75" customHeight="1">
      <c r="A237" s="220"/>
      <c r="B237" s="220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0"/>
    </row>
    <row r="238" ht="15.75" customHeight="1">
      <c r="A238" s="22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0"/>
    </row>
    <row r="239" ht="15.75" customHeight="1">
      <c r="A239" s="220"/>
      <c r="B239" s="220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0"/>
    </row>
    <row r="240" ht="15.75" customHeight="1">
      <c r="A240" s="220"/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0"/>
    </row>
    <row r="241" ht="15.75" customHeight="1">
      <c r="A241" s="220"/>
      <c r="B241" s="220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0"/>
    </row>
    <row r="242" ht="15.75" customHeight="1">
      <c r="A242" s="22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0"/>
    </row>
    <row r="243" ht="15.75" customHeight="1">
      <c r="A243" s="220"/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0"/>
    </row>
    <row r="244" ht="15.75" customHeight="1">
      <c r="A244" s="220"/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0"/>
    </row>
    <row r="245" ht="15.75" customHeight="1">
      <c r="A245" s="220"/>
      <c r="B245" s="220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0"/>
    </row>
    <row r="246" ht="15.75" customHeight="1">
      <c r="A246" s="22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0"/>
    </row>
    <row r="247" ht="15.75" customHeight="1">
      <c r="A247" s="220"/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0"/>
    </row>
    <row r="248" ht="15.75" customHeight="1">
      <c r="A248" s="220"/>
      <c r="B248" s="220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0"/>
    </row>
    <row r="249" ht="15.75" customHeight="1">
      <c r="A249" s="220"/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0"/>
    </row>
    <row r="250" ht="15.75" customHeight="1">
      <c r="A250" s="22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0"/>
    </row>
    <row r="251" ht="15.75" customHeight="1">
      <c r="A251" s="220"/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0"/>
    </row>
    <row r="252" ht="15.75" customHeight="1">
      <c r="A252" s="220"/>
      <c r="B252" s="220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0"/>
    </row>
    <row r="253" ht="15.75" customHeight="1">
      <c r="A253" s="220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0"/>
    </row>
    <row r="254" ht="15.75" customHeight="1">
      <c r="A254" s="22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0"/>
    </row>
    <row r="255" ht="15.75" customHeight="1">
      <c r="A255" s="220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0"/>
    </row>
    <row r="256" ht="15.75" customHeight="1">
      <c r="A256" s="220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0"/>
    </row>
    <row r="257" ht="15.75" customHeight="1">
      <c r="A257" s="220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0"/>
    </row>
    <row r="258" ht="15.75" customHeight="1">
      <c r="A258" s="22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0"/>
    </row>
    <row r="259" ht="15.75" customHeight="1">
      <c r="A259" s="220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0"/>
    </row>
    <row r="260" ht="15.75" customHeight="1">
      <c r="A260" s="220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0"/>
    </row>
    <row r="261" ht="15.75" customHeight="1">
      <c r="A261" s="220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0"/>
    </row>
    <row r="262" ht="15.75" customHeight="1">
      <c r="A262" s="22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0"/>
    </row>
    <row r="263" ht="15.75" customHeight="1">
      <c r="A263" s="220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0"/>
    </row>
    <row r="264" ht="15.75" customHeight="1">
      <c r="A264" s="220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0"/>
    </row>
    <row r="265" ht="15.75" customHeight="1">
      <c r="A265" s="220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0"/>
    </row>
    <row r="266" ht="15.75" customHeight="1">
      <c r="A266" s="22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0"/>
    </row>
    <row r="267" ht="15.75" customHeight="1">
      <c r="A267" s="220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0"/>
    </row>
    <row r="268" ht="15.75" customHeight="1">
      <c r="A268" s="220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0"/>
    </row>
    <row r="269" ht="15.75" customHeight="1">
      <c r="A269" s="220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0"/>
    </row>
    <row r="270" ht="15.75" customHeight="1">
      <c r="A270" s="22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0"/>
    </row>
    <row r="271" ht="15.75" customHeight="1">
      <c r="A271" s="220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0"/>
    </row>
    <row r="272" ht="15.75" customHeight="1">
      <c r="A272" s="220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0"/>
    </row>
    <row r="273" ht="15.75" customHeight="1">
      <c r="A273" s="220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0"/>
    </row>
    <row r="274" ht="15.75" customHeight="1">
      <c r="A274" s="220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0"/>
    </row>
    <row r="275" ht="15.75" customHeight="1">
      <c r="A275" s="220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0"/>
    </row>
    <row r="276" ht="15.75" customHeight="1">
      <c r="A276" s="220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</row>
    <row r="277" ht="15.75" customHeight="1">
      <c r="A277" s="220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0"/>
    </row>
    <row r="278" ht="15.75" customHeight="1">
      <c r="A278" s="220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0"/>
    </row>
    <row r="279" ht="15.75" customHeight="1">
      <c r="A279" s="220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0"/>
    </row>
    <row r="280" ht="15.75" customHeight="1">
      <c r="A280" s="220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0"/>
    </row>
    <row r="281" ht="15.75" customHeight="1">
      <c r="A281" s="220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0"/>
    </row>
    <row r="282" ht="15.75" customHeight="1">
      <c r="A282" s="220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0"/>
    </row>
    <row r="283" ht="15.75" customHeight="1">
      <c r="A283" s="220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0"/>
    </row>
    <row r="284" ht="15.75" customHeight="1">
      <c r="A284" s="220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0"/>
    </row>
    <row r="285" ht="15.75" customHeight="1">
      <c r="A285" s="22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0"/>
    </row>
    <row r="286" ht="15.75" customHeight="1">
      <c r="A286" s="220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0"/>
    </row>
    <row r="287" ht="15.75" customHeight="1">
      <c r="A287" s="22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0"/>
    </row>
    <row r="288" ht="15.75" customHeight="1">
      <c r="A288" s="220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0"/>
    </row>
    <row r="289" ht="15.75" customHeight="1">
      <c r="A289" s="220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0"/>
    </row>
    <row r="290" ht="15.75" customHeight="1">
      <c r="A290" s="220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0"/>
    </row>
    <row r="291" ht="15.75" customHeight="1">
      <c r="A291" s="22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0"/>
    </row>
    <row r="292" ht="15.75" customHeight="1">
      <c r="A292" s="220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0"/>
    </row>
    <row r="293" ht="15.75" customHeight="1">
      <c r="A293" s="220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0"/>
    </row>
    <row r="294" ht="15.75" customHeight="1">
      <c r="A294" s="220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0"/>
    </row>
    <row r="295" ht="15.75" customHeight="1">
      <c r="A295" s="220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0"/>
    </row>
    <row r="296" ht="15.75" customHeight="1">
      <c r="A296" s="220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0"/>
    </row>
    <row r="297" ht="15.75" customHeight="1">
      <c r="A297" s="22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0"/>
    </row>
    <row r="298" ht="15.75" customHeight="1">
      <c r="A298" s="220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0"/>
    </row>
    <row r="299" ht="15.75" customHeight="1">
      <c r="A299" s="220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0"/>
    </row>
    <row r="300" ht="15.75" customHeight="1">
      <c r="A300" s="220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0"/>
    </row>
    <row r="301" ht="15.75" customHeight="1">
      <c r="A301" s="220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</row>
    <row r="302" ht="15.75" customHeight="1">
      <c r="A302" s="220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</row>
    <row r="303" ht="15.75" customHeight="1">
      <c r="A303" s="220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</row>
    <row r="304" ht="15.75" customHeight="1">
      <c r="A304" s="220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0"/>
    </row>
    <row r="305" ht="15.75" customHeight="1">
      <c r="A305" s="220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0"/>
    </row>
    <row r="306" ht="15.75" customHeight="1">
      <c r="A306" s="220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0"/>
    </row>
    <row r="307" ht="15.75" customHeight="1">
      <c r="A307" s="220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</row>
    <row r="308" ht="15.75" customHeight="1">
      <c r="A308" s="220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0"/>
    </row>
    <row r="309" ht="15.75" customHeight="1">
      <c r="A309" s="220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</row>
    <row r="310" ht="15.75" customHeight="1">
      <c r="A310" s="220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</row>
    <row r="311" ht="15.75" customHeight="1">
      <c r="A311" s="220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</row>
    <row r="312" ht="15.75" customHeight="1">
      <c r="A312" s="220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0"/>
    </row>
    <row r="313" ht="15.75" customHeight="1">
      <c r="A313" s="220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</row>
    <row r="314" ht="15.75" customHeight="1">
      <c r="A314" s="220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</row>
    <row r="315" ht="15.75" customHeight="1">
      <c r="A315" s="220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0"/>
    </row>
    <row r="316" ht="15.75" customHeight="1">
      <c r="A316" s="220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0"/>
    </row>
    <row r="317" ht="15.75" customHeight="1">
      <c r="A317" s="220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0"/>
    </row>
    <row r="318" ht="15.75" customHeight="1">
      <c r="A318" s="220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0"/>
    </row>
    <row r="319" ht="15.75" customHeight="1">
      <c r="A319" s="220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0"/>
    </row>
    <row r="320" ht="15.75" customHeight="1">
      <c r="A320" s="220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0"/>
    </row>
    <row r="321" ht="15.75" customHeight="1">
      <c r="A321" s="220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0"/>
    </row>
    <row r="322" ht="15.75" customHeight="1">
      <c r="A322" s="220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0"/>
    </row>
    <row r="323" ht="15.75" customHeight="1">
      <c r="A323" s="220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0"/>
    </row>
    <row r="324" ht="15.75" customHeight="1">
      <c r="A324" s="220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0"/>
    </row>
    <row r="325" ht="15.75" customHeight="1">
      <c r="A325" s="220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0"/>
    </row>
    <row r="326" ht="15.75" customHeight="1">
      <c r="A326" s="220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0"/>
    </row>
    <row r="327" ht="15.75" customHeight="1">
      <c r="A327" s="220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0"/>
    </row>
    <row r="328" ht="15.75" customHeight="1">
      <c r="A328" s="220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0"/>
    </row>
    <row r="329" ht="15.75" customHeight="1">
      <c r="A329" s="220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0"/>
    </row>
    <row r="330" ht="15.75" customHeight="1">
      <c r="A330" s="220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0"/>
    </row>
    <row r="331" ht="15.75" customHeight="1">
      <c r="A331" s="220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0"/>
    </row>
    <row r="332" ht="15.75" customHeight="1">
      <c r="A332" s="220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0"/>
    </row>
    <row r="333" ht="15.75" customHeight="1">
      <c r="A333" s="220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0"/>
    </row>
    <row r="334" ht="15.75" customHeight="1">
      <c r="A334" s="220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0"/>
    </row>
    <row r="335" ht="15.75" customHeight="1">
      <c r="A335" s="220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0"/>
    </row>
    <row r="336" ht="15.75" customHeight="1">
      <c r="A336" s="220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0"/>
    </row>
    <row r="337" ht="15.75" customHeight="1">
      <c r="A337" s="220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0"/>
    </row>
    <row r="338" ht="15.75" customHeight="1">
      <c r="A338" s="220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0"/>
    </row>
    <row r="339" ht="15.75" customHeight="1">
      <c r="A339" s="220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0"/>
    </row>
    <row r="340" ht="15.75" customHeight="1">
      <c r="A340" s="220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0"/>
    </row>
    <row r="341" ht="15.75" customHeight="1">
      <c r="A341" s="220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0"/>
    </row>
    <row r="342" ht="15.75" customHeight="1">
      <c r="A342" s="220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0"/>
    </row>
    <row r="343" ht="15.75" customHeight="1">
      <c r="A343" s="220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0"/>
    </row>
    <row r="344" ht="15.75" customHeight="1">
      <c r="A344" s="220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0"/>
    </row>
    <row r="345" ht="15.75" customHeight="1">
      <c r="A345" s="220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0"/>
    </row>
    <row r="346" ht="15.75" customHeight="1">
      <c r="A346" s="220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0"/>
    </row>
    <row r="347" ht="15.75" customHeight="1">
      <c r="A347" s="220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0"/>
    </row>
    <row r="348" ht="15.75" customHeight="1">
      <c r="A348" s="220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0"/>
    </row>
    <row r="349" ht="15.75" customHeight="1">
      <c r="A349" s="220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0"/>
    </row>
    <row r="350" ht="15.75" customHeight="1">
      <c r="A350" s="220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0"/>
    </row>
    <row r="351" ht="15.75" customHeight="1">
      <c r="A351" s="220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0"/>
    </row>
    <row r="352" ht="15.75" customHeight="1">
      <c r="A352" s="220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0"/>
    </row>
    <row r="353" ht="15.75" customHeight="1">
      <c r="A353" s="220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0"/>
    </row>
    <row r="354" ht="15.75" customHeight="1">
      <c r="A354" s="220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0"/>
    </row>
    <row r="355" ht="15.75" customHeight="1">
      <c r="A355" s="220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0"/>
    </row>
    <row r="356" ht="15.75" customHeight="1">
      <c r="A356" s="220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0"/>
    </row>
    <row r="357" ht="15.75" customHeight="1">
      <c r="A357" s="220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0"/>
    </row>
    <row r="358" ht="15.75" customHeight="1">
      <c r="A358" s="220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0"/>
    </row>
    <row r="359" ht="15.75" customHeight="1">
      <c r="A359" s="220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0"/>
    </row>
    <row r="360" ht="15.75" customHeight="1">
      <c r="A360" s="220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0"/>
    </row>
    <row r="361" ht="15.75" customHeight="1">
      <c r="A361" s="220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0"/>
    </row>
    <row r="362" ht="15.75" customHeight="1">
      <c r="A362" s="220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0"/>
    </row>
    <row r="363" ht="15.75" customHeight="1">
      <c r="A363" s="220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0"/>
    </row>
    <row r="364" ht="15.75" customHeight="1">
      <c r="A364" s="220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0"/>
    </row>
    <row r="365" ht="15.75" customHeight="1">
      <c r="A365" s="220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0"/>
    </row>
    <row r="366" ht="15.75" customHeight="1">
      <c r="A366" s="220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0"/>
    </row>
    <row r="367" ht="15.75" customHeight="1">
      <c r="A367" s="220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0"/>
    </row>
    <row r="368" ht="15.75" customHeight="1">
      <c r="A368" s="220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0"/>
    </row>
    <row r="369" ht="15.75" customHeight="1">
      <c r="A369" s="220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0"/>
    </row>
    <row r="370" ht="15.75" customHeight="1">
      <c r="A370" s="220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0"/>
    </row>
    <row r="371" ht="15.75" customHeight="1">
      <c r="A371" s="220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0"/>
    </row>
    <row r="372" ht="15.75" customHeight="1">
      <c r="A372" s="220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0"/>
    </row>
    <row r="373" ht="15.75" customHeight="1">
      <c r="A373" s="220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0"/>
    </row>
    <row r="374" ht="15.75" customHeight="1">
      <c r="A374" s="220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0"/>
    </row>
    <row r="375" ht="15.75" customHeight="1">
      <c r="A375" s="220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0"/>
    </row>
    <row r="376" ht="15.75" customHeight="1">
      <c r="A376" s="220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0"/>
    </row>
    <row r="377" ht="15.75" customHeight="1">
      <c r="A377" s="220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0"/>
    </row>
    <row r="378" ht="15.75" customHeight="1">
      <c r="A378" s="220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0"/>
    </row>
    <row r="379" ht="15.75" customHeight="1">
      <c r="A379" s="220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0"/>
    </row>
    <row r="380" ht="15.75" customHeight="1">
      <c r="A380" s="220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0"/>
    </row>
    <row r="381" ht="15.75" customHeight="1">
      <c r="A381" s="220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0"/>
    </row>
    <row r="382" ht="15.75" customHeight="1">
      <c r="A382" s="220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0"/>
    </row>
    <row r="383" ht="15.75" customHeight="1">
      <c r="A383" s="220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0"/>
    </row>
    <row r="384" ht="15.75" customHeight="1">
      <c r="A384" s="220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0"/>
    </row>
    <row r="385" ht="15.75" customHeight="1">
      <c r="A385" s="220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0"/>
    </row>
    <row r="386" ht="15.75" customHeight="1">
      <c r="A386" s="220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0"/>
    </row>
    <row r="387" ht="15.75" customHeight="1">
      <c r="A387" s="220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0"/>
    </row>
    <row r="388" ht="15.75" customHeight="1">
      <c r="A388" s="220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0"/>
    </row>
    <row r="389" ht="15.75" customHeight="1">
      <c r="A389" s="220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0"/>
    </row>
    <row r="390" ht="15.75" customHeight="1">
      <c r="A390" s="220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0"/>
    </row>
    <row r="391" ht="15.75" customHeight="1">
      <c r="A391" s="220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0"/>
    </row>
    <row r="392" ht="15.75" customHeight="1">
      <c r="A392" s="220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0"/>
    </row>
    <row r="393" ht="15.75" customHeight="1">
      <c r="A393" s="220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0"/>
    </row>
    <row r="394" ht="15.75" customHeight="1">
      <c r="A394" s="220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0"/>
    </row>
    <row r="395" ht="15.75" customHeight="1">
      <c r="A395" s="220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0"/>
    </row>
    <row r="396" ht="15.75" customHeight="1">
      <c r="A396" s="220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0"/>
    </row>
    <row r="397" ht="15.75" customHeight="1">
      <c r="A397" s="220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0"/>
    </row>
    <row r="398" ht="15.75" customHeight="1">
      <c r="A398" s="220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0"/>
    </row>
    <row r="399" ht="15.75" customHeight="1">
      <c r="A399" s="220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0"/>
    </row>
    <row r="400" ht="15.75" customHeight="1">
      <c r="A400" s="220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0"/>
    </row>
    <row r="401" ht="15.75" customHeight="1">
      <c r="A401" s="220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0"/>
    </row>
    <row r="402" ht="15.75" customHeight="1">
      <c r="A402" s="220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0"/>
    </row>
    <row r="403" ht="15.75" customHeight="1">
      <c r="A403" s="220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0"/>
    </row>
    <row r="404" ht="15.75" customHeight="1">
      <c r="A404" s="220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0"/>
    </row>
    <row r="405" ht="15.75" customHeight="1">
      <c r="A405" s="220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0"/>
    </row>
    <row r="406" ht="15.75" customHeight="1">
      <c r="A406" s="220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0"/>
    </row>
    <row r="407" ht="15.75" customHeight="1">
      <c r="A407" s="220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0"/>
    </row>
    <row r="408" ht="15.75" customHeight="1">
      <c r="A408" s="220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0"/>
    </row>
    <row r="409" ht="15.75" customHeight="1">
      <c r="A409" s="220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0"/>
    </row>
    <row r="410" ht="15.75" customHeight="1">
      <c r="A410" s="220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0"/>
    </row>
    <row r="411" ht="15.75" customHeight="1">
      <c r="A411" s="220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0"/>
    </row>
    <row r="412" ht="15.75" customHeight="1">
      <c r="A412" s="220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0"/>
    </row>
    <row r="413" ht="15.75" customHeight="1">
      <c r="A413" s="220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0"/>
    </row>
    <row r="414" ht="15.75" customHeight="1">
      <c r="A414" s="220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0"/>
    </row>
    <row r="415" ht="15.75" customHeight="1">
      <c r="A415" s="220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0"/>
    </row>
    <row r="416" ht="15.75" customHeight="1">
      <c r="A416" s="220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0"/>
    </row>
    <row r="417" ht="15.75" customHeight="1">
      <c r="A417" s="220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0"/>
    </row>
    <row r="418" ht="15.75" customHeight="1">
      <c r="A418" s="220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0"/>
    </row>
    <row r="419" ht="15.75" customHeight="1">
      <c r="A419" s="220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0"/>
    </row>
    <row r="420" ht="15.75" customHeight="1">
      <c r="A420" s="220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0"/>
    </row>
    <row r="421" ht="15.75" customHeight="1">
      <c r="A421" s="220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0"/>
    </row>
    <row r="422" ht="15.75" customHeight="1">
      <c r="A422" s="220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0"/>
    </row>
    <row r="423" ht="15.75" customHeight="1">
      <c r="A423" s="220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0"/>
    </row>
    <row r="424" ht="15.75" customHeight="1">
      <c r="A424" s="220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0"/>
    </row>
    <row r="425" ht="15.75" customHeight="1">
      <c r="A425" s="220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0"/>
    </row>
    <row r="426" ht="15.75" customHeight="1">
      <c r="A426" s="220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0"/>
    </row>
    <row r="427" ht="15.75" customHeight="1">
      <c r="A427" s="220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0"/>
    </row>
    <row r="428" ht="15.75" customHeight="1">
      <c r="A428" s="220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0"/>
    </row>
    <row r="429" ht="15.75" customHeight="1">
      <c r="A429" s="220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0"/>
    </row>
    <row r="430" ht="15.75" customHeight="1">
      <c r="A430" s="220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0"/>
    </row>
    <row r="431" ht="15.75" customHeight="1">
      <c r="A431" s="220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0"/>
    </row>
    <row r="432" ht="15.75" customHeight="1">
      <c r="A432" s="220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0"/>
    </row>
    <row r="433" ht="15.75" customHeight="1">
      <c r="A433" s="220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0"/>
    </row>
    <row r="434" ht="15.75" customHeight="1">
      <c r="A434" s="220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0"/>
    </row>
    <row r="435" ht="15.75" customHeight="1">
      <c r="A435" s="220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0"/>
    </row>
    <row r="436" ht="15.75" customHeight="1">
      <c r="A436" s="220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0"/>
    </row>
    <row r="437" ht="15.75" customHeight="1">
      <c r="A437" s="220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0"/>
    </row>
    <row r="438" ht="15.75" customHeight="1">
      <c r="A438" s="220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0"/>
    </row>
    <row r="439" ht="15.75" customHeight="1">
      <c r="A439" s="220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0"/>
    </row>
    <row r="440" ht="15.75" customHeight="1">
      <c r="A440" s="220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0"/>
    </row>
    <row r="441" ht="15.75" customHeight="1">
      <c r="A441" s="220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0"/>
    </row>
    <row r="442" ht="15.75" customHeight="1">
      <c r="A442" s="220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0"/>
    </row>
    <row r="443" ht="15.75" customHeight="1">
      <c r="A443" s="220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0"/>
    </row>
    <row r="444" ht="15.75" customHeight="1">
      <c r="A444" s="220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0"/>
    </row>
    <row r="445" ht="15.75" customHeight="1">
      <c r="A445" s="220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0"/>
    </row>
    <row r="446" ht="15.75" customHeight="1">
      <c r="A446" s="220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0"/>
    </row>
    <row r="447" ht="15.75" customHeight="1">
      <c r="A447" s="220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0"/>
    </row>
    <row r="448" ht="15.75" customHeight="1">
      <c r="A448" s="220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0"/>
    </row>
    <row r="449" ht="15.75" customHeight="1">
      <c r="A449" s="220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0"/>
    </row>
    <row r="450" ht="15.75" customHeight="1">
      <c r="A450" s="220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0"/>
    </row>
    <row r="451" ht="15.75" customHeight="1">
      <c r="A451" s="220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0"/>
    </row>
    <row r="452" ht="15.75" customHeight="1">
      <c r="A452" s="220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0"/>
    </row>
    <row r="453" ht="15.75" customHeight="1">
      <c r="A453" s="220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0"/>
    </row>
    <row r="454" ht="15.75" customHeight="1">
      <c r="A454" s="220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0"/>
    </row>
    <row r="455" ht="15.75" customHeight="1">
      <c r="A455" s="220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0"/>
    </row>
    <row r="456" ht="15.75" customHeight="1">
      <c r="A456" s="220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0"/>
    </row>
    <row r="457" ht="15.75" customHeight="1">
      <c r="A457" s="220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0"/>
    </row>
    <row r="458" ht="15.75" customHeight="1">
      <c r="A458" s="220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0"/>
    </row>
    <row r="459" ht="15.75" customHeight="1">
      <c r="A459" s="220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0"/>
    </row>
    <row r="460" ht="15.75" customHeight="1">
      <c r="A460" s="220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0"/>
    </row>
    <row r="461" ht="15.75" customHeight="1">
      <c r="A461" s="220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0"/>
    </row>
    <row r="462" ht="15.75" customHeight="1">
      <c r="A462" s="220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0"/>
    </row>
    <row r="463" ht="15.75" customHeight="1">
      <c r="A463" s="220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0"/>
    </row>
    <row r="464" ht="15.75" customHeight="1">
      <c r="A464" s="220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0"/>
    </row>
    <row r="465" ht="15.75" customHeight="1">
      <c r="A465" s="220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0"/>
    </row>
    <row r="466" ht="15.75" customHeight="1">
      <c r="A466" s="220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0"/>
    </row>
    <row r="467" ht="15.75" customHeight="1">
      <c r="A467" s="220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0"/>
    </row>
    <row r="468" ht="15.75" customHeight="1">
      <c r="A468" s="220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0"/>
    </row>
    <row r="469" ht="15.75" customHeight="1">
      <c r="A469" s="220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0"/>
    </row>
    <row r="470" ht="15.75" customHeight="1">
      <c r="A470" s="220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0"/>
    </row>
    <row r="471" ht="15.75" customHeight="1">
      <c r="A471" s="220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0"/>
    </row>
    <row r="472" ht="15.75" customHeight="1">
      <c r="A472" s="220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0"/>
    </row>
    <row r="473" ht="15.75" customHeight="1">
      <c r="A473" s="220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0"/>
    </row>
    <row r="474" ht="15.75" customHeight="1">
      <c r="A474" s="220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0"/>
    </row>
    <row r="475" ht="15.75" customHeight="1">
      <c r="A475" s="220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0"/>
    </row>
    <row r="476" ht="15.75" customHeight="1">
      <c r="A476" s="220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0"/>
    </row>
    <row r="477" ht="15.75" customHeight="1">
      <c r="A477" s="220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0"/>
    </row>
    <row r="478" ht="15.75" customHeight="1">
      <c r="A478" s="220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0"/>
    </row>
    <row r="479" ht="15.75" customHeight="1">
      <c r="A479" s="220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0"/>
    </row>
    <row r="480" ht="15.75" customHeight="1">
      <c r="A480" s="220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0"/>
    </row>
    <row r="481" ht="15.75" customHeight="1">
      <c r="A481" s="220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0"/>
    </row>
    <row r="482" ht="15.75" customHeight="1">
      <c r="A482" s="220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0"/>
    </row>
    <row r="483" ht="15.75" customHeight="1">
      <c r="A483" s="220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0"/>
    </row>
    <row r="484" ht="15.75" customHeight="1">
      <c r="A484" s="220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0"/>
    </row>
    <row r="485" ht="15.75" customHeight="1">
      <c r="A485" s="220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0"/>
    </row>
    <row r="486" ht="15.75" customHeight="1">
      <c r="A486" s="220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0"/>
    </row>
    <row r="487" ht="15.75" customHeight="1">
      <c r="A487" s="220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0"/>
    </row>
    <row r="488" ht="15.75" customHeight="1">
      <c r="A488" s="220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0"/>
    </row>
    <row r="489" ht="15.75" customHeight="1">
      <c r="A489" s="220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0"/>
    </row>
    <row r="490" ht="15.75" customHeight="1">
      <c r="A490" s="220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0"/>
    </row>
    <row r="491" ht="15.75" customHeight="1">
      <c r="A491" s="220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0"/>
    </row>
    <row r="492" ht="15.75" customHeight="1">
      <c r="A492" s="220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0"/>
    </row>
    <row r="493" ht="15.75" customHeight="1">
      <c r="A493" s="220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0"/>
    </row>
    <row r="494" ht="15.75" customHeight="1">
      <c r="A494" s="220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0"/>
    </row>
    <row r="495" ht="15.75" customHeight="1">
      <c r="A495" s="220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0"/>
    </row>
    <row r="496" ht="15.75" customHeight="1">
      <c r="A496" s="220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0"/>
    </row>
    <row r="497" ht="15.75" customHeight="1">
      <c r="A497" s="220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0"/>
    </row>
    <row r="498" ht="15.75" customHeight="1">
      <c r="A498" s="220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0"/>
    </row>
    <row r="499" ht="15.75" customHeight="1">
      <c r="A499" s="220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0"/>
    </row>
    <row r="500" ht="15.75" customHeight="1">
      <c r="A500" s="220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0"/>
    </row>
    <row r="501" ht="15.75" customHeight="1">
      <c r="A501" s="220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0"/>
    </row>
    <row r="502" ht="15.75" customHeight="1">
      <c r="A502" s="220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0"/>
    </row>
    <row r="503" ht="15.75" customHeight="1">
      <c r="A503" s="220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0"/>
    </row>
    <row r="504" ht="15.75" customHeight="1">
      <c r="A504" s="220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0"/>
    </row>
    <row r="505" ht="15.75" customHeight="1">
      <c r="A505" s="220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0"/>
    </row>
    <row r="506" ht="15.75" customHeight="1">
      <c r="A506" s="220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0"/>
    </row>
    <row r="507" ht="15.75" customHeight="1">
      <c r="A507" s="220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0"/>
    </row>
    <row r="508" ht="15.75" customHeight="1">
      <c r="A508" s="220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0"/>
    </row>
    <row r="509" ht="15.75" customHeight="1">
      <c r="A509" s="220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0"/>
    </row>
    <row r="510" ht="15.75" customHeight="1">
      <c r="A510" s="220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0"/>
    </row>
    <row r="511" ht="15.75" customHeight="1">
      <c r="A511" s="220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0"/>
    </row>
    <row r="512" ht="15.75" customHeight="1">
      <c r="A512" s="220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0"/>
    </row>
    <row r="513" ht="15.75" customHeight="1">
      <c r="A513" s="220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0"/>
    </row>
    <row r="514" ht="15.75" customHeight="1">
      <c r="A514" s="220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0"/>
    </row>
    <row r="515" ht="15.75" customHeight="1">
      <c r="A515" s="220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0"/>
    </row>
    <row r="516" ht="15.75" customHeight="1">
      <c r="A516" s="220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0"/>
    </row>
    <row r="517" ht="15.75" customHeight="1">
      <c r="A517" s="220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0"/>
    </row>
    <row r="518" ht="15.75" customHeight="1">
      <c r="A518" s="220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0"/>
    </row>
    <row r="519" ht="15.75" customHeight="1">
      <c r="A519" s="220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0"/>
    </row>
    <row r="520" ht="15.75" customHeight="1">
      <c r="A520" s="220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0"/>
    </row>
    <row r="521" ht="15.75" customHeight="1">
      <c r="A521" s="220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0"/>
    </row>
    <row r="522" ht="15.75" customHeight="1">
      <c r="A522" s="220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0"/>
    </row>
    <row r="523" ht="15.75" customHeight="1">
      <c r="A523" s="220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0"/>
    </row>
    <row r="524" ht="15.75" customHeight="1">
      <c r="A524" s="220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0"/>
    </row>
    <row r="525" ht="15.75" customHeight="1">
      <c r="A525" s="220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0"/>
    </row>
    <row r="526" ht="15.75" customHeight="1">
      <c r="A526" s="220"/>
      <c r="B526" s="220"/>
      <c r="C526" s="220"/>
      <c r="D526" s="220"/>
      <c r="E526" s="220"/>
      <c r="F526" s="22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0"/>
    </row>
    <row r="527" ht="15.75" customHeight="1">
      <c r="A527" s="220"/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0"/>
    </row>
    <row r="528" ht="15.75" customHeight="1">
      <c r="A528" s="220"/>
      <c r="B528" s="220"/>
      <c r="C528" s="220"/>
      <c r="D528" s="220"/>
      <c r="E528" s="220"/>
      <c r="F528" s="22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0"/>
    </row>
    <row r="529" ht="15.75" customHeight="1">
      <c r="A529" s="220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0"/>
    </row>
    <row r="530" ht="15.75" customHeight="1">
      <c r="A530" s="220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0"/>
    </row>
    <row r="531" ht="15.75" customHeight="1">
      <c r="A531" s="220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0"/>
    </row>
    <row r="532" ht="15.75" customHeight="1">
      <c r="A532" s="220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0"/>
    </row>
    <row r="533" ht="15.75" customHeight="1">
      <c r="A533" s="220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0"/>
    </row>
    <row r="534" ht="15.75" customHeight="1">
      <c r="A534" s="220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0"/>
    </row>
    <row r="535" ht="15.75" customHeight="1">
      <c r="A535" s="220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0"/>
    </row>
    <row r="536" ht="15.75" customHeight="1">
      <c r="A536" s="220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0"/>
    </row>
    <row r="537" ht="15.75" customHeight="1">
      <c r="A537" s="220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0"/>
    </row>
    <row r="538" ht="15.75" customHeight="1">
      <c r="A538" s="220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0"/>
    </row>
    <row r="539" ht="15.75" customHeight="1">
      <c r="A539" s="220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0"/>
    </row>
    <row r="540" ht="15.75" customHeight="1">
      <c r="A540" s="220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0"/>
    </row>
    <row r="541" ht="15.75" customHeight="1">
      <c r="A541" s="220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0"/>
    </row>
    <row r="542" ht="15.75" customHeight="1">
      <c r="A542" s="220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0"/>
    </row>
    <row r="543" ht="15.75" customHeight="1">
      <c r="A543" s="220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0"/>
    </row>
    <row r="544" ht="15.75" customHeight="1">
      <c r="A544" s="220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0"/>
    </row>
    <row r="545" ht="15.75" customHeight="1">
      <c r="A545" s="220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0"/>
    </row>
    <row r="546" ht="15.75" customHeight="1">
      <c r="A546" s="220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0"/>
    </row>
    <row r="547" ht="15.75" customHeight="1">
      <c r="A547" s="220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0"/>
    </row>
    <row r="548" ht="15.75" customHeight="1">
      <c r="A548" s="220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0"/>
    </row>
    <row r="549" ht="15.75" customHeight="1">
      <c r="A549" s="220"/>
      <c r="B549" s="220"/>
      <c r="C549" s="220"/>
      <c r="D549" s="220"/>
      <c r="E549" s="220"/>
      <c r="F549" s="22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0"/>
    </row>
    <row r="550" ht="15.75" customHeight="1">
      <c r="A550" s="220"/>
      <c r="B550" s="220"/>
      <c r="C550" s="220"/>
      <c r="D550" s="220"/>
      <c r="E550" s="220"/>
      <c r="F550" s="22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0"/>
    </row>
    <row r="551" ht="15.75" customHeight="1">
      <c r="A551" s="220"/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0"/>
    </row>
    <row r="552" ht="15.75" customHeight="1">
      <c r="A552" s="220"/>
      <c r="B552" s="220"/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0"/>
    </row>
    <row r="553" ht="15.75" customHeight="1">
      <c r="A553" s="220"/>
      <c r="B553" s="220"/>
      <c r="C553" s="220"/>
      <c r="D553" s="220"/>
      <c r="E553" s="220"/>
      <c r="F553" s="22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0"/>
    </row>
    <row r="554" ht="15.75" customHeight="1">
      <c r="A554" s="220"/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0"/>
    </row>
    <row r="555" ht="15.75" customHeight="1">
      <c r="A555" s="220"/>
      <c r="B555" s="220"/>
      <c r="C555" s="220"/>
      <c r="D555" s="220"/>
      <c r="E555" s="220"/>
      <c r="F555" s="22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0"/>
    </row>
    <row r="556" ht="15.75" customHeight="1">
      <c r="A556" s="220"/>
      <c r="B556" s="220"/>
      <c r="C556" s="220"/>
      <c r="D556" s="220"/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0"/>
    </row>
    <row r="557" ht="15.75" customHeight="1">
      <c r="A557" s="220"/>
      <c r="B557" s="220"/>
      <c r="C557" s="220"/>
      <c r="D557" s="220"/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0"/>
    </row>
    <row r="558" ht="15.75" customHeight="1">
      <c r="A558" s="220"/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0"/>
    </row>
    <row r="559" ht="15.75" customHeight="1">
      <c r="A559" s="220"/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0"/>
    </row>
    <row r="560" ht="15.75" customHeight="1">
      <c r="A560" s="220"/>
      <c r="B560" s="220"/>
      <c r="C560" s="220"/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0"/>
    </row>
    <row r="561" ht="15.75" customHeight="1">
      <c r="A561" s="220"/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0"/>
    </row>
    <row r="562" ht="15.75" customHeight="1">
      <c r="A562" s="220"/>
      <c r="B562" s="220"/>
      <c r="C562" s="220"/>
      <c r="D562" s="220"/>
      <c r="E562" s="220"/>
      <c r="F562" s="22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0"/>
    </row>
    <row r="563" ht="15.75" customHeight="1">
      <c r="A563" s="220"/>
      <c r="B563" s="220"/>
      <c r="C563" s="220"/>
      <c r="D563" s="220"/>
      <c r="E563" s="220"/>
      <c r="F563" s="22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0"/>
    </row>
    <row r="564" ht="15.75" customHeight="1">
      <c r="A564" s="220"/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0"/>
    </row>
    <row r="565" ht="15.75" customHeight="1">
      <c r="A565" s="220"/>
      <c r="B565" s="220"/>
      <c r="C565" s="220"/>
      <c r="D565" s="220"/>
      <c r="E565" s="220"/>
      <c r="F565" s="22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0"/>
    </row>
    <row r="566" ht="15.75" customHeight="1">
      <c r="A566" s="220"/>
      <c r="B566" s="220"/>
      <c r="C566" s="220"/>
      <c r="D566" s="220"/>
      <c r="E566" s="220"/>
      <c r="F566" s="22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0"/>
    </row>
    <row r="567" ht="15.75" customHeight="1">
      <c r="A567" s="220"/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0"/>
    </row>
    <row r="568" ht="15.75" customHeight="1">
      <c r="A568" s="220"/>
      <c r="B568" s="220"/>
      <c r="C568" s="220"/>
      <c r="D568" s="220"/>
      <c r="E568" s="220"/>
      <c r="F568" s="22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0"/>
    </row>
    <row r="569" ht="15.75" customHeight="1">
      <c r="A569" s="220"/>
      <c r="B569" s="220"/>
      <c r="C569" s="220"/>
      <c r="D569" s="220"/>
      <c r="E569" s="220"/>
      <c r="F569" s="22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0"/>
    </row>
    <row r="570" ht="15.75" customHeight="1">
      <c r="A570" s="220"/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0"/>
    </row>
    <row r="571" ht="15.75" customHeight="1">
      <c r="A571" s="220"/>
      <c r="B571" s="220"/>
      <c r="C571" s="220"/>
      <c r="D571" s="220"/>
      <c r="E571" s="220"/>
      <c r="F571" s="22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0"/>
    </row>
    <row r="572" ht="15.75" customHeight="1">
      <c r="A572" s="220"/>
      <c r="B572" s="220"/>
      <c r="C572" s="220"/>
      <c r="D572" s="220"/>
      <c r="E572" s="220"/>
      <c r="F572" s="22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0"/>
    </row>
    <row r="573" ht="15.75" customHeight="1">
      <c r="A573" s="220"/>
      <c r="B573" s="220"/>
      <c r="C573" s="220"/>
      <c r="D573" s="220"/>
      <c r="E573" s="220"/>
      <c r="F573" s="22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0"/>
    </row>
    <row r="574" ht="15.75" customHeight="1">
      <c r="A574" s="220"/>
      <c r="B574" s="220"/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0"/>
    </row>
    <row r="575" ht="15.75" customHeight="1">
      <c r="A575" s="220"/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0"/>
    </row>
    <row r="576" ht="15.75" customHeight="1">
      <c r="A576" s="220"/>
      <c r="B576" s="220"/>
      <c r="C576" s="220"/>
      <c r="D576" s="220"/>
      <c r="E576" s="220"/>
      <c r="F576" s="22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0"/>
    </row>
    <row r="577" ht="15.75" customHeight="1">
      <c r="A577" s="220"/>
      <c r="B577" s="220"/>
      <c r="C577" s="220"/>
      <c r="D577" s="220"/>
      <c r="E577" s="220"/>
      <c r="F577" s="22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0"/>
    </row>
    <row r="578" ht="15.75" customHeight="1">
      <c r="A578" s="220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0"/>
    </row>
    <row r="579" ht="15.75" customHeight="1">
      <c r="A579" s="220"/>
      <c r="B579" s="220"/>
      <c r="C579" s="220"/>
      <c r="D579" s="220"/>
      <c r="E579" s="220"/>
      <c r="F579" s="22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0"/>
    </row>
    <row r="580" ht="15.75" customHeight="1">
      <c r="A580" s="220"/>
      <c r="B580" s="220"/>
      <c r="C580" s="220"/>
      <c r="D580" s="220"/>
      <c r="E580" s="220"/>
      <c r="F580" s="22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0"/>
    </row>
    <row r="581" ht="15.75" customHeight="1">
      <c r="A581" s="220"/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0"/>
    </row>
    <row r="582" ht="15.75" customHeight="1">
      <c r="A582" s="220"/>
      <c r="B582" s="220"/>
      <c r="C582" s="220"/>
      <c r="D582" s="220"/>
      <c r="E582" s="220"/>
      <c r="F582" s="22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0"/>
    </row>
    <row r="583" ht="15.75" customHeight="1">
      <c r="A583" s="220"/>
      <c r="B583" s="220"/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0"/>
    </row>
    <row r="584" ht="15.75" customHeight="1">
      <c r="A584" s="220"/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0"/>
    </row>
    <row r="585" ht="15.75" customHeight="1">
      <c r="A585" s="220"/>
      <c r="B585" s="220"/>
      <c r="C585" s="220"/>
      <c r="D585" s="220"/>
      <c r="E585" s="220"/>
      <c r="F585" s="22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0"/>
    </row>
    <row r="586" ht="15.75" customHeight="1">
      <c r="A586" s="220"/>
      <c r="B586" s="220"/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0"/>
    </row>
    <row r="587" ht="15.75" customHeight="1">
      <c r="A587" s="220"/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0"/>
    </row>
    <row r="588" ht="15.75" customHeight="1">
      <c r="A588" s="220"/>
      <c r="B588" s="220"/>
      <c r="C588" s="220"/>
      <c r="D588" s="220"/>
      <c r="E588" s="220"/>
      <c r="F588" s="22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0"/>
    </row>
    <row r="589" ht="15.75" customHeight="1">
      <c r="A589" s="220"/>
      <c r="B589" s="220"/>
      <c r="C589" s="220"/>
      <c r="D589" s="220"/>
      <c r="E589" s="220"/>
      <c r="F589" s="22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0"/>
    </row>
    <row r="590" ht="15.75" customHeight="1">
      <c r="A590" s="220"/>
      <c r="B590" s="220"/>
      <c r="C590" s="220"/>
      <c r="D590" s="220"/>
      <c r="E590" s="220"/>
      <c r="F590" s="22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0"/>
    </row>
    <row r="591" ht="15.75" customHeight="1">
      <c r="A591" s="220"/>
      <c r="B591" s="220"/>
      <c r="C591" s="220"/>
      <c r="D591" s="220"/>
      <c r="E591" s="220"/>
      <c r="F591" s="22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0"/>
    </row>
    <row r="592" ht="15.75" customHeight="1">
      <c r="A592" s="220"/>
      <c r="B592" s="220"/>
      <c r="C592" s="220"/>
      <c r="D592" s="220"/>
      <c r="E592" s="220"/>
      <c r="F592" s="22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0"/>
    </row>
    <row r="593" ht="15.75" customHeight="1">
      <c r="A593" s="220"/>
      <c r="B593" s="220"/>
      <c r="C593" s="220"/>
      <c r="D593" s="220"/>
      <c r="E593" s="220"/>
      <c r="F593" s="22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0"/>
    </row>
    <row r="594" ht="15.75" customHeight="1">
      <c r="A594" s="220"/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0"/>
    </row>
    <row r="595" ht="15.75" customHeight="1">
      <c r="A595" s="220"/>
      <c r="B595" s="220"/>
      <c r="C595" s="220"/>
      <c r="D595" s="220"/>
      <c r="E595" s="220"/>
      <c r="F595" s="22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0"/>
    </row>
    <row r="596" ht="15.75" customHeight="1">
      <c r="A596" s="220"/>
      <c r="B596" s="220"/>
      <c r="C596" s="220"/>
      <c r="D596" s="220"/>
      <c r="E596" s="220"/>
      <c r="F596" s="22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0"/>
    </row>
    <row r="597" ht="15.75" customHeight="1">
      <c r="A597" s="220"/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0"/>
    </row>
    <row r="598" ht="15.75" customHeight="1">
      <c r="A598" s="220"/>
      <c r="B598" s="220"/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0"/>
    </row>
    <row r="599" ht="15.75" customHeight="1">
      <c r="A599" s="220"/>
      <c r="B599" s="220"/>
      <c r="C599" s="220"/>
      <c r="D599" s="220"/>
      <c r="E599" s="220"/>
      <c r="F599" s="22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0"/>
    </row>
    <row r="600" ht="15.75" customHeight="1">
      <c r="A600" s="220"/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0"/>
    </row>
    <row r="601" ht="15.75" customHeight="1">
      <c r="A601" s="220"/>
      <c r="B601" s="220"/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0"/>
    </row>
    <row r="602" ht="15.75" customHeight="1">
      <c r="A602" s="220"/>
      <c r="B602" s="220"/>
      <c r="C602" s="220"/>
      <c r="D602" s="220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0"/>
    </row>
    <row r="603" ht="15.75" customHeight="1">
      <c r="A603" s="220"/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0"/>
    </row>
    <row r="604" ht="15.75" customHeight="1">
      <c r="A604" s="220"/>
      <c r="B604" s="220"/>
      <c r="C604" s="220"/>
      <c r="D604" s="220"/>
      <c r="E604" s="220"/>
      <c r="F604" s="22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0"/>
    </row>
    <row r="605" ht="15.75" customHeight="1">
      <c r="A605" s="220"/>
      <c r="B605" s="220"/>
      <c r="C605" s="220"/>
      <c r="D605" s="220"/>
      <c r="E605" s="220"/>
      <c r="F605" s="22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0"/>
    </row>
    <row r="606" ht="15.75" customHeight="1">
      <c r="A606" s="220"/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0"/>
    </row>
    <row r="607" ht="15.75" customHeight="1">
      <c r="A607" s="220"/>
      <c r="B607" s="220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0"/>
    </row>
    <row r="608" ht="15.75" customHeight="1">
      <c r="A608" s="220"/>
      <c r="B608" s="220"/>
      <c r="C608" s="220"/>
      <c r="D608" s="220"/>
      <c r="E608" s="220"/>
      <c r="F608" s="22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0"/>
    </row>
    <row r="609" ht="15.75" customHeight="1">
      <c r="A609" s="220"/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0"/>
    </row>
    <row r="610" ht="15.75" customHeight="1">
      <c r="A610" s="220"/>
      <c r="B610" s="220"/>
      <c r="C610" s="220"/>
      <c r="D610" s="220"/>
      <c r="E610" s="220"/>
      <c r="F610" s="22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0"/>
    </row>
    <row r="611" ht="15.75" customHeight="1">
      <c r="A611" s="220"/>
      <c r="B611" s="220"/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0"/>
    </row>
    <row r="612" ht="15.75" customHeight="1">
      <c r="A612" s="220"/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0"/>
    </row>
    <row r="613" ht="15.75" customHeight="1">
      <c r="A613" s="220"/>
      <c r="B613" s="220"/>
      <c r="C613" s="220"/>
      <c r="D613" s="220"/>
      <c r="E613" s="220"/>
      <c r="F613" s="22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0"/>
    </row>
    <row r="614" ht="15.75" customHeight="1">
      <c r="A614" s="220"/>
      <c r="B614" s="220"/>
      <c r="C614" s="220"/>
      <c r="D614" s="220"/>
      <c r="E614" s="220"/>
      <c r="F614" s="220"/>
      <c r="G614" s="220"/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  <c r="W614" s="220"/>
      <c r="X614" s="220"/>
      <c r="Y614" s="220"/>
      <c r="Z614" s="220"/>
    </row>
    <row r="615" ht="15.75" customHeight="1">
      <c r="A615" s="220"/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  <c r="W615" s="220"/>
      <c r="X615" s="220"/>
      <c r="Y615" s="220"/>
      <c r="Z615" s="220"/>
    </row>
    <row r="616" ht="15.75" customHeight="1">
      <c r="A616" s="220"/>
      <c r="B616" s="220"/>
      <c r="C616" s="220"/>
      <c r="D616" s="220"/>
      <c r="E616" s="220"/>
      <c r="F616" s="220"/>
      <c r="G616" s="220"/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  <c r="W616" s="220"/>
      <c r="X616" s="220"/>
      <c r="Y616" s="220"/>
      <c r="Z616" s="220"/>
    </row>
    <row r="617" ht="15.75" customHeight="1">
      <c r="A617" s="220"/>
      <c r="B617" s="220"/>
      <c r="C617" s="220"/>
      <c r="D617" s="220"/>
      <c r="E617" s="220"/>
      <c r="F617" s="220"/>
      <c r="G617" s="220"/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  <c r="W617" s="220"/>
      <c r="X617" s="220"/>
      <c r="Y617" s="220"/>
      <c r="Z617" s="220"/>
    </row>
    <row r="618" ht="15.75" customHeight="1">
      <c r="A618" s="220"/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  <c r="W618" s="220"/>
      <c r="X618" s="220"/>
      <c r="Y618" s="220"/>
      <c r="Z618" s="220"/>
    </row>
    <row r="619" ht="15.75" customHeight="1">
      <c r="A619" s="220"/>
      <c r="B619" s="220"/>
      <c r="C619" s="220"/>
      <c r="D619" s="220"/>
      <c r="E619" s="220"/>
      <c r="F619" s="220"/>
      <c r="G619" s="220"/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  <c r="W619" s="220"/>
      <c r="X619" s="220"/>
      <c r="Y619" s="220"/>
      <c r="Z619" s="220"/>
    </row>
    <row r="620" ht="15.75" customHeight="1">
      <c r="A620" s="220"/>
      <c r="B620" s="220"/>
      <c r="C620" s="220"/>
      <c r="D620" s="220"/>
      <c r="E620" s="220"/>
      <c r="F620" s="220"/>
      <c r="G620" s="220"/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  <c r="W620" s="220"/>
      <c r="X620" s="220"/>
      <c r="Y620" s="220"/>
      <c r="Z620" s="220"/>
    </row>
    <row r="621" ht="15.75" customHeight="1">
      <c r="A621" s="220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220"/>
      <c r="Y621" s="220"/>
      <c r="Z621" s="220"/>
    </row>
    <row r="622" ht="15.75" customHeight="1">
      <c r="A622" s="220"/>
      <c r="B622" s="220"/>
      <c r="C622" s="220"/>
      <c r="D622" s="220"/>
      <c r="E622" s="220"/>
      <c r="F622" s="220"/>
      <c r="G622" s="220"/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  <c r="W622" s="220"/>
      <c r="X622" s="220"/>
      <c r="Y622" s="220"/>
      <c r="Z622" s="220"/>
    </row>
    <row r="623" ht="15.75" customHeight="1">
      <c r="A623" s="220"/>
      <c r="B623" s="220"/>
      <c r="C623" s="220"/>
      <c r="D623" s="220"/>
      <c r="E623" s="220"/>
      <c r="F623" s="220"/>
      <c r="G623" s="220"/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  <c r="W623" s="220"/>
      <c r="X623" s="220"/>
      <c r="Y623" s="220"/>
      <c r="Z623" s="220"/>
    </row>
    <row r="624" ht="15.75" customHeight="1">
      <c r="A624" s="220"/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  <c r="W624" s="220"/>
      <c r="X624" s="220"/>
      <c r="Y624" s="220"/>
      <c r="Z624" s="220"/>
    </row>
    <row r="625" ht="15.75" customHeight="1">
      <c r="A625" s="220"/>
      <c r="B625" s="220"/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  <c r="W625" s="220"/>
      <c r="X625" s="220"/>
      <c r="Y625" s="220"/>
      <c r="Z625" s="220"/>
    </row>
    <row r="626" ht="15.75" customHeight="1">
      <c r="A626" s="220"/>
      <c r="B626" s="220"/>
      <c r="C626" s="220"/>
      <c r="D626" s="220"/>
      <c r="E626" s="220"/>
      <c r="F626" s="220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  <c r="W626" s="220"/>
      <c r="X626" s="220"/>
      <c r="Y626" s="220"/>
      <c r="Z626" s="220"/>
    </row>
    <row r="627" ht="15.75" customHeight="1">
      <c r="A627" s="220"/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  <c r="W627" s="220"/>
      <c r="X627" s="220"/>
      <c r="Y627" s="220"/>
      <c r="Z627" s="220"/>
    </row>
    <row r="628" ht="15.75" customHeight="1">
      <c r="A628" s="220"/>
      <c r="B628" s="220"/>
      <c r="C628" s="220"/>
      <c r="D628" s="220"/>
      <c r="E628" s="220"/>
      <c r="F628" s="220"/>
      <c r="G628" s="220"/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  <c r="W628" s="220"/>
      <c r="X628" s="220"/>
      <c r="Y628" s="220"/>
      <c r="Z628" s="220"/>
    </row>
    <row r="629" ht="15.75" customHeight="1">
      <c r="A629" s="220"/>
      <c r="B629" s="220"/>
      <c r="C629" s="220"/>
      <c r="D629" s="220"/>
      <c r="E629" s="220"/>
      <c r="F629" s="220"/>
      <c r="G629" s="220"/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  <c r="W629" s="220"/>
      <c r="X629" s="220"/>
      <c r="Y629" s="220"/>
      <c r="Z629" s="220"/>
    </row>
    <row r="630" ht="15.75" customHeight="1">
      <c r="A630" s="220"/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  <c r="W630" s="220"/>
      <c r="X630" s="220"/>
      <c r="Y630" s="220"/>
      <c r="Z630" s="220"/>
    </row>
    <row r="631" ht="15.75" customHeight="1">
      <c r="A631" s="220"/>
      <c r="B631" s="220"/>
      <c r="C631" s="220"/>
      <c r="D631" s="220"/>
      <c r="E631" s="220"/>
      <c r="F631" s="220"/>
      <c r="G631" s="220"/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  <c r="W631" s="220"/>
      <c r="X631" s="220"/>
      <c r="Y631" s="220"/>
      <c r="Z631" s="220"/>
    </row>
    <row r="632" ht="15.75" customHeight="1">
      <c r="A632" s="220"/>
      <c r="B632" s="220"/>
      <c r="C632" s="220"/>
      <c r="D632" s="220"/>
      <c r="E632" s="220"/>
      <c r="F632" s="220"/>
      <c r="G632" s="220"/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  <c r="W632" s="220"/>
      <c r="X632" s="220"/>
      <c r="Y632" s="220"/>
      <c r="Z632" s="220"/>
    </row>
    <row r="633" ht="15.75" customHeight="1">
      <c r="A633" s="220"/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  <c r="W633" s="220"/>
      <c r="X633" s="220"/>
      <c r="Y633" s="220"/>
      <c r="Z633" s="220"/>
    </row>
    <row r="634" ht="15.75" customHeight="1">
      <c r="A634" s="220"/>
      <c r="B634" s="220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  <c r="W634" s="220"/>
      <c r="X634" s="220"/>
      <c r="Y634" s="220"/>
      <c r="Z634" s="220"/>
    </row>
    <row r="635" ht="15.75" customHeight="1">
      <c r="A635" s="220"/>
      <c r="B635" s="220"/>
      <c r="C635" s="220"/>
      <c r="D635" s="220"/>
      <c r="E635" s="220"/>
      <c r="F635" s="220"/>
      <c r="G635" s="220"/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  <c r="W635" s="220"/>
      <c r="X635" s="220"/>
      <c r="Y635" s="220"/>
      <c r="Z635" s="220"/>
    </row>
    <row r="636" ht="15.75" customHeight="1">
      <c r="A636" s="220"/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  <c r="W636" s="220"/>
      <c r="X636" s="220"/>
      <c r="Y636" s="220"/>
      <c r="Z636" s="220"/>
    </row>
    <row r="637" ht="15.75" customHeight="1">
      <c r="A637" s="220"/>
      <c r="B637" s="220"/>
      <c r="C637" s="220"/>
      <c r="D637" s="220"/>
      <c r="E637" s="220"/>
      <c r="F637" s="220"/>
      <c r="G637" s="220"/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  <c r="W637" s="220"/>
      <c r="X637" s="220"/>
      <c r="Y637" s="220"/>
      <c r="Z637" s="220"/>
    </row>
    <row r="638" ht="15.75" customHeight="1">
      <c r="A638" s="220"/>
      <c r="B638" s="220"/>
      <c r="C638" s="220"/>
      <c r="D638" s="220"/>
      <c r="E638" s="220"/>
      <c r="F638" s="220"/>
      <c r="G638" s="220"/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  <c r="W638" s="220"/>
      <c r="X638" s="220"/>
      <c r="Y638" s="220"/>
      <c r="Z638" s="220"/>
    </row>
    <row r="639" ht="15.75" customHeight="1">
      <c r="A639" s="220"/>
      <c r="B639" s="220"/>
      <c r="C639" s="220"/>
      <c r="D639" s="220"/>
      <c r="E639" s="220"/>
      <c r="F639" s="220"/>
      <c r="G639" s="220"/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  <c r="W639" s="220"/>
      <c r="X639" s="220"/>
      <c r="Y639" s="220"/>
      <c r="Z639" s="220"/>
    </row>
    <row r="640" ht="15.75" customHeight="1">
      <c r="A640" s="220"/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  <c r="W640" s="220"/>
      <c r="X640" s="220"/>
      <c r="Y640" s="220"/>
      <c r="Z640" s="220"/>
    </row>
    <row r="641" ht="15.75" customHeight="1">
      <c r="A641" s="220"/>
      <c r="B641" s="220"/>
      <c r="C641" s="220"/>
      <c r="D641" s="220"/>
      <c r="E641" s="220"/>
      <c r="F641" s="220"/>
      <c r="G641" s="220"/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  <c r="W641" s="220"/>
      <c r="X641" s="220"/>
      <c r="Y641" s="220"/>
      <c r="Z641" s="220"/>
    </row>
    <row r="642" ht="15.75" customHeight="1">
      <c r="A642" s="220"/>
      <c r="B642" s="220"/>
      <c r="C642" s="220"/>
      <c r="D642" s="220"/>
      <c r="E642" s="220"/>
      <c r="F642" s="220"/>
      <c r="G642" s="220"/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  <c r="W642" s="220"/>
      <c r="X642" s="220"/>
      <c r="Y642" s="220"/>
      <c r="Z642" s="220"/>
    </row>
    <row r="643" ht="15.75" customHeight="1">
      <c r="A643" s="220"/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  <c r="W643" s="220"/>
      <c r="X643" s="220"/>
      <c r="Y643" s="220"/>
      <c r="Z643" s="220"/>
    </row>
    <row r="644" ht="15.75" customHeight="1">
      <c r="A644" s="220"/>
      <c r="B644" s="220"/>
      <c r="C644" s="220"/>
      <c r="D644" s="220"/>
      <c r="E644" s="220"/>
      <c r="F644" s="220"/>
      <c r="G644" s="220"/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  <c r="W644" s="220"/>
      <c r="X644" s="220"/>
      <c r="Y644" s="220"/>
      <c r="Z644" s="220"/>
    </row>
    <row r="645" ht="15.75" customHeight="1">
      <c r="A645" s="220"/>
      <c r="B645" s="220"/>
      <c r="C645" s="220"/>
      <c r="D645" s="220"/>
      <c r="E645" s="220"/>
      <c r="F645" s="220"/>
      <c r="G645" s="220"/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  <c r="W645" s="220"/>
      <c r="X645" s="220"/>
      <c r="Y645" s="220"/>
      <c r="Z645" s="220"/>
    </row>
    <row r="646" ht="15.75" customHeight="1">
      <c r="A646" s="220"/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  <c r="W646" s="220"/>
      <c r="X646" s="220"/>
      <c r="Y646" s="220"/>
      <c r="Z646" s="220"/>
    </row>
    <row r="647" ht="15.75" customHeight="1">
      <c r="A647" s="220"/>
      <c r="B647" s="220"/>
      <c r="C647" s="220"/>
      <c r="D647" s="220"/>
      <c r="E647" s="220"/>
      <c r="F647" s="220"/>
      <c r="G647" s="220"/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  <c r="W647" s="220"/>
      <c r="X647" s="220"/>
      <c r="Y647" s="220"/>
      <c r="Z647" s="220"/>
    </row>
    <row r="648" ht="15.75" customHeight="1">
      <c r="A648" s="220"/>
      <c r="B648" s="220"/>
      <c r="C648" s="220"/>
      <c r="D648" s="220"/>
      <c r="E648" s="220"/>
      <c r="F648" s="220"/>
      <c r="G648" s="220"/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  <c r="W648" s="220"/>
      <c r="X648" s="220"/>
      <c r="Y648" s="220"/>
      <c r="Z648" s="220"/>
    </row>
    <row r="649" ht="15.75" customHeight="1">
      <c r="A649" s="220"/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  <c r="W649" s="220"/>
      <c r="X649" s="220"/>
      <c r="Y649" s="220"/>
      <c r="Z649" s="220"/>
    </row>
    <row r="650" ht="15.75" customHeight="1">
      <c r="A650" s="220"/>
      <c r="B650" s="220"/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  <c r="W650" s="220"/>
      <c r="X650" s="220"/>
      <c r="Y650" s="220"/>
      <c r="Z650" s="220"/>
    </row>
    <row r="651" ht="15.75" customHeight="1">
      <c r="A651" s="220"/>
      <c r="B651" s="220"/>
      <c r="C651" s="220"/>
      <c r="D651" s="220"/>
      <c r="E651" s="220"/>
      <c r="F651" s="220"/>
      <c r="G651" s="220"/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  <c r="W651" s="220"/>
      <c r="X651" s="220"/>
      <c r="Y651" s="220"/>
      <c r="Z651" s="220"/>
    </row>
    <row r="652" ht="15.75" customHeight="1">
      <c r="A652" s="220"/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  <c r="W652" s="220"/>
      <c r="X652" s="220"/>
      <c r="Y652" s="220"/>
      <c r="Z652" s="220"/>
    </row>
    <row r="653" ht="15.75" customHeight="1">
      <c r="A653" s="220"/>
      <c r="B653" s="220"/>
      <c r="C653" s="220"/>
      <c r="D653" s="220"/>
      <c r="E653" s="220"/>
      <c r="F653" s="220"/>
      <c r="G653" s="220"/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  <c r="W653" s="220"/>
      <c r="X653" s="220"/>
      <c r="Y653" s="220"/>
      <c r="Z653" s="220"/>
    </row>
    <row r="654" ht="15.75" customHeight="1">
      <c r="A654" s="220"/>
      <c r="B654" s="220"/>
      <c r="C654" s="220"/>
      <c r="D654" s="220"/>
      <c r="E654" s="220"/>
      <c r="F654" s="220"/>
      <c r="G654" s="220"/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  <c r="W654" s="220"/>
      <c r="X654" s="220"/>
      <c r="Y654" s="220"/>
      <c r="Z654" s="220"/>
    </row>
    <row r="655" ht="15.75" customHeight="1">
      <c r="A655" s="220"/>
      <c r="B655" s="220"/>
      <c r="C655" s="220"/>
      <c r="D655" s="220"/>
      <c r="E655" s="220"/>
      <c r="F655" s="220"/>
      <c r="G655" s="220"/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  <c r="W655" s="220"/>
      <c r="X655" s="220"/>
      <c r="Y655" s="220"/>
      <c r="Z655" s="220"/>
    </row>
    <row r="656" ht="15.75" customHeight="1">
      <c r="A656" s="220"/>
      <c r="B656" s="220"/>
      <c r="C656" s="220"/>
      <c r="D656" s="220"/>
      <c r="E656" s="220"/>
      <c r="F656" s="220"/>
      <c r="G656" s="220"/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  <c r="W656" s="220"/>
      <c r="X656" s="220"/>
      <c r="Y656" s="220"/>
      <c r="Z656" s="220"/>
    </row>
    <row r="657" ht="15.75" customHeight="1">
      <c r="A657" s="220"/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220"/>
      <c r="Y657" s="220"/>
      <c r="Z657" s="220"/>
    </row>
    <row r="658" ht="15.75" customHeight="1">
      <c r="A658" s="220"/>
      <c r="B658" s="220"/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  <c r="W658" s="220"/>
      <c r="X658" s="220"/>
      <c r="Y658" s="220"/>
      <c r="Z658" s="220"/>
    </row>
    <row r="659" ht="15.75" customHeight="1">
      <c r="A659" s="220"/>
      <c r="B659" s="220"/>
      <c r="C659" s="220"/>
      <c r="D659" s="220"/>
      <c r="E659" s="220"/>
      <c r="F659" s="220"/>
      <c r="G659" s="220"/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  <c r="W659" s="220"/>
      <c r="X659" s="220"/>
      <c r="Y659" s="220"/>
      <c r="Z659" s="220"/>
    </row>
    <row r="660" ht="15.75" customHeight="1">
      <c r="A660" s="220"/>
      <c r="B660" s="220"/>
      <c r="C660" s="220"/>
      <c r="D660" s="220"/>
      <c r="E660" s="220"/>
      <c r="F660" s="220"/>
      <c r="G660" s="220"/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  <c r="W660" s="220"/>
      <c r="X660" s="220"/>
      <c r="Y660" s="220"/>
      <c r="Z660" s="220"/>
    </row>
    <row r="661" ht="15.75" customHeight="1">
      <c r="A661" s="220"/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  <c r="W661" s="220"/>
      <c r="X661" s="220"/>
      <c r="Y661" s="220"/>
      <c r="Z661" s="220"/>
    </row>
    <row r="662" ht="15.75" customHeight="1">
      <c r="A662" s="220"/>
      <c r="B662" s="220"/>
      <c r="C662" s="220"/>
      <c r="D662" s="220"/>
      <c r="E662" s="220"/>
      <c r="F662" s="220"/>
      <c r="G662" s="220"/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  <c r="W662" s="220"/>
      <c r="X662" s="220"/>
      <c r="Y662" s="220"/>
      <c r="Z662" s="220"/>
    </row>
    <row r="663" ht="15.75" customHeight="1">
      <c r="A663" s="220"/>
      <c r="B663" s="220"/>
      <c r="C663" s="220"/>
      <c r="D663" s="220"/>
      <c r="E663" s="220"/>
      <c r="F663" s="220"/>
      <c r="G663" s="220"/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  <c r="W663" s="220"/>
      <c r="X663" s="220"/>
      <c r="Y663" s="220"/>
      <c r="Z663" s="220"/>
    </row>
    <row r="664" ht="15.75" customHeight="1">
      <c r="A664" s="220"/>
      <c r="B664" s="220"/>
      <c r="C664" s="220"/>
      <c r="D664" s="220"/>
      <c r="E664" s="220"/>
      <c r="F664" s="220"/>
      <c r="G664" s="220"/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  <c r="W664" s="220"/>
      <c r="X664" s="220"/>
      <c r="Y664" s="220"/>
      <c r="Z664" s="220"/>
    </row>
    <row r="665" ht="15.75" customHeight="1">
      <c r="A665" s="220"/>
      <c r="B665" s="220"/>
      <c r="C665" s="220"/>
      <c r="D665" s="220"/>
      <c r="E665" s="220"/>
      <c r="F665" s="220"/>
      <c r="G665" s="220"/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  <c r="W665" s="220"/>
      <c r="X665" s="220"/>
      <c r="Y665" s="220"/>
      <c r="Z665" s="220"/>
    </row>
    <row r="666" ht="15.75" customHeight="1">
      <c r="A666" s="220"/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  <c r="W666" s="220"/>
      <c r="X666" s="220"/>
      <c r="Y666" s="220"/>
      <c r="Z666" s="220"/>
    </row>
    <row r="667" ht="15.75" customHeight="1">
      <c r="A667" s="220"/>
      <c r="B667" s="220"/>
      <c r="C667" s="220"/>
      <c r="D667" s="220"/>
      <c r="E667" s="220"/>
      <c r="F667" s="220"/>
      <c r="G667" s="220"/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  <c r="W667" s="220"/>
      <c r="X667" s="220"/>
      <c r="Y667" s="220"/>
      <c r="Z667" s="220"/>
    </row>
    <row r="668" ht="15.75" customHeight="1">
      <c r="A668" s="220"/>
      <c r="B668" s="220"/>
      <c r="C668" s="220"/>
      <c r="D668" s="220"/>
      <c r="E668" s="220"/>
      <c r="F668" s="220"/>
      <c r="G668" s="220"/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  <c r="W668" s="220"/>
      <c r="X668" s="220"/>
      <c r="Y668" s="220"/>
      <c r="Z668" s="220"/>
    </row>
    <row r="669" ht="15.75" customHeight="1">
      <c r="A669" s="220"/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  <c r="W669" s="220"/>
      <c r="X669" s="220"/>
      <c r="Y669" s="220"/>
      <c r="Z669" s="220"/>
    </row>
    <row r="670" ht="15.75" customHeight="1">
      <c r="A670" s="220"/>
      <c r="B670" s="220"/>
      <c r="C670" s="220"/>
      <c r="D670" s="220"/>
      <c r="E670" s="220"/>
      <c r="F670" s="220"/>
      <c r="G670" s="220"/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  <c r="W670" s="220"/>
      <c r="X670" s="220"/>
      <c r="Y670" s="220"/>
      <c r="Z670" s="220"/>
    </row>
    <row r="671" ht="15.75" customHeight="1">
      <c r="A671" s="220"/>
      <c r="B671" s="220"/>
      <c r="C671" s="220"/>
      <c r="D671" s="220"/>
      <c r="E671" s="220"/>
      <c r="F671" s="220"/>
      <c r="G671" s="220"/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  <c r="W671" s="220"/>
      <c r="X671" s="220"/>
      <c r="Y671" s="220"/>
      <c r="Z671" s="220"/>
    </row>
    <row r="672" ht="15.75" customHeight="1">
      <c r="A672" s="220"/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  <c r="W672" s="220"/>
      <c r="X672" s="220"/>
      <c r="Y672" s="220"/>
      <c r="Z672" s="220"/>
    </row>
    <row r="673" ht="15.75" customHeight="1">
      <c r="A673" s="220"/>
      <c r="B673" s="220"/>
      <c r="C673" s="220"/>
      <c r="D673" s="220"/>
      <c r="E673" s="220"/>
      <c r="F673" s="220"/>
      <c r="G673" s="220"/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  <c r="W673" s="220"/>
      <c r="X673" s="220"/>
      <c r="Y673" s="220"/>
      <c r="Z673" s="220"/>
    </row>
    <row r="674" ht="15.75" customHeight="1">
      <c r="A674" s="220"/>
      <c r="B674" s="220"/>
      <c r="C674" s="220"/>
      <c r="D674" s="220"/>
      <c r="E674" s="220"/>
      <c r="F674" s="220"/>
      <c r="G674" s="220"/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  <c r="W674" s="220"/>
      <c r="X674" s="220"/>
      <c r="Y674" s="220"/>
      <c r="Z674" s="220"/>
    </row>
    <row r="675" ht="15.75" customHeight="1">
      <c r="A675" s="220"/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  <c r="W675" s="220"/>
      <c r="X675" s="220"/>
      <c r="Y675" s="220"/>
      <c r="Z675" s="220"/>
    </row>
    <row r="676" ht="15.75" customHeight="1">
      <c r="A676" s="220"/>
      <c r="B676" s="220"/>
      <c r="C676" s="220"/>
      <c r="D676" s="220"/>
      <c r="E676" s="220"/>
      <c r="F676" s="220"/>
      <c r="G676" s="220"/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  <c r="W676" s="220"/>
      <c r="X676" s="220"/>
      <c r="Y676" s="220"/>
      <c r="Z676" s="220"/>
    </row>
    <row r="677" ht="15.75" customHeight="1">
      <c r="A677" s="220"/>
      <c r="B677" s="220"/>
      <c r="C677" s="220"/>
      <c r="D677" s="220"/>
      <c r="E677" s="220"/>
      <c r="F677" s="220"/>
      <c r="G677" s="220"/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  <c r="W677" s="220"/>
      <c r="X677" s="220"/>
      <c r="Y677" s="220"/>
      <c r="Z677" s="220"/>
    </row>
    <row r="678" ht="15.75" customHeight="1">
      <c r="A678" s="220"/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  <c r="W678" s="220"/>
      <c r="X678" s="220"/>
      <c r="Y678" s="220"/>
      <c r="Z678" s="220"/>
    </row>
    <row r="679" ht="15.75" customHeight="1">
      <c r="A679" s="220"/>
      <c r="B679" s="220"/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  <c r="W679" s="220"/>
      <c r="X679" s="220"/>
      <c r="Y679" s="220"/>
      <c r="Z679" s="220"/>
    </row>
    <row r="680" ht="15.75" customHeight="1">
      <c r="A680" s="220"/>
      <c r="B680" s="220"/>
      <c r="C680" s="220"/>
      <c r="D680" s="220"/>
      <c r="E680" s="220"/>
      <c r="F680" s="220"/>
      <c r="G680" s="220"/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  <c r="W680" s="220"/>
      <c r="X680" s="220"/>
      <c r="Y680" s="220"/>
      <c r="Z680" s="220"/>
    </row>
    <row r="681" ht="15.75" customHeight="1">
      <c r="A681" s="220"/>
      <c r="B681" s="220"/>
      <c r="C681" s="220"/>
      <c r="D681" s="220"/>
      <c r="E681" s="220"/>
      <c r="F681" s="220"/>
      <c r="G681" s="220"/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  <c r="W681" s="220"/>
      <c r="X681" s="220"/>
      <c r="Y681" s="220"/>
      <c r="Z681" s="220"/>
    </row>
    <row r="682" ht="15.75" customHeight="1">
      <c r="A682" s="220"/>
      <c r="B682" s="220"/>
      <c r="C682" s="220"/>
      <c r="D682" s="220"/>
      <c r="E682" s="220"/>
      <c r="F682" s="220"/>
      <c r="G682" s="220"/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  <c r="W682" s="220"/>
      <c r="X682" s="220"/>
      <c r="Y682" s="220"/>
      <c r="Z682" s="220"/>
    </row>
    <row r="683" ht="15.75" customHeight="1">
      <c r="A683" s="220"/>
      <c r="B683" s="220"/>
      <c r="C683" s="220"/>
      <c r="D683" s="220"/>
      <c r="E683" s="220"/>
      <c r="F683" s="220"/>
      <c r="G683" s="220"/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  <c r="W683" s="220"/>
      <c r="X683" s="220"/>
      <c r="Y683" s="220"/>
      <c r="Z683" s="220"/>
    </row>
    <row r="684" ht="15.75" customHeight="1">
      <c r="A684" s="220"/>
      <c r="B684" s="220"/>
      <c r="C684" s="220"/>
      <c r="D684" s="220"/>
      <c r="E684" s="220"/>
      <c r="F684" s="220"/>
      <c r="G684" s="220"/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  <c r="W684" s="220"/>
      <c r="X684" s="220"/>
      <c r="Y684" s="220"/>
      <c r="Z684" s="220"/>
    </row>
    <row r="685" ht="15.75" customHeight="1">
      <c r="A685" s="220"/>
      <c r="B685" s="220"/>
      <c r="C685" s="220"/>
      <c r="D685" s="220"/>
      <c r="E685" s="220"/>
      <c r="F685" s="220"/>
      <c r="G685" s="220"/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  <c r="W685" s="220"/>
      <c r="X685" s="220"/>
      <c r="Y685" s="220"/>
      <c r="Z685" s="220"/>
    </row>
    <row r="686" ht="15.75" customHeight="1">
      <c r="A686" s="220"/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  <c r="W686" s="220"/>
      <c r="X686" s="220"/>
      <c r="Y686" s="220"/>
      <c r="Z686" s="220"/>
    </row>
    <row r="687" ht="15.75" customHeight="1">
      <c r="A687" s="220"/>
      <c r="B687" s="220"/>
      <c r="C687" s="220"/>
      <c r="D687" s="220"/>
      <c r="E687" s="220"/>
      <c r="F687" s="220"/>
      <c r="G687" s="220"/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  <c r="W687" s="220"/>
      <c r="X687" s="220"/>
      <c r="Y687" s="220"/>
      <c r="Z687" s="220"/>
    </row>
    <row r="688" ht="15.75" customHeight="1">
      <c r="A688" s="220"/>
      <c r="B688" s="220"/>
      <c r="C688" s="220"/>
      <c r="D688" s="220"/>
      <c r="E688" s="220"/>
      <c r="F688" s="220"/>
      <c r="G688" s="220"/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  <c r="W688" s="220"/>
      <c r="X688" s="220"/>
      <c r="Y688" s="220"/>
      <c r="Z688" s="220"/>
    </row>
    <row r="689" ht="15.75" customHeight="1">
      <c r="A689" s="220"/>
      <c r="B689" s="220"/>
      <c r="C689" s="220"/>
      <c r="D689" s="220"/>
      <c r="E689" s="220"/>
      <c r="F689" s="220"/>
      <c r="G689" s="220"/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  <c r="W689" s="220"/>
      <c r="X689" s="220"/>
      <c r="Y689" s="220"/>
      <c r="Z689" s="220"/>
    </row>
    <row r="690" ht="15.75" customHeight="1">
      <c r="A690" s="220"/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  <c r="W690" s="220"/>
      <c r="X690" s="220"/>
      <c r="Y690" s="220"/>
      <c r="Z690" s="220"/>
    </row>
    <row r="691" ht="15.75" customHeight="1">
      <c r="A691" s="220"/>
      <c r="B691" s="220"/>
      <c r="C691" s="220"/>
      <c r="D691" s="220"/>
      <c r="E691" s="220"/>
      <c r="F691" s="220"/>
      <c r="G691" s="220"/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  <c r="W691" s="220"/>
      <c r="X691" s="220"/>
      <c r="Y691" s="220"/>
      <c r="Z691" s="220"/>
    </row>
    <row r="692" ht="15.75" customHeight="1">
      <c r="A692" s="220"/>
      <c r="B692" s="220"/>
      <c r="C692" s="220"/>
      <c r="D692" s="220"/>
      <c r="E692" s="220"/>
      <c r="F692" s="220"/>
      <c r="G692" s="220"/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  <c r="W692" s="220"/>
      <c r="X692" s="220"/>
      <c r="Y692" s="220"/>
      <c r="Z692" s="220"/>
    </row>
    <row r="693" ht="15.75" customHeight="1">
      <c r="A693" s="220"/>
      <c r="B693" s="220"/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  <c r="W693" s="220"/>
      <c r="X693" s="220"/>
      <c r="Y693" s="220"/>
      <c r="Z693" s="220"/>
    </row>
    <row r="694" ht="15.75" customHeight="1">
      <c r="A694" s="220"/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  <c r="W694" s="220"/>
      <c r="X694" s="220"/>
      <c r="Y694" s="220"/>
      <c r="Z694" s="220"/>
    </row>
    <row r="695" ht="15.75" customHeight="1">
      <c r="A695" s="220"/>
      <c r="B695" s="220"/>
      <c r="C695" s="220"/>
      <c r="D695" s="220"/>
      <c r="E695" s="220"/>
      <c r="F695" s="220"/>
      <c r="G695" s="220"/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  <c r="W695" s="220"/>
      <c r="X695" s="220"/>
      <c r="Y695" s="220"/>
      <c r="Z695" s="220"/>
    </row>
    <row r="696" ht="15.75" customHeight="1">
      <c r="A696" s="220"/>
      <c r="B696" s="220"/>
      <c r="C696" s="220"/>
      <c r="D696" s="220"/>
      <c r="E696" s="220"/>
      <c r="F696" s="220"/>
      <c r="G696" s="220"/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  <c r="W696" s="220"/>
      <c r="X696" s="220"/>
      <c r="Y696" s="220"/>
      <c r="Z696" s="220"/>
    </row>
    <row r="697" ht="15.75" customHeight="1">
      <c r="A697" s="220"/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  <c r="W697" s="220"/>
      <c r="X697" s="220"/>
      <c r="Y697" s="220"/>
      <c r="Z697" s="220"/>
    </row>
    <row r="698" ht="15.75" customHeight="1">
      <c r="A698" s="220"/>
      <c r="B698" s="220"/>
      <c r="C698" s="220"/>
      <c r="D698" s="220"/>
      <c r="E698" s="220"/>
      <c r="F698" s="220"/>
      <c r="G698" s="220"/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  <c r="W698" s="220"/>
      <c r="X698" s="220"/>
      <c r="Y698" s="220"/>
      <c r="Z698" s="220"/>
    </row>
    <row r="699" ht="15.75" customHeight="1">
      <c r="A699" s="220"/>
      <c r="B699" s="220"/>
      <c r="C699" s="220"/>
      <c r="D699" s="220"/>
      <c r="E699" s="220"/>
      <c r="F699" s="220"/>
      <c r="G699" s="220"/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  <c r="W699" s="220"/>
      <c r="X699" s="220"/>
      <c r="Y699" s="220"/>
      <c r="Z699" s="220"/>
    </row>
    <row r="700" ht="15.75" customHeight="1">
      <c r="A700" s="220"/>
      <c r="B700" s="220"/>
      <c r="C700" s="220"/>
      <c r="D700" s="220"/>
      <c r="E700" s="220"/>
      <c r="F700" s="220"/>
      <c r="G700" s="220"/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  <c r="W700" s="220"/>
      <c r="X700" s="220"/>
      <c r="Y700" s="220"/>
      <c r="Z700" s="220"/>
    </row>
    <row r="701" ht="15.75" customHeight="1">
      <c r="A701" s="220"/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  <c r="W701" s="220"/>
      <c r="X701" s="220"/>
      <c r="Y701" s="220"/>
      <c r="Z701" s="220"/>
    </row>
    <row r="702" ht="15.75" customHeight="1">
      <c r="A702" s="220"/>
      <c r="B702" s="220"/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  <c r="W702" s="220"/>
      <c r="X702" s="220"/>
      <c r="Y702" s="220"/>
      <c r="Z702" s="220"/>
    </row>
    <row r="703" ht="15.75" customHeight="1">
      <c r="A703" s="220"/>
      <c r="B703" s="220"/>
      <c r="C703" s="220"/>
      <c r="D703" s="220"/>
      <c r="E703" s="220"/>
      <c r="F703" s="220"/>
      <c r="G703" s="220"/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  <c r="W703" s="220"/>
      <c r="X703" s="220"/>
      <c r="Y703" s="220"/>
      <c r="Z703" s="220"/>
    </row>
    <row r="704" ht="15.75" customHeight="1">
      <c r="A704" s="220"/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  <c r="W704" s="220"/>
      <c r="X704" s="220"/>
      <c r="Y704" s="220"/>
      <c r="Z704" s="220"/>
    </row>
    <row r="705" ht="15.75" customHeight="1">
      <c r="A705" s="220"/>
      <c r="B705" s="220"/>
      <c r="C705" s="220"/>
      <c r="D705" s="220"/>
      <c r="E705" s="220"/>
      <c r="F705" s="220"/>
      <c r="G705" s="220"/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  <c r="W705" s="220"/>
      <c r="X705" s="220"/>
      <c r="Y705" s="220"/>
      <c r="Z705" s="220"/>
    </row>
    <row r="706" ht="15.75" customHeight="1">
      <c r="A706" s="220"/>
      <c r="B706" s="220"/>
      <c r="C706" s="220"/>
      <c r="D706" s="220"/>
      <c r="E706" s="220"/>
      <c r="F706" s="220"/>
      <c r="G706" s="220"/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  <c r="W706" s="220"/>
      <c r="X706" s="220"/>
      <c r="Y706" s="220"/>
      <c r="Z706" s="220"/>
    </row>
    <row r="707" ht="15.75" customHeight="1">
      <c r="A707" s="220"/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  <c r="W707" s="220"/>
      <c r="X707" s="220"/>
      <c r="Y707" s="220"/>
      <c r="Z707" s="220"/>
    </row>
    <row r="708" ht="15.75" customHeight="1">
      <c r="A708" s="220"/>
      <c r="B708" s="220"/>
      <c r="C708" s="220"/>
      <c r="D708" s="220"/>
      <c r="E708" s="220"/>
      <c r="F708" s="220"/>
      <c r="G708" s="220"/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  <c r="W708" s="220"/>
      <c r="X708" s="220"/>
      <c r="Y708" s="220"/>
      <c r="Z708" s="220"/>
    </row>
    <row r="709" ht="15.75" customHeight="1">
      <c r="A709" s="220"/>
      <c r="B709" s="220"/>
      <c r="C709" s="220"/>
      <c r="D709" s="220"/>
      <c r="E709" s="220"/>
      <c r="F709" s="220"/>
      <c r="G709" s="220"/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  <c r="W709" s="220"/>
      <c r="X709" s="220"/>
      <c r="Y709" s="220"/>
      <c r="Z709" s="220"/>
    </row>
    <row r="710" ht="15.75" customHeight="1">
      <c r="A710" s="220"/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  <c r="W710" s="220"/>
      <c r="X710" s="220"/>
      <c r="Y710" s="220"/>
      <c r="Z710" s="220"/>
    </row>
    <row r="711" ht="15.75" customHeight="1">
      <c r="A711" s="220"/>
      <c r="B711" s="220"/>
      <c r="C711" s="220"/>
      <c r="D711" s="220"/>
      <c r="E711" s="220"/>
      <c r="F711" s="220"/>
      <c r="G711" s="220"/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  <c r="W711" s="220"/>
      <c r="X711" s="220"/>
      <c r="Y711" s="220"/>
      <c r="Z711" s="220"/>
    </row>
    <row r="712" ht="15.75" customHeight="1">
      <c r="A712" s="220"/>
      <c r="B712" s="220"/>
      <c r="C712" s="220"/>
      <c r="D712" s="220"/>
      <c r="E712" s="220"/>
      <c r="F712" s="220"/>
      <c r="G712" s="220"/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  <c r="W712" s="220"/>
      <c r="X712" s="220"/>
      <c r="Y712" s="220"/>
      <c r="Z712" s="220"/>
    </row>
    <row r="713" ht="15.75" customHeight="1">
      <c r="A713" s="220"/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  <c r="W713" s="220"/>
      <c r="X713" s="220"/>
      <c r="Y713" s="220"/>
      <c r="Z713" s="220"/>
    </row>
    <row r="714" ht="15.75" customHeight="1">
      <c r="A714" s="220"/>
      <c r="B714" s="220"/>
      <c r="C714" s="220"/>
      <c r="D714" s="220"/>
      <c r="E714" s="220"/>
      <c r="F714" s="220"/>
      <c r="G714" s="220"/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  <c r="W714" s="220"/>
      <c r="X714" s="220"/>
      <c r="Y714" s="220"/>
      <c r="Z714" s="220"/>
    </row>
    <row r="715" ht="15.75" customHeight="1">
      <c r="A715" s="220"/>
      <c r="B715" s="220"/>
      <c r="C715" s="220"/>
      <c r="D715" s="220"/>
      <c r="E715" s="220"/>
      <c r="F715" s="220"/>
      <c r="G715" s="220"/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  <c r="W715" s="220"/>
      <c r="X715" s="220"/>
      <c r="Y715" s="220"/>
      <c r="Z715" s="220"/>
    </row>
    <row r="716" ht="15.75" customHeight="1">
      <c r="A716" s="220"/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  <c r="W716" s="220"/>
      <c r="X716" s="220"/>
      <c r="Y716" s="220"/>
      <c r="Z716" s="220"/>
    </row>
    <row r="717" ht="15.75" customHeight="1">
      <c r="A717" s="220"/>
      <c r="B717" s="220"/>
      <c r="C717" s="220"/>
      <c r="D717" s="220"/>
      <c r="E717" s="220"/>
      <c r="F717" s="220"/>
      <c r="G717" s="220"/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  <c r="W717" s="220"/>
      <c r="X717" s="220"/>
      <c r="Y717" s="220"/>
      <c r="Z717" s="220"/>
    </row>
    <row r="718" ht="15.75" customHeight="1">
      <c r="A718" s="220"/>
      <c r="B718" s="220"/>
      <c r="C718" s="220"/>
      <c r="D718" s="220"/>
      <c r="E718" s="220"/>
      <c r="F718" s="220"/>
      <c r="G718" s="220"/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  <c r="W718" s="220"/>
      <c r="X718" s="220"/>
      <c r="Y718" s="220"/>
      <c r="Z718" s="220"/>
    </row>
    <row r="719" ht="15.75" customHeight="1">
      <c r="A719" s="220"/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  <c r="W719" s="220"/>
      <c r="X719" s="220"/>
      <c r="Y719" s="220"/>
      <c r="Z719" s="220"/>
    </row>
    <row r="720" ht="15.75" customHeight="1">
      <c r="A720" s="220"/>
      <c r="B720" s="220"/>
      <c r="C720" s="220"/>
      <c r="D720" s="220"/>
      <c r="E720" s="220"/>
      <c r="F720" s="220"/>
      <c r="G720" s="220"/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  <c r="W720" s="220"/>
      <c r="X720" s="220"/>
      <c r="Y720" s="220"/>
      <c r="Z720" s="220"/>
    </row>
    <row r="721" ht="15.75" customHeight="1">
      <c r="A721" s="220"/>
      <c r="B721" s="220"/>
      <c r="C721" s="220"/>
      <c r="D721" s="220"/>
      <c r="E721" s="220"/>
      <c r="F721" s="220"/>
      <c r="G721" s="220"/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  <c r="W721" s="220"/>
      <c r="X721" s="220"/>
      <c r="Y721" s="220"/>
      <c r="Z721" s="220"/>
    </row>
    <row r="722" ht="15.75" customHeight="1">
      <c r="A722" s="220"/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  <c r="W722" s="220"/>
      <c r="X722" s="220"/>
      <c r="Y722" s="220"/>
      <c r="Z722" s="220"/>
    </row>
    <row r="723" ht="15.75" customHeight="1">
      <c r="A723" s="220"/>
      <c r="B723" s="220"/>
      <c r="C723" s="220"/>
      <c r="D723" s="220"/>
      <c r="E723" s="220"/>
      <c r="F723" s="220"/>
      <c r="G723" s="220"/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  <c r="W723" s="220"/>
      <c r="X723" s="220"/>
      <c r="Y723" s="220"/>
      <c r="Z723" s="220"/>
    </row>
    <row r="724" ht="15.75" customHeight="1">
      <c r="A724" s="220"/>
      <c r="B724" s="220"/>
      <c r="C724" s="220"/>
      <c r="D724" s="220"/>
      <c r="E724" s="220"/>
      <c r="F724" s="220"/>
      <c r="G724" s="220"/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  <c r="W724" s="220"/>
      <c r="X724" s="220"/>
      <c r="Y724" s="220"/>
      <c r="Z724" s="220"/>
    </row>
    <row r="725" ht="15.75" customHeight="1">
      <c r="A725" s="220"/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  <c r="W725" s="220"/>
      <c r="X725" s="220"/>
      <c r="Y725" s="220"/>
      <c r="Z725" s="220"/>
    </row>
    <row r="726" ht="15.75" customHeight="1">
      <c r="A726" s="220"/>
      <c r="B726" s="220"/>
      <c r="C726" s="220"/>
      <c r="D726" s="220"/>
      <c r="E726" s="220"/>
      <c r="F726" s="220"/>
      <c r="G726" s="220"/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  <c r="W726" s="220"/>
      <c r="X726" s="220"/>
      <c r="Y726" s="220"/>
      <c r="Z726" s="220"/>
    </row>
    <row r="727" ht="15.75" customHeight="1">
      <c r="A727" s="220"/>
      <c r="B727" s="220"/>
      <c r="C727" s="220"/>
      <c r="D727" s="220"/>
      <c r="E727" s="220"/>
      <c r="F727" s="220"/>
      <c r="G727" s="220"/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  <c r="W727" s="220"/>
      <c r="X727" s="220"/>
      <c r="Y727" s="220"/>
      <c r="Z727" s="220"/>
    </row>
    <row r="728" ht="15.75" customHeight="1">
      <c r="A728" s="220"/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  <c r="W728" s="220"/>
      <c r="X728" s="220"/>
      <c r="Y728" s="220"/>
      <c r="Z728" s="220"/>
    </row>
    <row r="729" ht="15.75" customHeight="1">
      <c r="A729" s="220"/>
      <c r="B729" s="220"/>
      <c r="C729" s="220"/>
      <c r="D729" s="220"/>
      <c r="E729" s="220"/>
      <c r="F729" s="220"/>
      <c r="G729" s="220"/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  <c r="W729" s="220"/>
      <c r="X729" s="220"/>
      <c r="Y729" s="220"/>
      <c r="Z729" s="220"/>
    </row>
    <row r="730" ht="15.75" customHeight="1">
      <c r="A730" s="220"/>
      <c r="B730" s="220"/>
      <c r="C730" s="220"/>
      <c r="D730" s="220"/>
      <c r="E730" s="220"/>
      <c r="F730" s="220"/>
      <c r="G730" s="220"/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  <c r="W730" s="220"/>
      <c r="X730" s="220"/>
      <c r="Y730" s="220"/>
      <c r="Z730" s="220"/>
    </row>
    <row r="731" ht="15.75" customHeight="1">
      <c r="A731" s="220"/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  <c r="W731" s="220"/>
      <c r="X731" s="220"/>
      <c r="Y731" s="220"/>
      <c r="Z731" s="220"/>
    </row>
    <row r="732" ht="15.75" customHeight="1">
      <c r="A732" s="220"/>
      <c r="B732" s="220"/>
      <c r="C732" s="220"/>
      <c r="D732" s="220"/>
      <c r="E732" s="220"/>
      <c r="F732" s="220"/>
      <c r="G732" s="220"/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  <c r="W732" s="220"/>
      <c r="X732" s="220"/>
      <c r="Y732" s="220"/>
      <c r="Z732" s="220"/>
    </row>
    <row r="733" ht="15.75" customHeight="1">
      <c r="A733" s="220"/>
      <c r="B733" s="220"/>
      <c r="C733" s="220"/>
      <c r="D733" s="220"/>
      <c r="E733" s="220"/>
      <c r="F733" s="220"/>
      <c r="G733" s="220"/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  <c r="W733" s="220"/>
      <c r="X733" s="220"/>
      <c r="Y733" s="220"/>
      <c r="Z733" s="220"/>
    </row>
    <row r="734" ht="15.75" customHeight="1">
      <c r="A734" s="220"/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  <c r="W734" s="220"/>
      <c r="X734" s="220"/>
      <c r="Y734" s="220"/>
      <c r="Z734" s="220"/>
    </row>
    <row r="735" ht="15.75" customHeight="1">
      <c r="A735" s="220"/>
      <c r="B735" s="220"/>
      <c r="C735" s="220"/>
      <c r="D735" s="220"/>
      <c r="E735" s="220"/>
      <c r="F735" s="220"/>
      <c r="G735" s="220"/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  <c r="W735" s="220"/>
      <c r="X735" s="220"/>
      <c r="Y735" s="220"/>
      <c r="Z735" s="220"/>
    </row>
    <row r="736" ht="15.75" customHeight="1">
      <c r="A736" s="220"/>
      <c r="B736" s="220"/>
      <c r="C736" s="220"/>
      <c r="D736" s="220"/>
      <c r="E736" s="220"/>
      <c r="F736" s="220"/>
      <c r="G736" s="220"/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  <c r="W736" s="220"/>
      <c r="X736" s="220"/>
      <c r="Y736" s="220"/>
      <c r="Z736" s="220"/>
    </row>
    <row r="737" ht="15.75" customHeight="1">
      <c r="A737" s="220"/>
      <c r="B737" s="220"/>
      <c r="C737" s="220"/>
      <c r="D737" s="220"/>
      <c r="E737" s="220"/>
      <c r="F737" s="220"/>
      <c r="G737" s="220"/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  <c r="W737" s="220"/>
      <c r="X737" s="220"/>
      <c r="Y737" s="220"/>
      <c r="Z737" s="220"/>
    </row>
    <row r="738" ht="15.75" customHeight="1">
      <c r="A738" s="220"/>
      <c r="B738" s="220"/>
      <c r="C738" s="220"/>
      <c r="D738" s="220"/>
      <c r="E738" s="220"/>
      <c r="F738" s="220"/>
      <c r="G738" s="220"/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  <c r="W738" s="220"/>
      <c r="X738" s="220"/>
      <c r="Y738" s="220"/>
      <c r="Z738" s="220"/>
    </row>
    <row r="739" ht="15.75" customHeight="1">
      <c r="A739" s="220"/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  <c r="W739" s="220"/>
      <c r="X739" s="220"/>
      <c r="Y739" s="220"/>
      <c r="Z739" s="220"/>
    </row>
    <row r="740" ht="15.75" customHeight="1">
      <c r="A740" s="220"/>
      <c r="B740" s="220"/>
      <c r="C740" s="220"/>
      <c r="D740" s="220"/>
      <c r="E740" s="220"/>
      <c r="F740" s="220"/>
      <c r="G740" s="220"/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  <c r="W740" s="220"/>
      <c r="X740" s="220"/>
      <c r="Y740" s="220"/>
      <c r="Z740" s="220"/>
    </row>
    <row r="741" ht="15.75" customHeight="1">
      <c r="A741" s="220"/>
      <c r="B741" s="220"/>
      <c r="C741" s="220"/>
      <c r="D741" s="220"/>
      <c r="E741" s="220"/>
      <c r="F741" s="220"/>
      <c r="G741" s="220"/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  <c r="W741" s="220"/>
      <c r="X741" s="220"/>
      <c r="Y741" s="220"/>
      <c r="Z741" s="220"/>
    </row>
    <row r="742" ht="15.75" customHeight="1">
      <c r="A742" s="220"/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  <c r="W742" s="220"/>
      <c r="X742" s="220"/>
      <c r="Y742" s="220"/>
      <c r="Z742" s="220"/>
    </row>
    <row r="743" ht="15.75" customHeight="1">
      <c r="A743" s="220"/>
      <c r="B743" s="220"/>
      <c r="C743" s="220"/>
      <c r="D743" s="220"/>
      <c r="E743" s="220"/>
      <c r="F743" s="220"/>
      <c r="G743" s="220"/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  <c r="W743" s="220"/>
      <c r="X743" s="220"/>
      <c r="Y743" s="220"/>
      <c r="Z743" s="220"/>
    </row>
    <row r="744" ht="15.75" customHeight="1">
      <c r="A744" s="220"/>
      <c r="B744" s="220"/>
      <c r="C744" s="220"/>
      <c r="D744" s="220"/>
      <c r="E744" s="220"/>
      <c r="F744" s="220"/>
      <c r="G744" s="220"/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  <c r="W744" s="220"/>
      <c r="X744" s="220"/>
      <c r="Y744" s="220"/>
      <c r="Z744" s="220"/>
    </row>
    <row r="745" ht="15.75" customHeight="1">
      <c r="A745" s="220"/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  <c r="W745" s="220"/>
      <c r="X745" s="220"/>
      <c r="Y745" s="220"/>
      <c r="Z745" s="220"/>
    </row>
    <row r="746" ht="15.75" customHeight="1">
      <c r="A746" s="220"/>
      <c r="B746" s="220"/>
      <c r="C746" s="220"/>
      <c r="D746" s="220"/>
      <c r="E746" s="220"/>
      <c r="F746" s="220"/>
      <c r="G746" s="220"/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  <c r="W746" s="220"/>
      <c r="X746" s="220"/>
      <c r="Y746" s="220"/>
      <c r="Z746" s="220"/>
    </row>
    <row r="747" ht="15.75" customHeight="1">
      <c r="A747" s="220"/>
      <c r="B747" s="220"/>
      <c r="C747" s="220"/>
      <c r="D747" s="220"/>
      <c r="E747" s="220"/>
      <c r="F747" s="220"/>
      <c r="G747" s="220"/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  <c r="W747" s="220"/>
      <c r="X747" s="220"/>
      <c r="Y747" s="220"/>
      <c r="Z747" s="220"/>
    </row>
    <row r="748" ht="15.75" customHeight="1">
      <c r="A748" s="220"/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220"/>
      <c r="Y748" s="220"/>
      <c r="Z748" s="220"/>
    </row>
    <row r="749" ht="15.75" customHeight="1">
      <c r="A749" s="220"/>
      <c r="B749" s="220"/>
      <c r="C749" s="220"/>
      <c r="D749" s="220"/>
      <c r="E749" s="220"/>
      <c r="F749" s="220"/>
      <c r="G749" s="220"/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  <c r="W749" s="220"/>
      <c r="X749" s="220"/>
      <c r="Y749" s="220"/>
      <c r="Z749" s="220"/>
    </row>
    <row r="750" ht="15.75" customHeight="1">
      <c r="A750" s="220"/>
      <c r="B750" s="220"/>
      <c r="C750" s="220"/>
      <c r="D750" s="220"/>
      <c r="E750" s="220"/>
      <c r="F750" s="220"/>
      <c r="G750" s="220"/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  <c r="W750" s="220"/>
      <c r="X750" s="220"/>
      <c r="Y750" s="220"/>
      <c r="Z750" s="220"/>
    </row>
    <row r="751" ht="15.75" customHeight="1">
      <c r="A751" s="220"/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  <c r="W751" s="220"/>
      <c r="X751" s="220"/>
      <c r="Y751" s="220"/>
      <c r="Z751" s="220"/>
    </row>
    <row r="752" ht="15.75" customHeight="1">
      <c r="A752" s="220"/>
      <c r="B752" s="220"/>
      <c r="C752" s="220"/>
      <c r="D752" s="220"/>
      <c r="E752" s="220"/>
      <c r="F752" s="220"/>
      <c r="G752" s="220"/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  <c r="W752" s="220"/>
      <c r="X752" s="220"/>
      <c r="Y752" s="220"/>
      <c r="Z752" s="220"/>
    </row>
    <row r="753" ht="15.75" customHeight="1">
      <c r="A753" s="220"/>
      <c r="B753" s="220"/>
      <c r="C753" s="220"/>
      <c r="D753" s="220"/>
      <c r="E753" s="220"/>
      <c r="F753" s="220"/>
      <c r="G753" s="220"/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  <c r="W753" s="220"/>
      <c r="X753" s="220"/>
      <c r="Y753" s="220"/>
      <c r="Z753" s="220"/>
    </row>
    <row r="754" ht="15.75" customHeight="1">
      <c r="A754" s="220"/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  <c r="W754" s="220"/>
      <c r="X754" s="220"/>
      <c r="Y754" s="220"/>
      <c r="Z754" s="220"/>
    </row>
    <row r="755" ht="15.75" customHeight="1">
      <c r="A755" s="220"/>
      <c r="B755" s="220"/>
      <c r="C755" s="220"/>
      <c r="D755" s="220"/>
      <c r="E755" s="220"/>
      <c r="F755" s="220"/>
      <c r="G755" s="220"/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  <c r="W755" s="220"/>
      <c r="X755" s="220"/>
      <c r="Y755" s="220"/>
      <c r="Z755" s="220"/>
    </row>
    <row r="756" ht="15.75" customHeight="1">
      <c r="A756" s="220"/>
      <c r="B756" s="220"/>
      <c r="C756" s="220"/>
      <c r="D756" s="220"/>
      <c r="E756" s="220"/>
      <c r="F756" s="220"/>
      <c r="G756" s="220"/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  <c r="W756" s="220"/>
      <c r="X756" s="220"/>
      <c r="Y756" s="220"/>
      <c r="Z756" s="220"/>
    </row>
    <row r="757" ht="15.75" customHeight="1">
      <c r="A757" s="220"/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  <c r="W757" s="220"/>
      <c r="X757" s="220"/>
      <c r="Y757" s="220"/>
      <c r="Z757" s="220"/>
    </row>
    <row r="758" ht="15.75" customHeight="1">
      <c r="A758" s="220"/>
      <c r="B758" s="220"/>
      <c r="C758" s="220"/>
      <c r="D758" s="220"/>
      <c r="E758" s="220"/>
      <c r="F758" s="220"/>
      <c r="G758" s="220"/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  <c r="W758" s="220"/>
      <c r="X758" s="220"/>
      <c r="Y758" s="220"/>
      <c r="Z758" s="220"/>
    </row>
    <row r="759" ht="15.75" customHeight="1">
      <c r="A759" s="220"/>
      <c r="B759" s="220"/>
      <c r="C759" s="220"/>
      <c r="D759" s="220"/>
      <c r="E759" s="220"/>
      <c r="F759" s="220"/>
      <c r="G759" s="220"/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  <c r="W759" s="220"/>
      <c r="X759" s="220"/>
      <c r="Y759" s="220"/>
      <c r="Z759" s="220"/>
    </row>
    <row r="760" ht="15.75" customHeight="1">
      <c r="A760" s="220"/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  <c r="W760" s="220"/>
      <c r="X760" s="220"/>
      <c r="Y760" s="220"/>
      <c r="Z760" s="220"/>
    </row>
    <row r="761" ht="15.75" customHeight="1">
      <c r="A761" s="220"/>
      <c r="B761" s="220"/>
      <c r="C761" s="220"/>
      <c r="D761" s="220"/>
      <c r="E761" s="220"/>
      <c r="F761" s="220"/>
      <c r="G761" s="220"/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  <c r="W761" s="220"/>
      <c r="X761" s="220"/>
      <c r="Y761" s="220"/>
      <c r="Z761" s="220"/>
    </row>
    <row r="762" ht="15.75" customHeight="1">
      <c r="A762" s="220"/>
      <c r="B762" s="220"/>
      <c r="C762" s="220"/>
      <c r="D762" s="220"/>
      <c r="E762" s="220"/>
      <c r="F762" s="220"/>
      <c r="G762" s="220"/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  <c r="W762" s="220"/>
      <c r="X762" s="220"/>
      <c r="Y762" s="220"/>
      <c r="Z762" s="220"/>
    </row>
    <row r="763" ht="15.75" customHeight="1">
      <c r="A763" s="220"/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  <c r="W763" s="220"/>
      <c r="X763" s="220"/>
      <c r="Y763" s="220"/>
      <c r="Z763" s="220"/>
    </row>
    <row r="764" ht="15.75" customHeight="1">
      <c r="A764" s="220"/>
      <c r="B764" s="220"/>
      <c r="C764" s="220"/>
      <c r="D764" s="220"/>
      <c r="E764" s="220"/>
      <c r="F764" s="220"/>
      <c r="G764" s="220"/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220"/>
      <c r="Y764" s="220"/>
      <c r="Z764" s="220"/>
    </row>
    <row r="765" ht="15.75" customHeight="1">
      <c r="A765" s="220"/>
      <c r="B765" s="220"/>
      <c r="C765" s="220"/>
      <c r="D765" s="220"/>
      <c r="E765" s="220"/>
      <c r="F765" s="220"/>
      <c r="G765" s="220"/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  <c r="W765" s="220"/>
      <c r="X765" s="220"/>
      <c r="Y765" s="220"/>
      <c r="Z765" s="220"/>
    </row>
    <row r="766" ht="15.75" customHeight="1">
      <c r="A766" s="220"/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220"/>
      <c r="Y766" s="220"/>
      <c r="Z766" s="220"/>
    </row>
    <row r="767" ht="15.75" customHeight="1">
      <c r="A767" s="220"/>
      <c r="B767" s="220"/>
      <c r="C767" s="220"/>
      <c r="D767" s="220"/>
      <c r="E767" s="220"/>
      <c r="F767" s="220"/>
      <c r="G767" s="220"/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  <c r="W767" s="220"/>
      <c r="X767" s="220"/>
      <c r="Y767" s="220"/>
      <c r="Z767" s="220"/>
    </row>
    <row r="768" ht="15.75" customHeight="1">
      <c r="A768" s="220"/>
      <c r="B768" s="220"/>
      <c r="C768" s="220"/>
      <c r="D768" s="220"/>
      <c r="E768" s="220"/>
      <c r="F768" s="220"/>
      <c r="G768" s="220"/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  <c r="W768" s="220"/>
      <c r="X768" s="220"/>
      <c r="Y768" s="220"/>
      <c r="Z768" s="220"/>
    </row>
    <row r="769" ht="15.75" customHeight="1">
      <c r="A769" s="220"/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  <c r="W769" s="220"/>
      <c r="X769" s="220"/>
      <c r="Y769" s="220"/>
      <c r="Z769" s="220"/>
    </row>
    <row r="770" ht="15.75" customHeight="1">
      <c r="A770" s="220"/>
      <c r="B770" s="220"/>
      <c r="C770" s="220"/>
      <c r="D770" s="220"/>
      <c r="E770" s="220"/>
      <c r="F770" s="220"/>
      <c r="G770" s="220"/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  <c r="W770" s="220"/>
      <c r="X770" s="220"/>
      <c r="Y770" s="220"/>
      <c r="Z770" s="220"/>
    </row>
    <row r="771" ht="15.75" customHeight="1">
      <c r="A771" s="220"/>
      <c r="B771" s="220"/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  <c r="W771" s="220"/>
      <c r="X771" s="220"/>
      <c r="Y771" s="220"/>
      <c r="Z771" s="220"/>
    </row>
    <row r="772" ht="15.75" customHeight="1">
      <c r="A772" s="220"/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  <c r="W772" s="220"/>
      <c r="X772" s="220"/>
      <c r="Y772" s="220"/>
      <c r="Z772" s="220"/>
    </row>
    <row r="773" ht="15.75" customHeight="1">
      <c r="A773" s="220"/>
      <c r="B773" s="220"/>
      <c r="C773" s="220"/>
      <c r="D773" s="220"/>
      <c r="E773" s="220"/>
      <c r="F773" s="220"/>
      <c r="G773" s="220"/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  <c r="W773" s="220"/>
      <c r="X773" s="220"/>
      <c r="Y773" s="220"/>
      <c r="Z773" s="220"/>
    </row>
    <row r="774" ht="15.75" customHeight="1">
      <c r="A774" s="220"/>
      <c r="B774" s="220"/>
      <c r="C774" s="220"/>
      <c r="D774" s="220"/>
      <c r="E774" s="220"/>
      <c r="F774" s="220"/>
      <c r="G774" s="220"/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  <c r="W774" s="220"/>
      <c r="X774" s="220"/>
      <c r="Y774" s="220"/>
      <c r="Z774" s="220"/>
    </row>
    <row r="775" ht="15.75" customHeight="1">
      <c r="A775" s="220"/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  <c r="W775" s="220"/>
      <c r="X775" s="220"/>
      <c r="Y775" s="220"/>
      <c r="Z775" s="220"/>
    </row>
    <row r="776" ht="15.75" customHeight="1">
      <c r="A776" s="220"/>
      <c r="B776" s="220"/>
      <c r="C776" s="220"/>
      <c r="D776" s="220"/>
      <c r="E776" s="220"/>
      <c r="F776" s="220"/>
      <c r="G776" s="220"/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  <c r="W776" s="220"/>
      <c r="X776" s="220"/>
      <c r="Y776" s="220"/>
      <c r="Z776" s="220"/>
    </row>
    <row r="777" ht="15.75" customHeight="1">
      <c r="A777" s="220"/>
      <c r="B777" s="220"/>
      <c r="C777" s="220"/>
      <c r="D777" s="220"/>
      <c r="E777" s="220"/>
      <c r="F777" s="220"/>
      <c r="G777" s="220"/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  <c r="W777" s="220"/>
      <c r="X777" s="220"/>
      <c r="Y777" s="220"/>
      <c r="Z777" s="220"/>
    </row>
    <row r="778" ht="15.75" customHeight="1">
      <c r="A778" s="220"/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  <c r="W778" s="220"/>
      <c r="X778" s="220"/>
      <c r="Y778" s="220"/>
      <c r="Z778" s="220"/>
    </row>
    <row r="779" ht="15.75" customHeight="1">
      <c r="A779" s="220"/>
      <c r="B779" s="220"/>
      <c r="C779" s="220"/>
      <c r="D779" s="220"/>
      <c r="E779" s="220"/>
      <c r="F779" s="220"/>
      <c r="G779" s="220"/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  <c r="W779" s="220"/>
      <c r="X779" s="220"/>
      <c r="Y779" s="220"/>
      <c r="Z779" s="220"/>
    </row>
    <row r="780" ht="15.75" customHeight="1">
      <c r="A780" s="220"/>
      <c r="B780" s="220"/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  <c r="W780" s="220"/>
      <c r="X780" s="220"/>
      <c r="Y780" s="220"/>
      <c r="Z780" s="220"/>
    </row>
    <row r="781" ht="15.75" customHeight="1">
      <c r="A781" s="220"/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220"/>
      <c r="Y781" s="220"/>
      <c r="Z781" s="220"/>
    </row>
    <row r="782" ht="15.75" customHeight="1">
      <c r="A782" s="220"/>
      <c r="B782" s="220"/>
      <c r="C782" s="220"/>
      <c r="D782" s="220"/>
      <c r="E782" s="220"/>
      <c r="F782" s="220"/>
      <c r="G782" s="220"/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  <c r="W782" s="220"/>
      <c r="X782" s="220"/>
      <c r="Y782" s="220"/>
      <c r="Z782" s="220"/>
    </row>
    <row r="783" ht="15.75" customHeight="1">
      <c r="A783" s="220"/>
      <c r="B783" s="220"/>
      <c r="C783" s="220"/>
      <c r="D783" s="220"/>
      <c r="E783" s="220"/>
      <c r="F783" s="220"/>
      <c r="G783" s="220"/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  <c r="W783" s="220"/>
      <c r="X783" s="220"/>
      <c r="Y783" s="220"/>
      <c r="Z783" s="220"/>
    </row>
    <row r="784" ht="15.75" customHeight="1">
      <c r="A784" s="220"/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  <c r="W784" s="220"/>
      <c r="X784" s="220"/>
      <c r="Y784" s="220"/>
      <c r="Z784" s="220"/>
    </row>
    <row r="785" ht="15.75" customHeight="1">
      <c r="A785" s="220"/>
      <c r="B785" s="220"/>
      <c r="C785" s="220"/>
      <c r="D785" s="220"/>
      <c r="E785" s="220"/>
      <c r="F785" s="220"/>
      <c r="G785" s="220"/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  <c r="W785" s="220"/>
      <c r="X785" s="220"/>
      <c r="Y785" s="220"/>
      <c r="Z785" s="220"/>
    </row>
    <row r="786" ht="15.75" customHeight="1">
      <c r="A786" s="220"/>
      <c r="B786" s="220"/>
      <c r="C786" s="220"/>
      <c r="D786" s="220"/>
      <c r="E786" s="220"/>
      <c r="F786" s="220"/>
      <c r="G786" s="220"/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  <c r="W786" s="220"/>
      <c r="X786" s="220"/>
      <c r="Y786" s="220"/>
      <c r="Z786" s="220"/>
    </row>
    <row r="787" ht="15.75" customHeight="1">
      <c r="A787" s="220"/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  <c r="W787" s="220"/>
      <c r="X787" s="220"/>
      <c r="Y787" s="220"/>
      <c r="Z787" s="220"/>
    </row>
    <row r="788" ht="15.75" customHeight="1">
      <c r="A788" s="220"/>
      <c r="B788" s="220"/>
      <c r="C788" s="220"/>
      <c r="D788" s="220"/>
      <c r="E788" s="220"/>
      <c r="F788" s="220"/>
      <c r="G788" s="220"/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  <c r="W788" s="220"/>
      <c r="X788" s="220"/>
      <c r="Y788" s="220"/>
      <c r="Z788" s="220"/>
    </row>
    <row r="789" ht="15.75" customHeight="1">
      <c r="A789" s="220"/>
      <c r="B789" s="220"/>
      <c r="C789" s="220"/>
      <c r="D789" s="220"/>
      <c r="E789" s="220"/>
      <c r="F789" s="220"/>
      <c r="G789" s="220"/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  <c r="W789" s="220"/>
      <c r="X789" s="220"/>
      <c r="Y789" s="220"/>
      <c r="Z789" s="220"/>
    </row>
    <row r="790" ht="15.75" customHeight="1">
      <c r="A790" s="220"/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  <c r="W790" s="220"/>
      <c r="X790" s="220"/>
      <c r="Y790" s="220"/>
      <c r="Z790" s="220"/>
    </row>
    <row r="791" ht="15.75" customHeight="1">
      <c r="A791" s="220"/>
      <c r="B791" s="220"/>
      <c r="C791" s="220"/>
      <c r="D791" s="220"/>
      <c r="E791" s="220"/>
      <c r="F791" s="220"/>
      <c r="G791" s="220"/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  <c r="W791" s="220"/>
      <c r="X791" s="220"/>
      <c r="Y791" s="220"/>
      <c r="Z791" s="220"/>
    </row>
    <row r="792" ht="15.75" customHeight="1">
      <c r="A792" s="220"/>
      <c r="B792" s="220"/>
      <c r="C792" s="220"/>
      <c r="D792" s="220"/>
      <c r="E792" s="220"/>
      <c r="F792" s="220"/>
      <c r="G792" s="220"/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  <c r="W792" s="220"/>
      <c r="X792" s="220"/>
      <c r="Y792" s="220"/>
      <c r="Z792" s="220"/>
    </row>
    <row r="793" ht="15.75" customHeight="1">
      <c r="A793" s="220"/>
      <c r="B793" s="220"/>
      <c r="C793" s="220"/>
      <c r="D793" s="220"/>
      <c r="E793" s="220"/>
      <c r="F793" s="220"/>
      <c r="G793" s="220"/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  <c r="W793" s="220"/>
      <c r="X793" s="220"/>
      <c r="Y793" s="220"/>
      <c r="Z793" s="220"/>
    </row>
    <row r="794" ht="15.75" customHeight="1">
      <c r="A794" s="220"/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  <c r="W794" s="220"/>
      <c r="X794" s="220"/>
      <c r="Y794" s="220"/>
      <c r="Z794" s="220"/>
    </row>
    <row r="795" ht="15.75" customHeight="1">
      <c r="A795" s="220"/>
      <c r="B795" s="220"/>
      <c r="C795" s="220"/>
      <c r="D795" s="220"/>
      <c r="E795" s="220"/>
      <c r="F795" s="220"/>
      <c r="G795" s="220"/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  <c r="W795" s="220"/>
      <c r="X795" s="220"/>
      <c r="Y795" s="220"/>
      <c r="Z795" s="220"/>
    </row>
    <row r="796" ht="15.75" customHeight="1">
      <c r="A796" s="220"/>
      <c r="B796" s="220"/>
      <c r="C796" s="220"/>
      <c r="D796" s="220"/>
      <c r="E796" s="220"/>
      <c r="F796" s="220"/>
      <c r="G796" s="220"/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  <c r="W796" s="220"/>
      <c r="X796" s="220"/>
      <c r="Y796" s="220"/>
      <c r="Z796" s="220"/>
    </row>
    <row r="797" ht="15.75" customHeight="1">
      <c r="A797" s="220"/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  <c r="W797" s="220"/>
      <c r="X797" s="220"/>
      <c r="Y797" s="220"/>
      <c r="Z797" s="220"/>
    </row>
    <row r="798" ht="15.75" customHeight="1">
      <c r="A798" s="220"/>
      <c r="B798" s="220"/>
      <c r="C798" s="220"/>
      <c r="D798" s="220"/>
      <c r="E798" s="220"/>
      <c r="F798" s="220"/>
      <c r="G798" s="220"/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  <c r="W798" s="220"/>
      <c r="X798" s="220"/>
      <c r="Y798" s="220"/>
      <c r="Z798" s="220"/>
    </row>
    <row r="799" ht="15.75" customHeight="1">
      <c r="A799" s="220"/>
      <c r="B799" s="220"/>
      <c r="C799" s="220"/>
      <c r="D799" s="220"/>
      <c r="E799" s="220"/>
      <c r="F799" s="220"/>
      <c r="G799" s="220"/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  <c r="W799" s="220"/>
      <c r="X799" s="220"/>
      <c r="Y799" s="220"/>
      <c r="Z799" s="220"/>
    </row>
    <row r="800" ht="15.75" customHeight="1">
      <c r="A800" s="220"/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  <c r="W800" s="220"/>
      <c r="X800" s="220"/>
      <c r="Y800" s="220"/>
      <c r="Z800" s="220"/>
    </row>
    <row r="801" ht="15.75" customHeight="1">
      <c r="A801" s="220"/>
      <c r="B801" s="220"/>
      <c r="C801" s="220"/>
      <c r="D801" s="220"/>
      <c r="E801" s="220"/>
      <c r="F801" s="220"/>
      <c r="G801" s="220"/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  <c r="W801" s="220"/>
      <c r="X801" s="220"/>
      <c r="Y801" s="220"/>
      <c r="Z801" s="220"/>
    </row>
    <row r="802" ht="15.75" customHeight="1">
      <c r="A802" s="220"/>
      <c r="B802" s="220"/>
      <c r="C802" s="220"/>
      <c r="D802" s="220"/>
      <c r="E802" s="220"/>
      <c r="F802" s="220"/>
      <c r="G802" s="220"/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  <c r="W802" s="220"/>
      <c r="X802" s="220"/>
      <c r="Y802" s="220"/>
      <c r="Z802" s="220"/>
    </row>
    <row r="803" ht="15.75" customHeight="1">
      <c r="A803" s="220"/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  <c r="W803" s="220"/>
      <c r="X803" s="220"/>
      <c r="Y803" s="220"/>
      <c r="Z803" s="220"/>
    </row>
    <row r="804" ht="15.75" customHeight="1">
      <c r="A804" s="220"/>
      <c r="B804" s="220"/>
      <c r="C804" s="220"/>
      <c r="D804" s="220"/>
      <c r="E804" s="220"/>
      <c r="F804" s="220"/>
      <c r="G804" s="220"/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  <c r="W804" s="220"/>
      <c r="X804" s="220"/>
      <c r="Y804" s="220"/>
      <c r="Z804" s="220"/>
    </row>
    <row r="805" ht="15.75" customHeight="1">
      <c r="A805" s="220"/>
      <c r="B805" s="220"/>
      <c r="C805" s="220"/>
      <c r="D805" s="220"/>
      <c r="E805" s="220"/>
      <c r="F805" s="220"/>
      <c r="G805" s="220"/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  <c r="W805" s="220"/>
      <c r="X805" s="220"/>
      <c r="Y805" s="220"/>
      <c r="Z805" s="220"/>
    </row>
    <row r="806" ht="15.75" customHeight="1">
      <c r="A806" s="220"/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  <c r="W806" s="220"/>
      <c r="X806" s="220"/>
      <c r="Y806" s="220"/>
      <c r="Z806" s="220"/>
    </row>
    <row r="807" ht="15.75" customHeight="1">
      <c r="A807" s="220"/>
      <c r="B807" s="220"/>
      <c r="C807" s="220"/>
      <c r="D807" s="220"/>
      <c r="E807" s="220"/>
      <c r="F807" s="220"/>
      <c r="G807" s="220"/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  <c r="W807" s="220"/>
      <c r="X807" s="220"/>
      <c r="Y807" s="220"/>
      <c r="Z807" s="220"/>
    </row>
    <row r="808" ht="15.75" customHeight="1">
      <c r="A808" s="220"/>
      <c r="B808" s="220"/>
      <c r="C808" s="220"/>
      <c r="D808" s="220"/>
      <c r="E808" s="220"/>
      <c r="F808" s="220"/>
      <c r="G808" s="220"/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  <c r="W808" s="220"/>
      <c r="X808" s="220"/>
      <c r="Y808" s="220"/>
      <c r="Z808" s="220"/>
    </row>
    <row r="809" ht="15.75" customHeight="1">
      <c r="A809" s="220"/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  <c r="W809" s="220"/>
      <c r="X809" s="220"/>
      <c r="Y809" s="220"/>
      <c r="Z809" s="220"/>
    </row>
    <row r="810" ht="15.75" customHeight="1">
      <c r="A810" s="220"/>
      <c r="B810" s="220"/>
      <c r="C810" s="220"/>
      <c r="D810" s="220"/>
      <c r="E810" s="220"/>
      <c r="F810" s="220"/>
      <c r="G810" s="220"/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  <c r="W810" s="220"/>
      <c r="X810" s="220"/>
      <c r="Y810" s="220"/>
      <c r="Z810" s="220"/>
    </row>
    <row r="811" ht="15.75" customHeight="1">
      <c r="A811" s="220"/>
      <c r="B811" s="220"/>
      <c r="C811" s="220"/>
      <c r="D811" s="220"/>
      <c r="E811" s="220"/>
      <c r="F811" s="220"/>
      <c r="G811" s="220"/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  <c r="W811" s="220"/>
      <c r="X811" s="220"/>
      <c r="Y811" s="220"/>
      <c r="Z811" s="220"/>
    </row>
    <row r="812" ht="15.75" customHeight="1">
      <c r="A812" s="220"/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  <c r="W812" s="220"/>
      <c r="X812" s="220"/>
      <c r="Y812" s="220"/>
      <c r="Z812" s="220"/>
    </row>
    <row r="813" ht="15.75" customHeight="1">
      <c r="A813" s="220"/>
      <c r="B813" s="220"/>
      <c r="C813" s="220"/>
      <c r="D813" s="220"/>
      <c r="E813" s="220"/>
      <c r="F813" s="220"/>
      <c r="G813" s="220"/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  <c r="W813" s="220"/>
      <c r="X813" s="220"/>
      <c r="Y813" s="220"/>
      <c r="Z813" s="220"/>
    </row>
    <row r="814" ht="15.75" customHeight="1">
      <c r="A814" s="220"/>
      <c r="B814" s="220"/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  <c r="W814" s="220"/>
      <c r="X814" s="220"/>
      <c r="Y814" s="220"/>
      <c r="Z814" s="220"/>
    </row>
    <row r="815" ht="15.75" customHeight="1">
      <c r="A815" s="220"/>
      <c r="B815" s="220"/>
      <c r="C815" s="220"/>
      <c r="D815" s="220"/>
      <c r="E815" s="220"/>
      <c r="F815" s="220"/>
      <c r="G815" s="220"/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  <c r="W815" s="220"/>
      <c r="X815" s="220"/>
      <c r="Y815" s="220"/>
      <c r="Z815" s="220"/>
    </row>
    <row r="816" ht="15.75" customHeight="1">
      <c r="A816" s="220"/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  <c r="W816" s="220"/>
      <c r="X816" s="220"/>
      <c r="Y816" s="220"/>
      <c r="Z816" s="220"/>
    </row>
    <row r="817" ht="15.75" customHeight="1">
      <c r="A817" s="220"/>
      <c r="B817" s="220"/>
      <c r="C817" s="220"/>
      <c r="D817" s="220"/>
      <c r="E817" s="220"/>
      <c r="F817" s="220"/>
      <c r="G817" s="220"/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  <c r="W817" s="220"/>
      <c r="X817" s="220"/>
      <c r="Y817" s="220"/>
      <c r="Z817" s="220"/>
    </row>
    <row r="818" ht="15.75" customHeight="1">
      <c r="A818" s="220"/>
      <c r="B818" s="220"/>
      <c r="C818" s="220"/>
      <c r="D818" s="220"/>
      <c r="E818" s="220"/>
      <c r="F818" s="220"/>
      <c r="G818" s="220"/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  <c r="W818" s="220"/>
      <c r="X818" s="220"/>
      <c r="Y818" s="220"/>
      <c r="Z818" s="220"/>
    </row>
    <row r="819" ht="15.75" customHeight="1">
      <c r="A819" s="220"/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  <c r="W819" s="220"/>
      <c r="X819" s="220"/>
      <c r="Y819" s="220"/>
      <c r="Z819" s="220"/>
    </row>
    <row r="820" ht="15.75" customHeight="1">
      <c r="A820" s="220"/>
      <c r="B820" s="220"/>
      <c r="C820" s="220"/>
      <c r="D820" s="220"/>
      <c r="E820" s="220"/>
      <c r="F820" s="220"/>
      <c r="G820" s="220"/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  <c r="W820" s="220"/>
      <c r="X820" s="220"/>
      <c r="Y820" s="220"/>
      <c r="Z820" s="220"/>
    </row>
    <row r="821" ht="15.75" customHeight="1">
      <c r="A821" s="220"/>
      <c r="B821" s="220"/>
      <c r="C821" s="220"/>
      <c r="D821" s="220"/>
      <c r="E821" s="220"/>
      <c r="F821" s="220"/>
      <c r="G821" s="220"/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  <c r="W821" s="220"/>
      <c r="X821" s="220"/>
      <c r="Y821" s="220"/>
      <c r="Z821" s="220"/>
    </row>
    <row r="822" ht="15.75" customHeight="1">
      <c r="A822" s="220"/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  <c r="W822" s="220"/>
      <c r="X822" s="220"/>
      <c r="Y822" s="220"/>
      <c r="Z822" s="220"/>
    </row>
    <row r="823" ht="15.75" customHeight="1">
      <c r="A823" s="220"/>
      <c r="B823" s="220"/>
      <c r="C823" s="220"/>
      <c r="D823" s="220"/>
      <c r="E823" s="220"/>
      <c r="F823" s="220"/>
      <c r="G823" s="220"/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  <c r="W823" s="220"/>
      <c r="X823" s="220"/>
      <c r="Y823" s="220"/>
      <c r="Z823" s="220"/>
    </row>
    <row r="824" ht="15.75" customHeight="1">
      <c r="A824" s="220"/>
      <c r="B824" s="220"/>
      <c r="C824" s="220"/>
      <c r="D824" s="220"/>
      <c r="E824" s="220"/>
      <c r="F824" s="220"/>
      <c r="G824" s="220"/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  <c r="W824" s="220"/>
      <c r="X824" s="220"/>
      <c r="Y824" s="220"/>
      <c r="Z824" s="220"/>
    </row>
    <row r="825" ht="15.75" customHeight="1">
      <c r="A825" s="220"/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  <c r="W825" s="220"/>
      <c r="X825" s="220"/>
      <c r="Y825" s="220"/>
      <c r="Z825" s="220"/>
    </row>
    <row r="826" ht="15.75" customHeight="1">
      <c r="A826" s="220"/>
      <c r="B826" s="220"/>
      <c r="C826" s="220"/>
      <c r="D826" s="220"/>
      <c r="E826" s="220"/>
      <c r="F826" s="220"/>
      <c r="G826" s="220"/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  <c r="W826" s="220"/>
      <c r="X826" s="220"/>
      <c r="Y826" s="220"/>
      <c r="Z826" s="220"/>
    </row>
    <row r="827" ht="15.75" customHeight="1">
      <c r="A827" s="220"/>
      <c r="B827" s="220"/>
      <c r="C827" s="220"/>
      <c r="D827" s="220"/>
      <c r="E827" s="220"/>
      <c r="F827" s="220"/>
      <c r="G827" s="220"/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  <c r="W827" s="220"/>
      <c r="X827" s="220"/>
      <c r="Y827" s="220"/>
      <c r="Z827" s="220"/>
    </row>
    <row r="828" ht="15.75" customHeight="1">
      <c r="A828" s="220"/>
      <c r="B828" s="220"/>
      <c r="C828" s="220"/>
      <c r="D828" s="220"/>
      <c r="E828" s="220"/>
      <c r="F828" s="220"/>
      <c r="G828" s="220"/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  <c r="W828" s="220"/>
      <c r="X828" s="220"/>
      <c r="Y828" s="220"/>
      <c r="Z828" s="220"/>
    </row>
    <row r="829" ht="15.75" customHeight="1">
      <c r="A829" s="220"/>
      <c r="B829" s="220"/>
      <c r="C829" s="220"/>
      <c r="D829" s="220"/>
      <c r="E829" s="220"/>
      <c r="F829" s="220"/>
      <c r="G829" s="220"/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220"/>
      <c r="Y829" s="220"/>
      <c r="Z829" s="220"/>
    </row>
    <row r="830" ht="15.75" customHeight="1">
      <c r="A830" s="220"/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  <c r="W830" s="220"/>
      <c r="X830" s="220"/>
      <c r="Y830" s="220"/>
      <c r="Z830" s="220"/>
    </row>
    <row r="831" ht="15.75" customHeight="1">
      <c r="A831" s="220"/>
      <c r="B831" s="220"/>
      <c r="C831" s="220"/>
      <c r="D831" s="220"/>
      <c r="E831" s="220"/>
      <c r="F831" s="220"/>
      <c r="G831" s="220"/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  <c r="W831" s="220"/>
      <c r="X831" s="220"/>
      <c r="Y831" s="220"/>
      <c r="Z831" s="220"/>
    </row>
    <row r="832" ht="15.75" customHeight="1">
      <c r="A832" s="220"/>
      <c r="B832" s="220"/>
      <c r="C832" s="220"/>
      <c r="D832" s="220"/>
      <c r="E832" s="220"/>
      <c r="F832" s="220"/>
      <c r="G832" s="220"/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  <c r="W832" s="220"/>
      <c r="X832" s="220"/>
      <c r="Y832" s="220"/>
      <c r="Z832" s="220"/>
    </row>
    <row r="833" ht="15.75" customHeight="1">
      <c r="A833" s="220"/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  <c r="W833" s="220"/>
      <c r="X833" s="220"/>
      <c r="Y833" s="220"/>
      <c r="Z833" s="220"/>
    </row>
    <row r="834" ht="15.75" customHeight="1">
      <c r="A834" s="220"/>
      <c r="B834" s="220"/>
      <c r="C834" s="220"/>
      <c r="D834" s="220"/>
      <c r="E834" s="220"/>
      <c r="F834" s="220"/>
      <c r="G834" s="220"/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  <c r="W834" s="220"/>
      <c r="X834" s="220"/>
      <c r="Y834" s="220"/>
      <c r="Z834" s="220"/>
    </row>
    <row r="835" ht="15.75" customHeight="1">
      <c r="A835" s="220"/>
      <c r="B835" s="220"/>
      <c r="C835" s="220"/>
      <c r="D835" s="220"/>
      <c r="E835" s="220"/>
      <c r="F835" s="220"/>
      <c r="G835" s="220"/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  <c r="W835" s="220"/>
      <c r="X835" s="220"/>
      <c r="Y835" s="220"/>
      <c r="Z835" s="220"/>
    </row>
    <row r="836" ht="15.75" customHeight="1">
      <c r="A836" s="220"/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  <c r="W836" s="220"/>
      <c r="X836" s="220"/>
      <c r="Y836" s="220"/>
      <c r="Z836" s="220"/>
    </row>
    <row r="837" ht="15.75" customHeight="1">
      <c r="A837" s="220"/>
      <c r="B837" s="220"/>
      <c r="C837" s="220"/>
      <c r="D837" s="220"/>
      <c r="E837" s="220"/>
      <c r="F837" s="220"/>
      <c r="G837" s="220"/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  <c r="W837" s="220"/>
      <c r="X837" s="220"/>
      <c r="Y837" s="220"/>
      <c r="Z837" s="220"/>
    </row>
    <row r="838" ht="15.75" customHeight="1">
      <c r="A838" s="220"/>
      <c r="B838" s="220"/>
      <c r="C838" s="220"/>
      <c r="D838" s="220"/>
      <c r="E838" s="220"/>
      <c r="F838" s="220"/>
      <c r="G838" s="220"/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  <c r="W838" s="220"/>
      <c r="X838" s="220"/>
      <c r="Y838" s="220"/>
      <c r="Z838" s="220"/>
    </row>
    <row r="839" ht="15.75" customHeight="1">
      <c r="A839" s="220"/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  <c r="W839" s="220"/>
      <c r="X839" s="220"/>
      <c r="Y839" s="220"/>
      <c r="Z839" s="220"/>
    </row>
    <row r="840" ht="15.75" customHeight="1">
      <c r="A840" s="220"/>
      <c r="B840" s="220"/>
      <c r="C840" s="220"/>
      <c r="D840" s="220"/>
      <c r="E840" s="220"/>
      <c r="F840" s="220"/>
      <c r="G840" s="220"/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  <c r="W840" s="220"/>
      <c r="X840" s="220"/>
      <c r="Y840" s="220"/>
      <c r="Z840" s="220"/>
    </row>
    <row r="841" ht="15.75" customHeight="1">
      <c r="A841" s="220"/>
      <c r="B841" s="220"/>
      <c r="C841" s="220"/>
      <c r="D841" s="220"/>
      <c r="E841" s="220"/>
      <c r="F841" s="220"/>
      <c r="G841" s="220"/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  <c r="W841" s="220"/>
      <c r="X841" s="220"/>
      <c r="Y841" s="220"/>
      <c r="Z841" s="220"/>
    </row>
    <row r="842" ht="15.75" customHeight="1">
      <c r="A842" s="220"/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  <c r="W842" s="220"/>
      <c r="X842" s="220"/>
      <c r="Y842" s="220"/>
      <c r="Z842" s="220"/>
    </row>
    <row r="843" ht="15.75" customHeight="1">
      <c r="A843" s="220"/>
      <c r="B843" s="220"/>
      <c r="C843" s="220"/>
      <c r="D843" s="220"/>
      <c r="E843" s="220"/>
      <c r="F843" s="220"/>
      <c r="G843" s="220"/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  <c r="W843" s="220"/>
      <c r="X843" s="220"/>
      <c r="Y843" s="220"/>
      <c r="Z843" s="220"/>
    </row>
    <row r="844" ht="15.75" customHeight="1">
      <c r="A844" s="220"/>
      <c r="B844" s="220"/>
      <c r="C844" s="220"/>
      <c r="D844" s="220"/>
      <c r="E844" s="220"/>
      <c r="F844" s="220"/>
      <c r="G844" s="220"/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  <c r="W844" s="220"/>
      <c r="X844" s="220"/>
      <c r="Y844" s="220"/>
      <c r="Z844" s="220"/>
    </row>
    <row r="845" ht="15.75" customHeight="1">
      <c r="A845" s="220"/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  <c r="W845" s="220"/>
      <c r="X845" s="220"/>
      <c r="Y845" s="220"/>
      <c r="Z845" s="220"/>
    </row>
    <row r="846" ht="15.75" customHeight="1">
      <c r="A846" s="220"/>
      <c r="B846" s="220"/>
      <c r="C846" s="220"/>
      <c r="D846" s="220"/>
      <c r="E846" s="220"/>
      <c r="F846" s="220"/>
      <c r="G846" s="220"/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  <c r="W846" s="220"/>
      <c r="X846" s="220"/>
      <c r="Y846" s="220"/>
      <c r="Z846" s="220"/>
    </row>
    <row r="847" ht="15.75" customHeight="1">
      <c r="A847" s="220"/>
      <c r="B847" s="220"/>
      <c r="C847" s="220"/>
      <c r="D847" s="220"/>
      <c r="E847" s="220"/>
      <c r="F847" s="220"/>
      <c r="G847" s="220"/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  <c r="W847" s="220"/>
      <c r="X847" s="220"/>
      <c r="Y847" s="220"/>
      <c r="Z847" s="220"/>
    </row>
    <row r="848" ht="15.75" customHeight="1">
      <c r="A848" s="220"/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  <c r="W848" s="220"/>
      <c r="X848" s="220"/>
      <c r="Y848" s="220"/>
      <c r="Z848" s="220"/>
    </row>
    <row r="849" ht="15.75" customHeight="1">
      <c r="A849" s="220"/>
      <c r="B849" s="220"/>
      <c r="C849" s="220"/>
      <c r="D849" s="220"/>
      <c r="E849" s="220"/>
      <c r="F849" s="220"/>
      <c r="G849" s="220"/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  <c r="W849" s="220"/>
      <c r="X849" s="220"/>
      <c r="Y849" s="220"/>
      <c r="Z849" s="220"/>
    </row>
    <row r="850" ht="15.75" customHeight="1">
      <c r="A850" s="220"/>
      <c r="B850" s="220"/>
      <c r="C850" s="220"/>
      <c r="D850" s="220"/>
      <c r="E850" s="220"/>
      <c r="F850" s="220"/>
      <c r="G850" s="220"/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  <c r="W850" s="220"/>
      <c r="X850" s="220"/>
      <c r="Y850" s="220"/>
      <c r="Z850" s="220"/>
    </row>
    <row r="851" ht="15.75" customHeight="1">
      <c r="A851" s="220"/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  <c r="W851" s="220"/>
      <c r="X851" s="220"/>
      <c r="Y851" s="220"/>
      <c r="Z851" s="220"/>
    </row>
    <row r="852" ht="15.75" customHeight="1">
      <c r="A852" s="220"/>
      <c r="B852" s="220"/>
      <c r="C852" s="220"/>
      <c r="D852" s="220"/>
      <c r="E852" s="220"/>
      <c r="F852" s="220"/>
      <c r="G852" s="220"/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  <c r="W852" s="220"/>
      <c r="X852" s="220"/>
      <c r="Y852" s="220"/>
      <c r="Z852" s="220"/>
    </row>
    <row r="853" ht="15.75" customHeight="1">
      <c r="A853" s="220"/>
      <c r="B853" s="220"/>
      <c r="C853" s="220"/>
      <c r="D853" s="220"/>
      <c r="E853" s="220"/>
      <c r="F853" s="220"/>
      <c r="G853" s="220"/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  <c r="W853" s="220"/>
      <c r="X853" s="220"/>
      <c r="Y853" s="220"/>
      <c r="Z853" s="220"/>
    </row>
    <row r="854" ht="15.75" customHeight="1">
      <c r="A854" s="220"/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  <c r="W854" s="220"/>
      <c r="X854" s="220"/>
      <c r="Y854" s="220"/>
      <c r="Z854" s="220"/>
    </row>
    <row r="855" ht="15.75" customHeight="1">
      <c r="A855" s="220"/>
      <c r="B855" s="220"/>
      <c r="C855" s="220"/>
      <c r="D855" s="220"/>
      <c r="E855" s="220"/>
      <c r="F855" s="220"/>
      <c r="G855" s="220"/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  <c r="W855" s="220"/>
      <c r="X855" s="220"/>
      <c r="Y855" s="220"/>
      <c r="Z855" s="220"/>
    </row>
    <row r="856" ht="15.75" customHeight="1">
      <c r="A856" s="220"/>
      <c r="B856" s="220"/>
      <c r="C856" s="220"/>
      <c r="D856" s="220"/>
      <c r="E856" s="220"/>
      <c r="F856" s="220"/>
      <c r="G856" s="220"/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  <c r="W856" s="220"/>
      <c r="X856" s="220"/>
      <c r="Y856" s="220"/>
      <c r="Z856" s="220"/>
    </row>
    <row r="857" ht="15.75" customHeight="1">
      <c r="A857" s="220"/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  <c r="W857" s="220"/>
      <c r="X857" s="220"/>
      <c r="Y857" s="220"/>
      <c r="Z857" s="220"/>
    </row>
    <row r="858" ht="15.75" customHeight="1">
      <c r="A858" s="220"/>
      <c r="B858" s="220"/>
      <c r="C858" s="220"/>
      <c r="D858" s="220"/>
      <c r="E858" s="220"/>
      <c r="F858" s="220"/>
      <c r="G858" s="220"/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  <c r="W858" s="220"/>
      <c r="X858" s="220"/>
      <c r="Y858" s="220"/>
      <c r="Z858" s="220"/>
    </row>
    <row r="859" ht="15.75" customHeight="1">
      <c r="A859" s="220"/>
      <c r="B859" s="220"/>
      <c r="C859" s="220"/>
      <c r="D859" s="220"/>
      <c r="E859" s="220"/>
      <c r="F859" s="220"/>
      <c r="G859" s="220"/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  <c r="W859" s="220"/>
      <c r="X859" s="220"/>
      <c r="Y859" s="220"/>
      <c r="Z859" s="220"/>
    </row>
    <row r="860" ht="15.75" customHeight="1">
      <c r="A860" s="220"/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  <c r="W860" s="220"/>
      <c r="X860" s="220"/>
      <c r="Y860" s="220"/>
      <c r="Z860" s="220"/>
    </row>
    <row r="861" ht="15.75" customHeight="1">
      <c r="A861" s="220"/>
      <c r="B861" s="220"/>
      <c r="C861" s="220"/>
      <c r="D861" s="220"/>
      <c r="E861" s="220"/>
      <c r="F861" s="220"/>
      <c r="G861" s="220"/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  <c r="W861" s="220"/>
      <c r="X861" s="220"/>
      <c r="Y861" s="220"/>
      <c r="Z861" s="220"/>
    </row>
    <row r="862" ht="15.75" customHeight="1">
      <c r="A862" s="220"/>
      <c r="B862" s="220"/>
      <c r="C862" s="220"/>
      <c r="D862" s="220"/>
      <c r="E862" s="220"/>
      <c r="F862" s="220"/>
      <c r="G862" s="220"/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  <c r="W862" s="220"/>
      <c r="X862" s="220"/>
      <c r="Y862" s="220"/>
      <c r="Z862" s="220"/>
    </row>
    <row r="863" ht="15.75" customHeight="1">
      <c r="A863" s="220"/>
      <c r="B863" s="220"/>
      <c r="C863" s="220"/>
      <c r="D863" s="220"/>
      <c r="E863" s="220"/>
      <c r="F863" s="220"/>
      <c r="G863" s="220"/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  <c r="W863" s="220"/>
      <c r="X863" s="220"/>
      <c r="Y863" s="220"/>
      <c r="Z863" s="220"/>
    </row>
    <row r="864" ht="15.75" customHeight="1">
      <c r="A864" s="220"/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  <c r="W864" s="220"/>
      <c r="X864" s="220"/>
      <c r="Y864" s="220"/>
      <c r="Z864" s="220"/>
    </row>
    <row r="865" ht="15.75" customHeight="1">
      <c r="A865" s="220"/>
      <c r="B865" s="220"/>
      <c r="C865" s="220"/>
      <c r="D865" s="220"/>
      <c r="E865" s="220"/>
      <c r="F865" s="220"/>
      <c r="G865" s="220"/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  <c r="W865" s="220"/>
      <c r="X865" s="220"/>
      <c r="Y865" s="220"/>
      <c r="Z865" s="220"/>
    </row>
    <row r="866" ht="15.75" customHeight="1">
      <c r="A866" s="220"/>
      <c r="B866" s="220"/>
      <c r="C866" s="220"/>
      <c r="D866" s="220"/>
      <c r="E866" s="220"/>
      <c r="F866" s="220"/>
      <c r="G866" s="220"/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  <c r="W866" s="220"/>
      <c r="X866" s="220"/>
      <c r="Y866" s="220"/>
      <c r="Z866" s="220"/>
    </row>
    <row r="867" ht="15.75" customHeight="1">
      <c r="A867" s="220"/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  <c r="W867" s="220"/>
      <c r="X867" s="220"/>
      <c r="Y867" s="220"/>
      <c r="Z867" s="220"/>
    </row>
    <row r="868" ht="15.75" customHeight="1">
      <c r="A868" s="220"/>
      <c r="B868" s="220"/>
      <c r="C868" s="220"/>
      <c r="D868" s="220"/>
      <c r="E868" s="220"/>
      <c r="F868" s="220"/>
      <c r="G868" s="220"/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  <c r="W868" s="220"/>
      <c r="X868" s="220"/>
      <c r="Y868" s="220"/>
      <c r="Z868" s="220"/>
    </row>
    <row r="869" ht="15.75" customHeight="1">
      <c r="A869" s="220"/>
      <c r="B869" s="220"/>
      <c r="C869" s="220"/>
      <c r="D869" s="220"/>
      <c r="E869" s="220"/>
      <c r="F869" s="220"/>
      <c r="G869" s="220"/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  <c r="W869" s="220"/>
      <c r="X869" s="220"/>
      <c r="Y869" s="220"/>
      <c r="Z869" s="220"/>
    </row>
    <row r="870" ht="15.75" customHeight="1">
      <c r="A870" s="220"/>
      <c r="B870" s="220"/>
      <c r="C870" s="220"/>
      <c r="D870" s="220"/>
      <c r="E870" s="220"/>
      <c r="F870" s="220"/>
      <c r="G870" s="220"/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  <c r="W870" s="220"/>
      <c r="X870" s="220"/>
      <c r="Y870" s="220"/>
      <c r="Z870" s="220"/>
    </row>
    <row r="871" ht="15.75" customHeight="1">
      <c r="A871" s="220"/>
      <c r="B871" s="220"/>
      <c r="C871" s="220"/>
      <c r="D871" s="220"/>
      <c r="E871" s="220"/>
      <c r="F871" s="220"/>
      <c r="G871" s="220"/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  <c r="W871" s="220"/>
      <c r="X871" s="220"/>
      <c r="Y871" s="220"/>
      <c r="Z871" s="220"/>
    </row>
    <row r="872" ht="15.75" customHeight="1">
      <c r="A872" s="220"/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  <c r="W872" s="220"/>
      <c r="X872" s="220"/>
      <c r="Y872" s="220"/>
      <c r="Z872" s="220"/>
    </row>
    <row r="873" ht="15.75" customHeight="1">
      <c r="A873" s="220"/>
      <c r="B873" s="220"/>
      <c r="C873" s="220"/>
      <c r="D873" s="220"/>
      <c r="E873" s="220"/>
      <c r="F873" s="220"/>
      <c r="G873" s="220"/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  <c r="W873" s="220"/>
      <c r="X873" s="220"/>
      <c r="Y873" s="220"/>
      <c r="Z873" s="220"/>
    </row>
    <row r="874" ht="15.75" customHeight="1">
      <c r="A874" s="220"/>
      <c r="B874" s="220"/>
      <c r="C874" s="220"/>
      <c r="D874" s="220"/>
      <c r="E874" s="220"/>
      <c r="F874" s="220"/>
      <c r="G874" s="220"/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  <c r="W874" s="220"/>
      <c r="X874" s="220"/>
      <c r="Y874" s="220"/>
      <c r="Z874" s="220"/>
    </row>
    <row r="875" ht="15.75" customHeight="1">
      <c r="A875" s="220"/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  <c r="W875" s="220"/>
      <c r="X875" s="220"/>
      <c r="Y875" s="220"/>
      <c r="Z875" s="220"/>
    </row>
    <row r="876" ht="15.75" customHeight="1">
      <c r="A876" s="220"/>
      <c r="B876" s="220"/>
      <c r="C876" s="220"/>
      <c r="D876" s="220"/>
      <c r="E876" s="220"/>
      <c r="F876" s="220"/>
      <c r="G876" s="220"/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  <c r="W876" s="220"/>
      <c r="X876" s="220"/>
      <c r="Y876" s="220"/>
      <c r="Z876" s="220"/>
    </row>
    <row r="877" ht="15.75" customHeight="1">
      <c r="A877" s="220"/>
      <c r="B877" s="220"/>
      <c r="C877" s="220"/>
      <c r="D877" s="220"/>
      <c r="E877" s="220"/>
      <c r="F877" s="220"/>
      <c r="G877" s="220"/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  <c r="W877" s="220"/>
      <c r="X877" s="220"/>
      <c r="Y877" s="220"/>
      <c r="Z877" s="220"/>
    </row>
    <row r="878" ht="15.75" customHeight="1">
      <c r="A878" s="220"/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  <c r="W878" s="220"/>
      <c r="X878" s="220"/>
      <c r="Y878" s="220"/>
      <c r="Z878" s="220"/>
    </row>
    <row r="879" ht="15.75" customHeight="1">
      <c r="A879" s="220"/>
      <c r="B879" s="220"/>
      <c r="C879" s="220"/>
      <c r="D879" s="220"/>
      <c r="E879" s="220"/>
      <c r="F879" s="220"/>
      <c r="G879" s="220"/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  <c r="W879" s="220"/>
      <c r="X879" s="220"/>
      <c r="Y879" s="220"/>
      <c r="Z879" s="220"/>
    </row>
    <row r="880" ht="15.75" customHeight="1">
      <c r="A880" s="220"/>
      <c r="B880" s="220"/>
      <c r="C880" s="220"/>
      <c r="D880" s="220"/>
      <c r="E880" s="220"/>
      <c r="F880" s="220"/>
      <c r="G880" s="220"/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  <c r="W880" s="220"/>
      <c r="X880" s="220"/>
      <c r="Y880" s="220"/>
      <c r="Z880" s="220"/>
    </row>
    <row r="881" ht="15.75" customHeight="1">
      <c r="A881" s="220"/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  <c r="W881" s="220"/>
      <c r="X881" s="220"/>
      <c r="Y881" s="220"/>
      <c r="Z881" s="220"/>
    </row>
    <row r="882" ht="15.75" customHeight="1">
      <c r="A882" s="220"/>
      <c r="B882" s="220"/>
      <c r="C882" s="220"/>
      <c r="D882" s="220"/>
      <c r="E882" s="220"/>
      <c r="F882" s="220"/>
      <c r="G882" s="220"/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  <c r="W882" s="220"/>
      <c r="X882" s="220"/>
      <c r="Y882" s="220"/>
      <c r="Z882" s="220"/>
    </row>
    <row r="883" ht="15.75" customHeight="1">
      <c r="A883" s="220"/>
      <c r="B883" s="220"/>
      <c r="C883" s="220"/>
      <c r="D883" s="220"/>
      <c r="E883" s="220"/>
      <c r="F883" s="220"/>
      <c r="G883" s="220"/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  <c r="W883" s="220"/>
      <c r="X883" s="220"/>
      <c r="Y883" s="220"/>
      <c r="Z883" s="220"/>
    </row>
    <row r="884" ht="15.75" customHeight="1">
      <c r="A884" s="220"/>
      <c r="B884" s="220"/>
      <c r="C884" s="220"/>
      <c r="D884" s="220"/>
      <c r="E884" s="220"/>
      <c r="F884" s="220"/>
      <c r="G884" s="220"/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  <c r="W884" s="220"/>
      <c r="X884" s="220"/>
      <c r="Y884" s="220"/>
      <c r="Z884" s="220"/>
    </row>
    <row r="885" ht="15.75" customHeight="1">
      <c r="A885" s="220"/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  <c r="W885" s="220"/>
      <c r="X885" s="220"/>
      <c r="Y885" s="220"/>
      <c r="Z885" s="220"/>
    </row>
    <row r="886" ht="15.75" customHeight="1">
      <c r="A886" s="220"/>
      <c r="B886" s="220"/>
      <c r="C886" s="220"/>
      <c r="D886" s="220"/>
      <c r="E886" s="220"/>
      <c r="F886" s="220"/>
      <c r="G886" s="220"/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  <c r="W886" s="220"/>
      <c r="X886" s="220"/>
      <c r="Y886" s="220"/>
      <c r="Z886" s="220"/>
    </row>
    <row r="887" ht="15.75" customHeight="1">
      <c r="A887" s="220"/>
      <c r="B887" s="220"/>
      <c r="C887" s="220"/>
      <c r="D887" s="220"/>
      <c r="E887" s="220"/>
      <c r="F887" s="220"/>
      <c r="G887" s="220"/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  <c r="W887" s="220"/>
      <c r="X887" s="220"/>
      <c r="Y887" s="220"/>
      <c r="Z887" s="220"/>
    </row>
    <row r="888" ht="15.75" customHeight="1">
      <c r="A888" s="220"/>
      <c r="B888" s="220"/>
      <c r="C888" s="220"/>
      <c r="D888" s="220"/>
      <c r="E888" s="220"/>
      <c r="F888" s="220"/>
      <c r="G888" s="220"/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  <c r="W888" s="220"/>
      <c r="X888" s="220"/>
      <c r="Y888" s="220"/>
      <c r="Z888" s="220"/>
    </row>
    <row r="889" ht="15.75" customHeight="1">
      <c r="A889" s="220"/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  <c r="W889" s="220"/>
      <c r="X889" s="220"/>
      <c r="Y889" s="220"/>
      <c r="Z889" s="220"/>
    </row>
    <row r="890" ht="15.75" customHeight="1">
      <c r="A890" s="220"/>
      <c r="B890" s="220"/>
      <c r="C890" s="220"/>
      <c r="D890" s="220"/>
      <c r="E890" s="220"/>
      <c r="F890" s="220"/>
      <c r="G890" s="220"/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  <c r="W890" s="220"/>
      <c r="X890" s="220"/>
      <c r="Y890" s="220"/>
      <c r="Z890" s="220"/>
    </row>
    <row r="891" ht="15.75" customHeight="1">
      <c r="A891" s="220"/>
      <c r="B891" s="220"/>
      <c r="C891" s="220"/>
      <c r="D891" s="220"/>
      <c r="E891" s="220"/>
      <c r="F891" s="220"/>
      <c r="G891" s="220"/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  <c r="W891" s="220"/>
      <c r="X891" s="220"/>
      <c r="Y891" s="220"/>
      <c r="Z891" s="220"/>
    </row>
    <row r="892" ht="15.75" customHeight="1">
      <c r="A892" s="220"/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  <c r="W892" s="220"/>
      <c r="X892" s="220"/>
      <c r="Y892" s="220"/>
      <c r="Z892" s="220"/>
    </row>
    <row r="893" ht="15.75" customHeight="1">
      <c r="A893" s="220"/>
      <c r="B893" s="220"/>
      <c r="C893" s="220"/>
      <c r="D893" s="220"/>
      <c r="E893" s="220"/>
      <c r="F893" s="220"/>
      <c r="G893" s="220"/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  <c r="W893" s="220"/>
      <c r="X893" s="220"/>
      <c r="Y893" s="220"/>
      <c r="Z893" s="220"/>
    </row>
    <row r="894" ht="15.75" customHeight="1">
      <c r="A894" s="220"/>
      <c r="B894" s="220"/>
      <c r="C894" s="220"/>
      <c r="D894" s="220"/>
      <c r="E894" s="220"/>
      <c r="F894" s="220"/>
      <c r="G894" s="220"/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  <c r="W894" s="220"/>
      <c r="X894" s="220"/>
      <c r="Y894" s="220"/>
      <c r="Z894" s="220"/>
    </row>
    <row r="895" ht="15.75" customHeight="1">
      <c r="A895" s="220"/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  <c r="W895" s="220"/>
      <c r="X895" s="220"/>
      <c r="Y895" s="220"/>
      <c r="Z895" s="220"/>
    </row>
    <row r="896" ht="15.75" customHeight="1">
      <c r="A896" s="220"/>
      <c r="B896" s="220"/>
      <c r="C896" s="220"/>
      <c r="D896" s="220"/>
      <c r="E896" s="220"/>
      <c r="F896" s="220"/>
      <c r="G896" s="220"/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220"/>
      <c r="Y896" s="220"/>
      <c r="Z896" s="220"/>
    </row>
    <row r="897" ht="15.75" customHeight="1">
      <c r="A897" s="220"/>
      <c r="B897" s="220"/>
      <c r="C897" s="220"/>
      <c r="D897" s="220"/>
      <c r="E897" s="220"/>
      <c r="F897" s="220"/>
      <c r="G897" s="220"/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  <c r="W897" s="220"/>
      <c r="X897" s="220"/>
      <c r="Y897" s="220"/>
      <c r="Z897" s="220"/>
    </row>
    <row r="898" ht="15.75" customHeight="1">
      <c r="A898" s="220"/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  <c r="W898" s="220"/>
      <c r="X898" s="220"/>
      <c r="Y898" s="220"/>
      <c r="Z898" s="220"/>
    </row>
    <row r="899" ht="15.75" customHeight="1">
      <c r="A899" s="220"/>
      <c r="B899" s="220"/>
      <c r="C899" s="220"/>
      <c r="D899" s="220"/>
      <c r="E899" s="220"/>
      <c r="F899" s="220"/>
      <c r="G899" s="220"/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  <c r="W899" s="220"/>
      <c r="X899" s="220"/>
      <c r="Y899" s="220"/>
      <c r="Z899" s="220"/>
    </row>
    <row r="900" ht="15.75" customHeight="1">
      <c r="A900" s="220"/>
      <c r="B900" s="220"/>
      <c r="C900" s="220"/>
      <c r="D900" s="220"/>
      <c r="E900" s="220"/>
      <c r="F900" s="220"/>
      <c r="G900" s="220"/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  <c r="W900" s="220"/>
      <c r="X900" s="220"/>
      <c r="Y900" s="220"/>
      <c r="Z900" s="220"/>
    </row>
    <row r="901" ht="15.75" customHeight="1">
      <c r="A901" s="220"/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  <c r="W901" s="220"/>
      <c r="X901" s="220"/>
      <c r="Y901" s="220"/>
      <c r="Z901" s="220"/>
    </row>
    <row r="902" ht="15.75" customHeight="1">
      <c r="A902" s="220"/>
      <c r="B902" s="220"/>
      <c r="C902" s="220"/>
      <c r="D902" s="220"/>
      <c r="E902" s="220"/>
      <c r="F902" s="220"/>
      <c r="G902" s="220"/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  <c r="W902" s="220"/>
      <c r="X902" s="220"/>
      <c r="Y902" s="220"/>
      <c r="Z902" s="220"/>
    </row>
    <row r="903" ht="15.75" customHeight="1">
      <c r="A903" s="220"/>
      <c r="B903" s="220"/>
      <c r="C903" s="220"/>
      <c r="D903" s="220"/>
      <c r="E903" s="220"/>
      <c r="F903" s="220"/>
      <c r="G903" s="220"/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  <c r="W903" s="220"/>
      <c r="X903" s="220"/>
      <c r="Y903" s="220"/>
      <c r="Z903" s="220"/>
    </row>
    <row r="904" ht="15.75" customHeight="1">
      <c r="A904" s="220"/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  <c r="W904" s="220"/>
      <c r="X904" s="220"/>
      <c r="Y904" s="220"/>
      <c r="Z904" s="220"/>
    </row>
    <row r="905" ht="15.75" customHeight="1">
      <c r="A905" s="220"/>
      <c r="B905" s="220"/>
      <c r="C905" s="220"/>
      <c r="D905" s="220"/>
      <c r="E905" s="220"/>
      <c r="F905" s="220"/>
      <c r="G905" s="220"/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  <c r="W905" s="220"/>
      <c r="X905" s="220"/>
      <c r="Y905" s="220"/>
      <c r="Z905" s="220"/>
    </row>
    <row r="906" ht="15.75" customHeight="1">
      <c r="A906" s="220"/>
      <c r="B906" s="220"/>
      <c r="C906" s="220"/>
      <c r="D906" s="220"/>
      <c r="E906" s="220"/>
      <c r="F906" s="220"/>
      <c r="G906" s="220"/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  <c r="W906" s="220"/>
      <c r="X906" s="220"/>
      <c r="Y906" s="220"/>
      <c r="Z906" s="220"/>
    </row>
    <row r="907" ht="15.75" customHeight="1">
      <c r="A907" s="220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  <c r="W907" s="220"/>
      <c r="X907" s="220"/>
      <c r="Y907" s="220"/>
      <c r="Z907" s="220"/>
    </row>
    <row r="908" ht="15.75" customHeight="1">
      <c r="A908" s="220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  <c r="W908" s="220"/>
      <c r="X908" s="220"/>
      <c r="Y908" s="220"/>
      <c r="Z908" s="220"/>
    </row>
    <row r="909" ht="15.75" customHeight="1">
      <c r="A909" s="220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  <c r="W909" s="220"/>
      <c r="X909" s="220"/>
      <c r="Y909" s="220"/>
      <c r="Z909" s="220"/>
    </row>
    <row r="910" ht="15.75" customHeight="1">
      <c r="A910" s="220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  <c r="W910" s="220"/>
      <c r="X910" s="220"/>
      <c r="Y910" s="220"/>
      <c r="Z910" s="220"/>
    </row>
    <row r="911" ht="15.75" customHeight="1">
      <c r="A911" s="220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  <c r="W911" s="220"/>
      <c r="X911" s="220"/>
      <c r="Y911" s="220"/>
      <c r="Z911" s="220"/>
    </row>
    <row r="912" ht="15.75" customHeight="1">
      <c r="A912" s="220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  <c r="W912" s="220"/>
      <c r="X912" s="220"/>
      <c r="Y912" s="220"/>
      <c r="Z912" s="220"/>
    </row>
    <row r="913" ht="15.75" customHeight="1">
      <c r="A913" s="220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  <c r="W913" s="220"/>
      <c r="X913" s="220"/>
      <c r="Y913" s="220"/>
      <c r="Z913" s="220"/>
    </row>
    <row r="914" ht="15.75" customHeight="1">
      <c r="A914" s="220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20"/>
    </row>
    <row r="915" ht="15.75" customHeight="1">
      <c r="A915" s="220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  <c r="W915" s="220"/>
      <c r="X915" s="220"/>
      <c r="Y915" s="220"/>
      <c r="Z915" s="220"/>
    </row>
    <row r="916" ht="15.75" customHeight="1">
      <c r="A916" s="220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  <c r="W916" s="220"/>
      <c r="X916" s="220"/>
      <c r="Y916" s="220"/>
      <c r="Z916" s="220"/>
    </row>
    <row r="917" ht="15.75" customHeight="1">
      <c r="A917" s="220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  <c r="W917" s="220"/>
      <c r="X917" s="220"/>
      <c r="Y917" s="220"/>
      <c r="Z917" s="220"/>
    </row>
    <row r="918" ht="15.75" customHeight="1">
      <c r="A918" s="220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  <c r="W918" s="220"/>
      <c r="X918" s="220"/>
      <c r="Y918" s="220"/>
      <c r="Z918" s="220"/>
    </row>
    <row r="919" ht="15.75" customHeight="1">
      <c r="A919" s="220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  <c r="W919" s="220"/>
      <c r="X919" s="220"/>
      <c r="Y919" s="220"/>
      <c r="Z919" s="220"/>
    </row>
    <row r="920" ht="15.75" customHeight="1">
      <c r="A920" s="220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  <c r="W920" s="220"/>
      <c r="X920" s="220"/>
      <c r="Y920" s="220"/>
      <c r="Z920" s="220"/>
    </row>
    <row r="921" ht="15.75" customHeight="1">
      <c r="A921" s="220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0"/>
    </row>
    <row r="922" ht="15.75" customHeight="1">
      <c r="A922" s="220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  <c r="W922" s="220"/>
      <c r="X922" s="220"/>
      <c r="Y922" s="220"/>
      <c r="Z922" s="220"/>
    </row>
    <row r="923" ht="15.75" customHeight="1">
      <c r="A923" s="220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  <c r="W923" s="220"/>
      <c r="X923" s="220"/>
      <c r="Y923" s="220"/>
      <c r="Z923" s="220"/>
    </row>
    <row r="924" ht="15.75" customHeight="1">
      <c r="A924" s="220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  <c r="W924" s="220"/>
      <c r="X924" s="220"/>
      <c r="Y924" s="220"/>
      <c r="Z924" s="220"/>
    </row>
    <row r="925" ht="15.75" customHeight="1">
      <c r="A925" s="220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  <c r="W925" s="220"/>
      <c r="X925" s="220"/>
      <c r="Y925" s="220"/>
      <c r="Z925" s="220"/>
    </row>
    <row r="926" ht="15.75" customHeight="1">
      <c r="A926" s="220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  <c r="W926" s="220"/>
      <c r="X926" s="220"/>
      <c r="Y926" s="220"/>
      <c r="Z926" s="220"/>
    </row>
    <row r="927" ht="15.75" customHeight="1">
      <c r="A927" s="220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  <c r="W927" s="220"/>
      <c r="X927" s="220"/>
      <c r="Y927" s="220"/>
      <c r="Z927" s="220"/>
    </row>
    <row r="928" ht="15.75" customHeight="1">
      <c r="A928" s="220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  <c r="W928" s="220"/>
      <c r="X928" s="220"/>
      <c r="Y928" s="220"/>
      <c r="Z928" s="220"/>
    </row>
    <row r="929" ht="15.75" customHeight="1">
      <c r="A929" s="220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  <c r="W929" s="220"/>
      <c r="X929" s="220"/>
      <c r="Y929" s="220"/>
      <c r="Z929" s="220"/>
    </row>
    <row r="930" ht="15.75" customHeight="1">
      <c r="A930" s="220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  <c r="W930" s="220"/>
      <c r="X930" s="220"/>
      <c r="Y930" s="220"/>
      <c r="Z930" s="220"/>
    </row>
    <row r="931" ht="15.75" customHeight="1">
      <c r="A931" s="220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  <c r="W931" s="220"/>
      <c r="X931" s="220"/>
      <c r="Y931" s="220"/>
      <c r="Z931" s="220"/>
    </row>
    <row r="932" ht="15.75" customHeight="1">
      <c r="A932" s="220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  <c r="W932" s="220"/>
      <c r="X932" s="220"/>
      <c r="Y932" s="220"/>
      <c r="Z932" s="220"/>
    </row>
    <row r="933" ht="15.75" customHeight="1">
      <c r="A933" s="220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  <c r="W933" s="220"/>
      <c r="X933" s="220"/>
      <c r="Y933" s="220"/>
      <c r="Z933" s="220"/>
    </row>
    <row r="934" ht="15.75" customHeight="1">
      <c r="A934" s="220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  <c r="W934" s="220"/>
      <c r="X934" s="220"/>
      <c r="Y934" s="220"/>
      <c r="Z934" s="220"/>
    </row>
    <row r="935" ht="15.75" customHeight="1">
      <c r="A935" s="220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  <c r="W935" s="220"/>
      <c r="X935" s="220"/>
      <c r="Y935" s="220"/>
      <c r="Z935" s="220"/>
    </row>
    <row r="936" ht="15.75" customHeight="1">
      <c r="A936" s="220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  <c r="W936" s="220"/>
      <c r="X936" s="220"/>
      <c r="Y936" s="220"/>
      <c r="Z936" s="220"/>
    </row>
    <row r="937" ht="15.75" customHeight="1">
      <c r="A937" s="220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  <c r="W937" s="220"/>
      <c r="X937" s="220"/>
      <c r="Y937" s="220"/>
      <c r="Z937" s="220"/>
    </row>
    <row r="938" ht="15.75" customHeight="1">
      <c r="A938" s="220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  <c r="W938" s="220"/>
      <c r="X938" s="220"/>
      <c r="Y938" s="220"/>
      <c r="Z938" s="220"/>
    </row>
    <row r="939" ht="15.75" customHeight="1">
      <c r="A939" s="220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  <c r="W939" s="220"/>
      <c r="X939" s="220"/>
      <c r="Y939" s="220"/>
      <c r="Z939" s="220"/>
    </row>
    <row r="940" ht="15.75" customHeight="1">
      <c r="A940" s="220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  <c r="W940" s="220"/>
      <c r="X940" s="220"/>
      <c r="Y940" s="220"/>
      <c r="Z940" s="220"/>
    </row>
    <row r="941" ht="15.75" customHeight="1">
      <c r="A941" s="220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  <c r="W941" s="220"/>
      <c r="X941" s="220"/>
      <c r="Y941" s="220"/>
      <c r="Z941" s="220"/>
    </row>
    <row r="942" ht="15.75" customHeight="1">
      <c r="A942" s="220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  <c r="W942" s="220"/>
      <c r="X942" s="220"/>
      <c r="Y942" s="220"/>
      <c r="Z942" s="220"/>
    </row>
    <row r="943" ht="15.75" customHeight="1">
      <c r="A943" s="220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  <c r="W943" s="220"/>
      <c r="X943" s="220"/>
      <c r="Y943" s="220"/>
      <c r="Z943" s="220"/>
    </row>
    <row r="944" ht="15.75" customHeight="1">
      <c r="A944" s="220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  <c r="W944" s="220"/>
      <c r="X944" s="220"/>
      <c r="Y944" s="220"/>
      <c r="Z944" s="220"/>
    </row>
    <row r="945" ht="15.75" customHeight="1">
      <c r="A945" s="220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  <c r="W945" s="220"/>
      <c r="X945" s="220"/>
      <c r="Y945" s="220"/>
      <c r="Z945" s="220"/>
    </row>
    <row r="946" ht="15.75" customHeight="1">
      <c r="A946" s="220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  <c r="W946" s="220"/>
      <c r="X946" s="220"/>
      <c r="Y946" s="220"/>
      <c r="Z946" s="220"/>
    </row>
    <row r="947" ht="15.75" customHeight="1">
      <c r="A947" s="220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  <c r="W947" s="220"/>
      <c r="X947" s="220"/>
      <c r="Y947" s="220"/>
      <c r="Z947" s="220"/>
    </row>
    <row r="948" ht="15.75" customHeight="1">
      <c r="A948" s="220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  <c r="W948" s="220"/>
      <c r="X948" s="220"/>
      <c r="Y948" s="220"/>
      <c r="Z948" s="220"/>
    </row>
    <row r="949" ht="15.75" customHeight="1">
      <c r="A949" s="220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  <c r="W949" s="220"/>
      <c r="X949" s="220"/>
      <c r="Y949" s="220"/>
      <c r="Z949" s="220"/>
    </row>
    <row r="950" ht="15.75" customHeight="1">
      <c r="A950" s="220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  <c r="W950" s="220"/>
      <c r="X950" s="220"/>
      <c r="Y950" s="220"/>
      <c r="Z950" s="220"/>
    </row>
    <row r="951" ht="15.75" customHeight="1">
      <c r="A951" s="220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  <c r="W951" s="220"/>
      <c r="X951" s="220"/>
      <c r="Y951" s="220"/>
      <c r="Z951" s="220"/>
    </row>
    <row r="952" ht="15.75" customHeight="1">
      <c r="A952" s="220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  <c r="W952" s="220"/>
      <c r="X952" s="220"/>
      <c r="Y952" s="220"/>
      <c r="Z952" s="220"/>
    </row>
    <row r="953" ht="15.75" customHeight="1">
      <c r="A953" s="220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  <c r="W953" s="220"/>
      <c r="X953" s="220"/>
      <c r="Y953" s="220"/>
      <c r="Z953" s="220"/>
    </row>
    <row r="954" ht="15.75" customHeight="1">
      <c r="A954" s="220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  <c r="W954" s="220"/>
      <c r="X954" s="220"/>
      <c r="Y954" s="220"/>
      <c r="Z954" s="220"/>
    </row>
    <row r="955" ht="15.75" customHeight="1">
      <c r="A955" s="220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  <c r="W955" s="220"/>
      <c r="X955" s="220"/>
      <c r="Y955" s="220"/>
      <c r="Z955" s="220"/>
    </row>
    <row r="956" ht="15.75" customHeight="1">
      <c r="A956" s="220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  <c r="W956" s="220"/>
      <c r="X956" s="220"/>
      <c r="Y956" s="220"/>
      <c r="Z956" s="220"/>
    </row>
    <row r="957" ht="15.75" customHeight="1">
      <c r="A957" s="220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  <c r="W957" s="220"/>
      <c r="X957" s="220"/>
      <c r="Y957" s="220"/>
      <c r="Z957" s="220"/>
    </row>
    <row r="958" ht="15.75" customHeight="1">
      <c r="A958" s="220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  <c r="W958" s="220"/>
      <c r="X958" s="220"/>
      <c r="Y958" s="220"/>
      <c r="Z958" s="220"/>
    </row>
    <row r="959" ht="15.75" customHeight="1">
      <c r="A959" s="220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  <c r="W959" s="220"/>
      <c r="X959" s="220"/>
      <c r="Y959" s="220"/>
      <c r="Z959" s="220"/>
    </row>
    <row r="960" ht="15.75" customHeight="1">
      <c r="A960" s="220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  <c r="W960" s="220"/>
      <c r="X960" s="220"/>
      <c r="Y960" s="220"/>
      <c r="Z960" s="220"/>
    </row>
    <row r="961" ht="15.75" customHeight="1">
      <c r="A961" s="220"/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  <c r="W961" s="220"/>
      <c r="X961" s="220"/>
      <c r="Y961" s="220"/>
      <c r="Z961" s="220"/>
    </row>
    <row r="962" ht="15.75" customHeight="1">
      <c r="A962" s="220"/>
      <c r="B962" s="220"/>
      <c r="C962" s="220"/>
      <c r="D962" s="220"/>
      <c r="E962" s="220"/>
      <c r="F962" s="220"/>
      <c r="G962" s="220"/>
      <c r="H962" s="220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  <c r="W962" s="220"/>
      <c r="X962" s="220"/>
      <c r="Y962" s="220"/>
      <c r="Z962" s="220"/>
    </row>
    <row r="963" ht="15.75" customHeight="1">
      <c r="A963" s="220"/>
      <c r="B963" s="220"/>
      <c r="C963" s="220"/>
      <c r="D963" s="220"/>
      <c r="E963" s="220"/>
      <c r="F963" s="220"/>
      <c r="G963" s="220"/>
      <c r="H963" s="220"/>
      <c r="I963" s="220"/>
      <c r="J963" s="220"/>
      <c r="K963" s="220"/>
      <c r="L963" s="220"/>
      <c r="M963" s="220"/>
      <c r="N963" s="220"/>
      <c r="O963" s="220"/>
      <c r="P963" s="220"/>
      <c r="Q963" s="220"/>
      <c r="R963" s="220"/>
      <c r="S963" s="220"/>
      <c r="T963" s="220"/>
      <c r="U963" s="220"/>
      <c r="V963" s="220"/>
      <c r="W963" s="220"/>
      <c r="X963" s="220"/>
      <c r="Y963" s="220"/>
      <c r="Z963" s="220"/>
    </row>
    <row r="964" ht="15.75" customHeight="1">
      <c r="A964" s="220"/>
      <c r="B964" s="220"/>
      <c r="C964" s="220"/>
      <c r="D964" s="220"/>
      <c r="E964" s="220"/>
      <c r="F964" s="220"/>
      <c r="G964" s="220"/>
      <c r="H964" s="220"/>
      <c r="I964" s="220"/>
      <c r="J964" s="220"/>
      <c r="K964" s="220"/>
      <c r="L964" s="220"/>
      <c r="M964" s="220"/>
      <c r="N964" s="220"/>
      <c r="O964" s="220"/>
      <c r="P964" s="220"/>
      <c r="Q964" s="220"/>
      <c r="R964" s="220"/>
      <c r="S964" s="220"/>
      <c r="T964" s="220"/>
      <c r="U964" s="220"/>
      <c r="V964" s="220"/>
      <c r="W964" s="220"/>
      <c r="X964" s="220"/>
      <c r="Y964" s="220"/>
      <c r="Z964" s="220"/>
    </row>
    <row r="965" ht="15.75" customHeight="1">
      <c r="A965" s="220"/>
      <c r="B965" s="220"/>
      <c r="C965" s="220"/>
      <c r="D965" s="220"/>
      <c r="E965" s="220"/>
      <c r="F965" s="220"/>
      <c r="G965" s="220"/>
      <c r="H965" s="220"/>
      <c r="I965" s="220"/>
      <c r="J965" s="220"/>
      <c r="K965" s="220"/>
      <c r="L965" s="220"/>
      <c r="M965" s="220"/>
      <c r="N965" s="220"/>
      <c r="O965" s="220"/>
      <c r="P965" s="220"/>
      <c r="Q965" s="220"/>
      <c r="R965" s="220"/>
      <c r="S965" s="220"/>
      <c r="T965" s="220"/>
      <c r="U965" s="220"/>
      <c r="V965" s="220"/>
      <c r="W965" s="220"/>
      <c r="X965" s="220"/>
      <c r="Y965" s="220"/>
      <c r="Z965" s="220"/>
    </row>
    <row r="966" ht="15.75" customHeight="1">
      <c r="A966" s="220"/>
      <c r="B966" s="220"/>
      <c r="C966" s="220"/>
      <c r="D966" s="220"/>
      <c r="E966" s="220"/>
      <c r="F966" s="220"/>
      <c r="G966" s="220"/>
      <c r="H966" s="220"/>
      <c r="I966" s="220"/>
      <c r="J966" s="220"/>
      <c r="K966" s="220"/>
      <c r="L966" s="220"/>
      <c r="M966" s="220"/>
      <c r="N966" s="220"/>
      <c r="O966" s="220"/>
      <c r="P966" s="220"/>
      <c r="Q966" s="220"/>
      <c r="R966" s="220"/>
      <c r="S966" s="220"/>
      <c r="T966" s="220"/>
      <c r="U966" s="220"/>
      <c r="V966" s="220"/>
      <c r="W966" s="220"/>
      <c r="X966" s="220"/>
      <c r="Y966" s="220"/>
      <c r="Z966" s="220"/>
    </row>
    <row r="967" ht="15.75" customHeight="1">
      <c r="A967" s="220"/>
      <c r="B967" s="220"/>
      <c r="C967" s="220"/>
      <c r="D967" s="220"/>
      <c r="E967" s="220"/>
      <c r="F967" s="220"/>
      <c r="G967" s="220"/>
      <c r="H967" s="220"/>
      <c r="I967" s="220"/>
      <c r="J967" s="220"/>
      <c r="K967" s="220"/>
      <c r="L967" s="220"/>
      <c r="M967" s="220"/>
      <c r="N967" s="220"/>
      <c r="O967" s="220"/>
      <c r="P967" s="220"/>
      <c r="Q967" s="220"/>
      <c r="R967" s="220"/>
      <c r="S967" s="220"/>
      <c r="T967" s="220"/>
      <c r="U967" s="220"/>
      <c r="V967" s="220"/>
      <c r="W967" s="220"/>
      <c r="X967" s="220"/>
      <c r="Y967" s="220"/>
      <c r="Z967" s="220"/>
    </row>
    <row r="968" ht="15.75" customHeight="1">
      <c r="A968" s="220"/>
      <c r="B968" s="220"/>
      <c r="C968" s="220"/>
      <c r="D968" s="220"/>
      <c r="E968" s="220"/>
      <c r="F968" s="220"/>
      <c r="G968" s="220"/>
      <c r="H968" s="220"/>
      <c r="I968" s="220"/>
      <c r="J968" s="220"/>
      <c r="K968" s="220"/>
      <c r="L968" s="220"/>
      <c r="M968" s="220"/>
      <c r="N968" s="220"/>
      <c r="O968" s="220"/>
      <c r="P968" s="220"/>
      <c r="Q968" s="220"/>
      <c r="R968" s="220"/>
      <c r="S968" s="220"/>
      <c r="T968" s="220"/>
      <c r="U968" s="220"/>
      <c r="V968" s="220"/>
      <c r="W968" s="220"/>
      <c r="X968" s="220"/>
      <c r="Y968" s="220"/>
      <c r="Z968" s="220"/>
    </row>
    <row r="969" ht="15.75" customHeight="1">
      <c r="A969" s="220"/>
      <c r="B969" s="220"/>
      <c r="C969" s="220"/>
      <c r="D969" s="220"/>
      <c r="E969" s="220"/>
      <c r="F969" s="220"/>
      <c r="G969" s="220"/>
      <c r="H969" s="220"/>
      <c r="I969" s="220"/>
      <c r="J969" s="220"/>
      <c r="K969" s="220"/>
      <c r="L969" s="220"/>
      <c r="M969" s="220"/>
      <c r="N969" s="220"/>
      <c r="O969" s="220"/>
      <c r="P969" s="220"/>
      <c r="Q969" s="220"/>
      <c r="R969" s="220"/>
      <c r="S969" s="220"/>
      <c r="T969" s="220"/>
      <c r="U969" s="220"/>
      <c r="V969" s="220"/>
      <c r="W969" s="220"/>
      <c r="X969" s="220"/>
      <c r="Y969" s="220"/>
      <c r="Z969" s="220"/>
    </row>
    <row r="970" ht="15.75" customHeight="1">
      <c r="A970" s="220"/>
      <c r="B970" s="220"/>
      <c r="C970" s="220"/>
      <c r="D970" s="220"/>
      <c r="E970" s="220"/>
      <c r="F970" s="220"/>
      <c r="G970" s="220"/>
      <c r="H970" s="220"/>
      <c r="I970" s="220"/>
      <c r="J970" s="220"/>
      <c r="K970" s="220"/>
      <c r="L970" s="220"/>
      <c r="M970" s="220"/>
      <c r="N970" s="220"/>
      <c r="O970" s="220"/>
      <c r="P970" s="220"/>
      <c r="Q970" s="220"/>
      <c r="R970" s="220"/>
      <c r="S970" s="220"/>
      <c r="T970" s="220"/>
      <c r="U970" s="220"/>
      <c r="V970" s="220"/>
      <c r="W970" s="220"/>
      <c r="X970" s="220"/>
      <c r="Y970" s="220"/>
      <c r="Z970" s="220"/>
    </row>
    <row r="971" ht="15.75" customHeight="1">
      <c r="A971" s="220"/>
      <c r="B971" s="220"/>
      <c r="C971" s="220"/>
      <c r="D971" s="220"/>
      <c r="E971" s="220"/>
      <c r="F971" s="220"/>
      <c r="G971" s="220"/>
      <c r="H971" s="220"/>
      <c r="I971" s="220"/>
      <c r="J971" s="220"/>
      <c r="K971" s="220"/>
      <c r="L971" s="220"/>
      <c r="M971" s="220"/>
      <c r="N971" s="220"/>
      <c r="O971" s="220"/>
      <c r="P971" s="220"/>
      <c r="Q971" s="220"/>
      <c r="R971" s="220"/>
      <c r="S971" s="220"/>
      <c r="T971" s="220"/>
      <c r="U971" s="220"/>
      <c r="V971" s="220"/>
      <c r="W971" s="220"/>
      <c r="X971" s="220"/>
      <c r="Y971" s="220"/>
      <c r="Z971" s="220"/>
    </row>
    <row r="972" ht="15.75" customHeight="1">
      <c r="A972" s="220"/>
      <c r="B972" s="220"/>
      <c r="C972" s="220"/>
      <c r="D972" s="220"/>
      <c r="E972" s="220"/>
      <c r="F972" s="220"/>
      <c r="G972" s="220"/>
      <c r="H972" s="220"/>
      <c r="I972" s="220"/>
      <c r="J972" s="220"/>
      <c r="K972" s="220"/>
      <c r="L972" s="220"/>
      <c r="M972" s="220"/>
      <c r="N972" s="220"/>
      <c r="O972" s="220"/>
      <c r="P972" s="220"/>
      <c r="Q972" s="220"/>
      <c r="R972" s="220"/>
      <c r="S972" s="220"/>
      <c r="T972" s="220"/>
      <c r="U972" s="220"/>
      <c r="V972" s="220"/>
      <c r="W972" s="220"/>
      <c r="X972" s="220"/>
      <c r="Y972" s="220"/>
      <c r="Z972" s="220"/>
    </row>
    <row r="973" ht="15.75" customHeight="1">
      <c r="A973" s="220"/>
      <c r="B973" s="220"/>
      <c r="C973" s="220"/>
      <c r="D973" s="220"/>
      <c r="E973" s="220"/>
      <c r="F973" s="220"/>
      <c r="G973" s="220"/>
      <c r="H973" s="220"/>
      <c r="I973" s="220"/>
      <c r="J973" s="220"/>
      <c r="K973" s="220"/>
      <c r="L973" s="220"/>
      <c r="M973" s="220"/>
      <c r="N973" s="220"/>
      <c r="O973" s="220"/>
      <c r="P973" s="220"/>
      <c r="Q973" s="220"/>
      <c r="R973" s="220"/>
      <c r="S973" s="220"/>
      <c r="T973" s="220"/>
      <c r="U973" s="220"/>
      <c r="V973" s="220"/>
      <c r="W973" s="220"/>
      <c r="X973" s="220"/>
      <c r="Y973" s="220"/>
      <c r="Z973" s="220"/>
    </row>
    <row r="974" ht="15.75" customHeight="1">
      <c r="A974" s="220"/>
      <c r="B974" s="220"/>
      <c r="C974" s="220"/>
      <c r="D974" s="220"/>
      <c r="E974" s="220"/>
      <c r="F974" s="220"/>
      <c r="G974" s="220"/>
      <c r="H974" s="220"/>
      <c r="I974" s="220"/>
      <c r="J974" s="220"/>
      <c r="K974" s="220"/>
      <c r="L974" s="220"/>
      <c r="M974" s="220"/>
      <c r="N974" s="220"/>
      <c r="O974" s="220"/>
      <c r="P974" s="220"/>
      <c r="Q974" s="220"/>
      <c r="R974" s="220"/>
      <c r="S974" s="220"/>
      <c r="T974" s="220"/>
      <c r="U974" s="220"/>
      <c r="V974" s="220"/>
      <c r="W974" s="220"/>
      <c r="X974" s="220"/>
      <c r="Y974" s="220"/>
      <c r="Z974" s="220"/>
    </row>
    <row r="975" ht="15.75" customHeight="1">
      <c r="A975" s="220"/>
      <c r="B975" s="220"/>
      <c r="C975" s="220"/>
      <c r="D975" s="220"/>
      <c r="E975" s="220"/>
      <c r="F975" s="220"/>
      <c r="G975" s="220"/>
      <c r="H975" s="220"/>
      <c r="I975" s="220"/>
      <c r="J975" s="220"/>
      <c r="K975" s="220"/>
      <c r="L975" s="220"/>
      <c r="M975" s="220"/>
      <c r="N975" s="220"/>
      <c r="O975" s="220"/>
      <c r="P975" s="220"/>
      <c r="Q975" s="220"/>
      <c r="R975" s="220"/>
      <c r="S975" s="220"/>
      <c r="T975" s="220"/>
      <c r="U975" s="220"/>
      <c r="V975" s="220"/>
      <c r="W975" s="220"/>
      <c r="X975" s="220"/>
      <c r="Y975" s="220"/>
      <c r="Z975" s="220"/>
    </row>
    <row r="976" ht="15.75" customHeight="1">
      <c r="A976" s="220"/>
      <c r="B976" s="220"/>
      <c r="C976" s="220"/>
      <c r="D976" s="220"/>
      <c r="E976" s="220"/>
      <c r="F976" s="220"/>
      <c r="G976" s="220"/>
      <c r="H976" s="220"/>
      <c r="I976" s="220"/>
      <c r="J976" s="220"/>
      <c r="K976" s="220"/>
      <c r="L976" s="220"/>
      <c r="M976" s="220"/>
      <c r="N976" s="220"/>
      <c r="O976" s="220"/>
      <c r="P976" s="220"/>
      <c r="Q976" s="220"/>
      <c r="R976" s="220"/>
      <c r="S976" s="220"/>
      <c r="T976" s="220"/>
      <c r="U976" s="220"/>
      <c r="V976" s="220"/>
      <c r="W976" s="220"/>
      <c r="X976" s="220"/>
      <c r="Y976" s="220"/>
      <c r="Z976" s="220"/>
    </row>
    <row r="977" ht="15.75" customHeight="1">
      <c r="A977" s="220"/>
      <c r="B977" s="220"/>
      <c r="C977" s="220"/>
      <c r="D977" s="220"/>
      <c r="E977" s="220"/>
      <c r="F977" s="220"/>
      <c r="G977" s="220"/>
      <c r="H977" s="220"/>
      <c r="I977" s="220"/>
      <c r="J977" s="220"/>
      <c r="K977" s="220"/>
      <c r="L977" s="220"/>
      <c r="M977" s="220"/>
      <c r="N977" s="220"/>
      <c r="O977" s="220"/>
      <c r="P977" s="220"/>
      <c r="Q977" s="220"/>
      <c r="R977" s="220"/>
      <c r="S977" s="220"/>
      <c r="T977" s="220"/>
      <c r="U977" s="220"/>
      <c r="V977" s="220"/>
      <c r="W977" s="220"/>
      <c r="X977" s="220"/>
      <c r="Y977" s="220"/>
      <c r="Z977" s="220"/>
    </row>
    <row r="978" ht="15.75" customHeight="1">
      <c r="A978" s="220"/>
      <c r="B978" s="220"/>
      <c r="C978" s="220"/>
      <c r="D978" s="220"/>
      <c r="E978" s="220"/>
      <c r="F978" s="220"/>
      <c r="G978" s="220"/>
      <c r="H978" s="220"/>
      <c r="I978" s="220"/>
      <c r="J978" s="220"/>
      <c r="K978" s="220"/>
      <c r="L978" s="220"/>
      <c r="M978" s="220"/>
      <c r="N978" s="220"/>
      <c r="O978" s="220"/>
      <c r="P978" s="220"/>
      <c r="Q978" s="220"/>
      <c r="R978" s="220"/>
      <c r="S978" s="220"/>
      <c r="T978" s="220"/>
      <c r="U978" s="220"/>
      <c r="V978" s="220"/>
      <c r="W978" s="220"/>
      <c r="X978" s="220"/>
      <c r="Y978" s="220"/>
      <c r="Z978" s="220"/>
    </row>
    <row r="979" ht="15.75" customHeight="1">
      <c r="A979" s="220"/>
      <c r="B979" s="220"/>
      <c r="C979" s="220"/>
      <c r="D979" s="220"/>
      <c r="E979" s="220"/>
      <c r="F979" s="220"/>
      <c r="G979" s="220"/>
      <c r="H979" s="220"/>
      <c r="I979" s="220"/>
      <c r="J979" s="220"/>
      <c r="K979" s="220"/>
      <c r="L979" s="220"/>
      <c r="M979" s="220"/>
      <c r="N979" s="220"/>
      <c r="O979" s="220"/>
      <c r="P979" s="220"/>
      <c r="Q979" s="220"/>
      <c r="R979" s="220"/>
      <c r="S979" s="220"/>
      <c r="T979" s="220"/>
      <c r="U979" s="220"/>
      <c r="V979" s="220"/>
      <c r="W979" s="220"/>
      <c r="X979" s="220"/>
      <c r="Y979" s="220"/>
      <c r="Z979" s="220"/>
    </row>
    <row r="980" ht="15.75" customHeight="1">
      <c r="A980" s="220"/>
      <c r="B980" s="220"/>
      <c r="C980" s="220"/>
      <c r="D980" s="220"/>
      <c r="E980" s="220"/>
      <c r="F980" s="220"/>
      <c r="G980" s="220"/>
      <c r="H980" s="220"/>
      <c r="I980" s="220"/>
      <c r="J980" s="220"/>
      <c r="K980" s="220"/>
      <c r="L980" s="220"/>
      <c r="M980" s="220"/>
      <c r="N980" s="220"/>
      <c r="O980" s="220"/>
      <c r="P980" s="220"/>
      <c r="Q980" s="220"/>
      <c r="R980" s="220"/>
      <c r="S980" s="220"/>
      <c r="T980" s="220"/>
      <c r="U980" s="220"/>
      <c r="V980" s="220"/>
      <c r="W980" s="220"/>
      <c r="X980" s="220"/>
      <c r="Y980" s="220"/>
      <c r="Z980" s="220"/>
    </row>
    <row r="981" ht="15.75" customHeight="1">
      <c r="A981" s="220"/>
      <c r="B981" s="220"/>
      <c r="C981" s="220"/>
      <c r="D981" s="220"/>
      <c r="E981" s="220"/>
      <c r="F981" s="220"/>
      <c r="G981" s="220"/>
      <c r="H981" s="220"/>
      <c r="I981" s="220"/>
      <c r="J981" s="220"/>
      <c r="K981" s="220"/>
      <c r="L981" s="220"/>
      <c r="M981" s="220"/>
      <c r="N981" s="220"/>
      <c r="O981" s="220"/>
      <c r="P981" s="220"/>
      <c r="Q981" s="220"/>
      <c r="R981" s="220"/>
      <c r="S981" s="220"/>
      <c r="T981" s="220"/>
      <c r="U981" s="220"/>
      <c r="V981" s="220"/>
      <c r="W981" s="220"/>
      <c r="X981" s="220"/>
      <c r="Y981" s="220"/>
      <c r="Z981" s="220"/>
    </row>
    <row r="982" ht="15.75" customHeight="1">
      <c r="A982" s="220"/>
      <c r="B982" s="220"/>
      <c r="C982" s="220"/>
      <c r="D982" s="220"/>
      <c r="E982" s="220"/>
      <c r="F982" s="220"/>
      <c r="G982" s="220"/>
      <c r="H982" s="220"/>
      <c r="I982" s="220"/>
      <c r="J982" s="220"/>
      <c r="K982" s="220"/>
      <c r="L982" s="220"/>
      <c r="M982" s="220"/>
      <c r="N982" s="220"/>
      <c r="O982" s="220"/>
      <c r="P982" s="220"/>
      <c r="Q982" s="220"/>
      <c r="R982" s="220"/>
      <c r="S982" s="220"/>
      <c r="T982" s="220"/>
      <c r="U982" s="220"/>
      <c r="V982" s="220"/>
      <c r="W982" s="220"/>
      <c r="X982" s="220"/>
      <c r="Y982" s="220"/>
      <c r="Z982" s="220"/>
    </row>
    <row r="983" ht="15.75" customHeight="1">
      <c r="A983" s="220"/>
      <c r="B983" s="220"/>
      <c r="C983" s="220"/>
      <c r="D983" s="220"/>
      <c r="E983" s="220"/>
      <c r="F983" s="220"/>
      <c r="G983" s="220"/>
      <c r="H983" s="220"/>
      <c r="I983" s="220"/>
      <c r="J983" s="220"/>
      <c r="K983" s="220"/>
      <c r="L983" s="220"/>
      <c r="M983" s="220"/>
      <c r="N983" s="220"/>
      <c r="O983" s="220"/>
      <c r="P983" s="220"/>
      <c r="Q983" s="220"/>
      <c r="R983" s="220"/>
      <c r="S983" s="220"/>
      <c r="T983" s="220"/>
      <c r="U983" s="220"/>
      <c r="V983" s="220"/>
      <c r="W983" s="220"/>
      <c r="X983" s="220"/>
      <c r="Y983" s="220"/>
      <c r="Z983" s="220"/>
    </row>
    <row r="984" ht="15.75" customHeight="1">
      <c r="A984" s="220"/>
      <c r="B984" s="220"/>
      <c r="C984" s="220"/>
      <c r="D984" s="220"/>
      <c r="E984" s="220"/>
      <c r="F984" s="220"/>
      <c r="G984" s="220"/>
      <c r="H984" s="220"/>
      <c r="I984" s="220"/>
      <c r="J984" s="220"/>
      <c r="K984" s="220"/>
      <c r="L984" s="220"/>
      <c r="M984" s="220"/>
      <c r="N984" s="220"/>
      <c r="O984" s="220"/>
      <c r="P984" s="220"/>
      <c r="Q984" s="220"/>
      <c r="R984" s="220"/>
      <c r="S984" s="220"/>
      <c r="T984" s="220"/>
      <c r="U984" s="220"/>
      <c r="V984" s="220"/>
      <c r="W984" s="220"/>
      <c r="X984" s="220"/>
      <c r="Y984" s="220"/>
      <c r="Z984" s="220"/>
    </row>
    <row r="985" ht="15.75" customHeight="1">
      <c r="A985" s="220"/>
      <c r="B985" s="220"/>
      <c r="C985" s="220"/>
      <c r="D985" s="220"/>
      <c r="E985" s="220"/>
      <c r="F985" s="220"/>
      <c r="G985" s="220"/>
      <c r="H985" s="220"/>
      <c r="I985" s="220"/>
      <c r="J985" s="220"/>
      <c r="K985" s="220"/>
      <c r="L985" s="220"/>
      <c r="M985" s="220"/>
      <c r="N985" s="220"/>
      <c r="O985" s="220"/>
      <c r="P985" s="220"/>
      <c r="Q985" s="220"/>
      <c r="R985" s="220"/>
      <c r="S985" s="220"/>
      <c r="T985" s="220"/>
      <c r="U985" s="220"/>
      <c r="V985" s="220"/>
      <c r="W985" s="220"/>
      <c r="X985" s="220"/>
      <c r="Y985" s="220"/>
      <c r="Z985" s="220"/>
    </row>
    <row r="986" ht="15.75" customHeight="1">
      <c r="A986" s="220"/>
      <c r="B986" s="220"/>
      <c r="C986" s="220"/>
      <c r="D986" s="220"/>
      <c r="E986" s="220"/>
      <c r="F986" s="220"/>
      <c r="G986" s="220"/>
      <c r="H986" s="220"/>
      <c r="I986" s="220"/>
      <c r="J986" s="220"/>
      <c r="K986" s="220"/>
      <c r="L986" s="220"/>
      <c r="M986" s="220"/>
      <c r="N986" s="220"/>
      <c r="O986" s="220"/>
      <c r="P986" s="220"/>
      <c r="Q986" s="220"/>
      <c r="R986" s="220"/>
      <c r="S986" s="220"/>
      <c r="T986" s="220"/>
      <c r="U986" s="220"/>
      <c r="V986" s="220"/>
      <c r="W986" s="220"/>
      <c r="X986" s="220"/>
      <c r="Y986" s="220"/>
      <c r="Z986" s="220"/>
    </row>
    <row r="987" ht="15.75" customHeight="1">
      <c r="A987" s="220"/>
      <c r="B987" s="220"/>
      <c r="C987" s="220"/>
      <c r="D987" s="220"/>
      <c r="E987" s="220"/>
      <c r="F987" s="220"/>
      <c r="G987" s="220"/>
      <c r="H987" s="220"/>
      <c r="I987" s="220"/>
      <c r="J987" s="220"/>
      <c r="K987" s="220"/>
      <c r="L987" s="220"/>
      <c r="M987" s="220"/>
      <c r="N987" s="220"/>
      <c r="O987" s="220"/>
      <c r="P987" s="220"/>
      <c r="Q987" s="220"/>
      <c r="R987" s="220"/>
      <c r="S987" s="220"/>
      <c r="T987" s="220"/>
      <c r="U987" s="220"/>
      <c r="V987" s="220"/>
      <c r="W987" s="220"/>
      <c r="X987" s="220"/>
      <c r="Y987" s="220"/>
      <c r="Z987" s="220"/>
    </row>
    <row r="988" ht="15.75" customHeight="1">
      <c r="A988" s="220"/>
      <c r="B988" s="220"/>
      <c r="C988" s="220"/>
      <c r="D988" s="220"/>
      <c r="E988" s="220"/>
      <c r="F988" s="220"/>
      <c r="G988" s="220"/>
      <c r="H988" s="220"/>
      <c r="I988" s="220"/>
      <c r="J988" s="220"/>
      <c r="K988" s="220"/>
      <c r="L988" s="220"/>
      <c r="M988" s="220"/>
      <c r="N988" s="220"/>
      <c r="O988" s="220"/>
      <c r="P988" s="220"/>
      <c r="Q988" s="220"/>
      <c r="R988" s="220"/>
      <c r="S988" s="220"/>
      <c r="T988" s="220"/>
      <c r="U988" s="220"/>
      <c r="V988" s="220"/>
      <c r="W988" s="220"/>
      <c r="X988" s="220"/>
      <c r="Y988" s="220"/>
      <c r="Z988" s="220"/>
    </row>
    <row r="989" ht="15.75" customHeight="1">
      <c r="A989" s="220"/>
      <c r="B989" s="220"/>
      <c r="C989" s="220"/>
      <c r="D989" s="220"/>
      <c r="E989" s="220"/>
      <c r="F989" s="220"/>
      <c r="G989" s="220"/>
      <c r="H989" s="220"/>
      <c r="I989" s="220"/>
      <c r="J989" s="220"/>
      <c r="K989" s="220"/>
      <c r="L989" s="220"/>
      <c r="M989" s="220"/>
      <c r="N989" s="220"/>
      <c r="O989" s="220"/>
      <c r="P989" s="220"/>
      <c r="Q989" s="220"/>
      <c r="R989" s="220"/>
      <c r="S989" s="220"/>
      <c r="T989" s="220"/>
      <c r="U989" s="220"/>
      <c r="V989" s="220"/>
      <c r="W989" s="220"/>
      <c r="X989" s="220"/>
      <c r="Y989" s="220"/>
      <c r="Z989" s="220"/>
    </row>
    <row r="990" ht="15.75" customHeight="1">
      <c r="A990" s="220"/>
      <c r="B990" s="220"/>
      <c r="C990" s="220"/>
      <c r="D990" s="220"/>
      <c r="E990" s="220"/>
      <c r="F990" s="220"/>
      <c r="G990" s="220"/>
      <c r="H990" s="220"/>
      <c r="I990" s="220"/>
      <c r="J990" s="220"/>
      <c r="K990" s="220"/>
      <c r="L990" s="220"/>
      <c r="M990" s="220"/>
      <c r="N990" s="220"/>
      <c r="O990" s="220"/>
      <c r="P990" s="220"/>
      <c r="Q990" s="220"/>
      <c r="R990" s="220"/>
      <c r="S990" s="220"/>
      <c r="T990" s="220"/>
      <c r="U990" s="220"/>
      <c r="V990" s="220"/>
      <c r="W990" s="220"/>
      <c r="X990" s="220"/>
      <c r="Y990" s="220"/>
      <c r="Z990" s="220"/>
    </row>
    <row r="991" ht="15.75" customHeight="1">
      <c r="A991" s="220"/>
      <c r="B991" s="220"/>
      <c r="C991" s="220"/>
      <c r="D991" s="220"/>
      <c r="E991" s="220"/>
      <c r="F991" s="220"/>
      <c r="G991" s="220"/>
      <c r="H991" s="220"/>
      <c r="I991" s="220"/>
      <c r="J991" s="220"/>
      <c r="K991" s="220"/>
      <c r="L991" s="220"/>
      <c r="M991" s="220"/>
      <c r="N991" s="220"/>
      <c r="O991" s="220"/>
      <c r="P991" s="220"/>
      <c r="Q991" s="220"/>
      <c r="R991" s="220"/>
      <c r="S991" s="220"/>
      <c r="T991" s="220"/>
      <c r="U991" s="220"/>
      <c r="V991" s="220"/>
      <c r="W991" s="220"/>
      <c r="X991" s="220"/>
      <c r="Y991" s="220"/>
      <c r="Z991" s="220"/>
    </row>
    <row r="992" ht="15.75" customHeight="1">
      <c r="A992" s="220"/>
      <c r="B992" s="220"/>
      <c r="C992" s="220"/>
      <c r="D992" s="220"/>
      <c r="E992" s="220"/>
      <c r="F992" s="220"/>
      <c r="G992" s="220"/>
      <c r="H992" s="220"/>
      <c r="I992" s="220"/>
      <c r="J992" s="220"/>
      <c r="K992" s="220"/>
      <c r="L992" s="220"/>
      <c r="M992" s="220"/>
      <c r="N992" s="220"/>
      <c r="O992" s="220"/>
      <c r="P992" s="220"/>
      <c r="Q992" s="220"/>
      <c r="R992" s="220"/>
      <c r="S992" s="220"/>
      <c r="T992" s="220"/>
      <c r="U992" s="220"/>
      <c r="V992" s="220"/>
      <c r="W992" s="220"/>
      <c r="X992" s="220"/>
      <c r="Y992" s="220"/>
      <c r="Z992" s="220"/>
    </row>
    <row r="993" ht="15.75" customHeight="1">
      <c r="A993" s="220"/>
      <c r="B993" s="220"/>
      <c r="C993" s="220"/>
      <c r="D993" s="220"/>
      <c r="E993" s="220"/>
      <c r="F993" s="220"/>
      <c r="G993" s="220"/>
      <c r="H993" s="220"/>
      <c r="I993" s="220"/>
      <c r="J993" s="220"/>
      <c r="K993" s="220"/>
      <c r="L993" s="220"/>
      <c r="M993" s="220"/>
      <c r="N993" s="220"/>
      <c r="O993" s="220"/>
      <c r="P993" s="220"/>
      <c r="Q993" s="220"/>
      <c r="R993" s="220"/>
      <c r="S993" s="220"/>
      <c r="T993" s="220"/>
      <c r="U993" s="220"/>
      <c r="V993" s="220"/>
      <c r="W993" s="220"/>
      <c r="X993" s="220"/>
      <c r="Y993" s="220"/>
      <c r="Z993" s="220"/>
    </row>
    <row r="994" ht="15.75" customHeight="1">
      <c r="A994" s="220"/>
      <c r="B994" s="220"/>
      <c r="C994" s="220"/>
      <c r="D994" s="220"/>
      <c r="E994" s="220"/>
      <c r="F994" s="220"/>
      <c r="G994" s="220"/>
      <c r="H994" s="220"/>
      <c r="I994" s="220"/>
      <c r="J994" s="220"/>
      <c r="K994" s="220"/>
      <c r="L994" s="220"/>
      <c r="M994" s="220"/>
      <c r="N994" s="220"/>
      <c r="O994" s="220"/>
      <c r="P994" s="220"/>
      <c r="Q994" s="220"/>
      <c r="R994" s="220"/>
      <c r="S994" s="220"/>
      <c r="T994" s="220"/>
      <c r="U994" s="220"/>
      <c r="V994" s="220"/>
      <c r="W994" s="220"/>
      <c r="X994" s="220"/>
      <c r="Y994" s="220"/>
      <c r="Z994" s="220"/>
    </row>
    <row r="995" ht="15.75" customHeight="1">
      <c r="A995" s="220"/>
      <c r="B995" s="220"/>
      <c r="C995" s="220"/>
      <c r="D995" s="220"/>
      <c r="E995" s="220"/>
      <c r="F995" s="220"/>
      <c r="G995" s="220"/>
      <c r="H995" s="220"/>
      <c r="I995" s="220"/>
      <c r="J995" s="220"/>
      <c r="K995" s="220"/>
      <c r="L995" s="220"/>
      <c r="M995" s="220"/>
      <c r="N995" s="220"/>
      <c r="O995" s="220"/>
      <c r="P995" s="220"/>
      <c r="Q995" s="220"/>
      <c r="R995" s="220"/>
      <c r="S995" s="220"/>
      <c r="T995" s="220"/>
      <c r="U995" s="220"/>
      <c r="V995" s="220"/>
      <c r="W995" s="220"/>
      <c r="X995" s="220"/>
      <c r="Y995" s="220"/>
      <c r="Z995" s="220"/>
    </row>
    <row r="996" ht="15.75" customHeight="1">
      <c r="A996" s="220"/>
      <c r="B996" s="220"/>
      <c r="C996" s="220"/>
      <c r="D996" s="220"/>
      <c r="E996" s="220"/>
      <c r="F996" s="220"/>
      <c r="G996" s="220"/>
      <c r="H996" s="220"/>
      <c r="I996" s="220"/>
      <c r="J996" s="220"/>
      <c r="K996" s="220"/>
      <c r="L996" s="220"/>
      <c r="M996" s="220"/>
      <c r="N996" s="220"/>
      <c r="O996" s="220"/>
      <c r="P996" s="220"/>
      <c r="Q996" s="220"/>
      <c r="R996" s="220"/>
      <c r="S996" s="220"/>
      <c r="T996" s="220"/>
      <c r="U996" s="220"/>
      <c r="V996" s="220"/>
      <c r="W996" s="220"/>
      <c r="X996" s="220"/>
      <c r="Y996" s="220"/>
      <c r="Z996" s="220"/>
    </row>
    <row r="997" ht="15.75" customHeight="1">
      <c r="A997" s="220"/>
      <c r="B997" s="220"/>
      <c r="C997" s="220"/>
      <c r="D997" s="220"/>
      <c r="E997" s="220"/>
      <c r="F997" s="220"/>
      <c r="G997" s="220"/>
      <c r="H997" s="220"/>
      <c r="I997" s="220"/>
      <c r="J997" s="220"/>
      <c r="K997" s="220"/>
      <c r="L997" s="220"/>
      <c r="M997" s="220"/>
      <c r="N997" s="220"/>
      <c r="O997" s="220"/>
      <c r="P997" s="220"/>
      <c r="Q997" s="220"/>
      <c r="R997" s="220"/>
      <c r="S997" s="220"/>
      <c r="T997" s="220"/>
      <c r="U997" s="220"/>
      <c r="V997" s="220"/>
      <c r="W997" s="220"/>
      <c r="X997" s="220"/>
      <c r="Y997" s="220"/>
      <c r="Z997" s="220"/>
    </row>
    <row r="998" ht="15.75" customHeight="1">
      <c r="A998" s="220"/>
      <c r="B998" s="220"/>
      <c r="C998" s="220"/>
      <c r="D998" s="220"/>
      <c r="E998" s="220"/>
      <c r="F998" s="220"/>
      <c r="G998" s="220"/>
      <c r="H998" s="220"/>
      <c r="I998" s="220"/>
      <c r="J998" s="220"/>
      <c r="K998" s="220"/>
      <c r="L998" s="220"/>
      <c r="M998" s="220"/>
      <c r="N998" s="220"/>
      <c r="O998" s="220"/>
      <c r="P998" s="220"/>
      <c r="Q998" s="220"/>
      <c r="R998" s="220"/>
      <c r="S998" s="220"/>
      <c r="T998" s="220"/>
      <c r="U998" s="220"/>
      <c r="V998" s="220"/>
      <c r="W998" s="220"/>
      <c r="X998" s="220"/>
      <c r="Y998" s="220"/>
      <c r="Z998" s="220"/>
    </row>
    <row r="999" ht="15.75" customHeight="1">
      <c r="A999" s="220"/>
      <c r="B999" s="220"/>
      <c r="C999" s="220"/>
      <c r="D999" s="220"/>
      <c r="E999" s="220"/>
      <c r="F999" s="220"/>
      <c r="G999" s="220"/>
      <c r="H999" s="220"/>
      <c r="I999" s="220"/>
      <c r="J999" s="220"/>
      <c r="K999" s="220"/>
      <c r="L999" s="220"/>
      <c r="M999" s="220"/>
      <c r="N999" s="220"/>
      <c r="O999" s="220"/>
      <c r="P999" s="220"/>
      <c r="Q999" s="220"/>
      <c r="R999" s="220"/>
      <c r="S999" s="220"/>
      <c r="T999" s="220"/>
      <c r="U999" s="220"/>
      <c r="V999" s="220"/>
      <c r="W999" s="220"/>
      <c r="X999" s="220"/>
      <c r="Y999" s="220"/>
      <c r="Z999" s="220"/>
    </row>
    <row r="1000" ht="15.75" customHeight="1">
      <c r="A1000" s="220"/>
      <c r="B1000" s="220"/>
      <c r="C1000" s="220"/>
      <c r="D1000" s="220"/>
      <c r="E1000" s="220"/>
      <c r="F1000" s="220"/>
      <c r="G1000" s="220"/>
      <c r="H1000" s="220"/>
      <c r="I1000" s="220"/>
      <c r="J1000" s="220"/>
      <c r="K1000" s="220"/>
      <c r="L1000" s="220"/>
      <c r="M1000" s="220"/>
      <c r="N1000" s="220"/>
      <c r="O1000" s="220"/>
      <c r="P1000" s="220"/>
      <c r="Q1000" s="220"/>
      <c r="R1000" s="220"/>
      <c r="S1000" s="220"/>
      <c r="T1000" s="220"/>
      <c r="U1000" s="220"/>
      <c r="V1000" s="220"/>
      <c r="W1000" s="220"/>
      <c r="X1000" s="220"/>
      <c r="Y1000" s="220"/>
      <c r="Z1000" s="220"/>
    </row>
  </sheetData>
  <conditionalFormatting sqref="O8:Y32">
    <cfRule type="cellIs" dxfId="13" priority="1" operator="lessThan">
      <formula>0</formula>
    </cfRule>
  </conditionalFormatting>
  <conditionalFormatting sqref="O8:Y32">
    <cfRule type="cellIs" dxfId="14" priority="2" operator="greaterThan">
      <formula>0</formula>
    </cfRule>
  </conditionalFormatting>
  <conditionalFormatting sqref="O37:Y61">
    <cfRule type="cellIs" dxfId="13" priority="3" operator="lessThan">
      <formula>0</formula>
    </cfRule>
  </conditionalFormatting>
  <conditionalFormatting sqref="O37:Y61">
    <cfRule type="cellIs" dxfId="14" priority="4" operator="greaterThan">
      <formula>0</formula>
    </cfRule>
  </conditionalFormatting>
  <conditionalFormatting sqref="O66:Y90">
    <cfRule type="cellIs" dxfId="13" priority="5" operator="lessThan">
      <formula>0</formula>
    </cfRule>
  </conditionalFormatting>
  <conditionalFormatting sqref="O66:Y90">
    <cfRule type="cellIs" dxfId="14" priority="6" operator="greaterThan">
      <formula>0</formula>
    </cfRule>
  </conditionalFormatting>
  <conditionalFormatting sqref="O95:Y119">
    <cfRule type="cellIs" dxfId="13" priority="7" operator="lessThan">
      <formula>0</formula>
    </cfRule>
  </conditionalFormatting>
  <conditionalFormatting sqref="O95:Y119">
    <cfRule type="cellIs" dxfId="14" priority="8" operator="greaterThan">
      <formula>0</formula>
    </cfRule>
  </conditionalFormatting>
  <conditionalFormatting sqref="O124:Y148">
    <cfRule type="cellIs" dxfId="13" priority="9" operator="lessThan">
      <formula>0</formula>
    </cfRule>
  </conditionalFormatting>
  <conditionalFormatting sqref="O124:Y148">
    <cfRule type="cellIs" dxfId="14" priority="10" operator="greaterThan">
      <formula>0</formula>
    </cfRule>
  </conditionalFormatting>
  <conditionalFormatting sqref="O153:Y177">
    <cfRule type="cellIs" dxfId="13" priority="11" operator="lessThan">
      <formula>0</formula>
    </cfRule>
  </conditionalFormatting>
  <conditionalFormatting sqref="O153:Y177">
    <cfRule type="cellIs" dxfId="14" priority="12" operator="greaterThan">
      <formula>0</formula>
    </cfRule>
  </conditionalFormatting>
  <dataValidations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0.88"/>
    <col customWidth="1" min="3" max="3" width="15.38"/>
    <col customWidth="1" min="4" max="38" width="5.75"/>
  </cols>
  <sheetData>
    <row r="1">
      <c r="A1" s="220"/>
      <c r="B1" s="409" t="s">
        <v>1897</v>
      </c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</row>
    <row r="2">
      <c r="A2" s="220"/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</row>
    <row r="3">
      <c r="A3" s="220"/>
      <c r="B3" s="437" t="s">
        <v>162</v>
      </c>
      <c r="C3" s="465" t="s">
        <v>163</v>
      </c>
      <c r="D3" s="438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0"/>
      <c r="AJ3" s="220"/>
      <c r="AK3" s="220"/>
      <c r="AL3" s="220"/>
    </row>
    <row r="4">
      <c r="A4" s="220"/>
      <c r="B4" s="437" t="s">
        <v>1847</v>
      </c>
      <c r="C4" s="466" t="s">
        <v>60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</row>
    <row r="5">
      <c r="A5" s="220"/>
      <c r="B5" s="437" t="s">
        <v>391</v>
      </c>
      <c r="C5" s="466" t="s">
        <v>1898</v>
      </c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</row>
    <row r="6">
      <c r="A6" s="220"/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20"/>
      <c r="AC6" s="220"/>
      <c r="AD6" s="220"/>
      <c r="AE6" s="220"/>
      <c r="AF6" s="220"/>
      <c r="AG6" s="220"/>
      <c r="AH6" s="220"/>
      <c r="AI6" s="220"/>
      <c r="AJ6" s="220"/>
      <c r="AK6" s="220"/>
      <c r="AL6" s="220"/>
    </row>
    <row r="7">
      <c r="A7" s="220"/>
      <c r="B7" s="220"/>
      <c r="C7" s="220"/>
      <c r="D7" s="467" t="s">
        <v>1899</v>
      </c>
      <c r="E7" s="467"/>
      <c r="F7" s="467"/>
      <c r="G7" s="467"/>
      <c r="H7" s="467"/>
      <c r="I7" s="467"/>
      <c r="J7" s="467"/>
      <c r="K7" s="467"/>
      <c r="L7" s="467"/>
      <c r="M7" s="467"/>
      <c r="N7" s="467"/>
      <c r="O7" s="220"/>
      <c r="P7" s="440" t="s">
        <v>1900</v>
      </c>
      <c r="Q7" s="440"/>
      <c r="R7" s="440"/>
      <c r="S7" s="440"/>
      <c r="T7" s="440"/>
      <c r="U7" s="440"/>
      <c r="V7" s="440"/>
      <c r="W7" s="440"/>
      <c r="X7" s="440"/>
      <c r="Y7" s="440"/>
      <c r="Z7" s="440"/>
      <c r="AA7" s="220"/>
      <c r="AB7" s="441" t="s">
        <v>1901</v>
      </c>
      <c r="AC7" s="441"/>
      <c r="AD7" s="441"/>
      <c r="AE7" s="441"/>
      <c r="AF7" s="441"/>
      <c r="AG7" s="441"/>
      <c r="AH7" s="441"/>
      <c r="AI7" s="441"/>
      <c r="AJ7" s="441"/>
      <c r="AK7" s="441"/>
      <c r="AL7" s="441"/>
    </row>
    <row r="8" ht="80.25" customHeight="1">
      <c r="A8" s="220"/>
      <c r="B8" s="157" t="s">
        <v>87</v>
      </c>
      <c r="C8" s="157" t="s">
        <v>1902</v>
      </c>
      <c r="D8" s="468" t="s">
        <v>1872</v>
      </c>
      <c r="E8" s="468" t="s">
        <v>72</v>
      </c>
      <c r="F8" s="468" t="s">
        <v>73</v>
      </c>
      <c r="G8" s="468" t="s">
        <v>74</v>
      </c>
      <c r="H8" s="468" t="s">
        <v>69</v>
      </c>
      <c r="I8" s="468" t="s">
        <v>70</v>
      </c>
      <c r="J8" s="468" t="s">
        <v>71</v>
      </c>
      <c r="K8" s="468" t="s">
        <v>1873</v>
      </c>
      <c r="L8" s="468" t="s">
        <v>1874</v>
      </c>
      <c r="M8" s="468" t="s">
        <v>1875</v>
      </c>
      <c r="N8" s="468" t="s">
        <v>75</v>
      </c>
      <c r="O8" s="220"/>
      <c r="P8" s="443" t="s">
        <v>1872</v>
      </c>
      <c r="Q8" s="443" t="s">
        <v>72</v>
      </c>
      <c r="R8" s="443" t="s">
        <v>73</v>
      </c>
      <c r="S8" s="443" t="s">
        <v>74</v>
      </c>
      <c r="T8" s="443" t="s">
        <v>69</v>
      </c>
      <c r="U8" s="443" t="s">
        <v>70</v>
      </c>
      <c r="V8" s="443" t="s">
        <v>71</v>
      </c>
      <c r="W8" s="443" t="s">
        <v>1873</v>
      </c>
      <c r="X8" s="443" t="s">
        <v>1874</v>
      </c>
      <c r="Y8" s="443" t="s">
        <v>1875</v>
      </c>
      <c r="Z8" s="443" t="s">
        <v>75</v>
      </c>
      <c r="AA8" s="220"/>
      <c r="AB8" s="444" t="s">
        <v>1872</v>
      </c>
      <c r="AC8" s="444" t="s">
        <v>72</v>
      </c>
      <c r="AD8" s="444" t="s">
        <v>73</v>
      </c>
      <c r="AE8" s="444" t="s">
        <v>74</v>
      </c>
      <c r="AF8" s="444" t="s">
        <v>69</v>
      </c>
      <c r="AG8" s="444" t="s">
        <v>70</v>
      </c>
      <c r="AH8" s="444" t="s">
        <v>71</v>
      </c>
      <c r="AI8" s="444" t="s">
        <v>1873</v>
      </c>
      <c r="AJ8" s="444" t="s">
        <v>1874</v>
      </c>
      <c r="AK8" s="444" t="s">
        <v>1875</v>
      </c>
      <c r="AL8" s="444" t="s">
        <v>75</v>
      </c>
    </row>
    <row r="9">
      <c r="A9" s="220"/>
      <c r="B9" s="469">
        <v>1.0</v>
      </c>
      <c r="C9" s="469" t="s">
        <v>1903</v>
      </c>
      <c r="D9" s="470">
        <f>LET(payer,$C$3, segment,$C$4, source,$C$5, ECOGAINS_DAILY(payer, segment, source, "CURRENT"))</f>
        <v>54.9547191</v>
      </c>
      <c r="E9" s="470">
        <v>0.4931671154386289</v>
      </c>
      <c r="F9" s="470">
        <v>0.5140500745398459</v>
      </c>
      <c r="G9" s="470">
        <v>0.3466900928061065</v>
      </c>
      <c r="H9" s="470">
        <v>0.7273308801364334</v>
      </c>
      <c r="I9" s="470">
        <v>0.7571475487160815</v>
      </c>
      <c r="J9" s="470">
        <v>0.44121995575138157</v>
      </c>
      <c r="K9" s="470">
        <v>1.6883522171956493</v>
      </c>
      <c r="L9" s="470">
        <v>1.9242621728951352</v>
      </c>
      <c r="M9" s="470">
        <v>2.510155730010698</v>
      </c>
      <c r="N9" s="470">
        <v>48.243968560345884</v>
      </c>
      <c r="O9" s="448"/>
      <c r="P9" s="470">
        <f>LET(payer,$C$3, segment,$C$4, source,$C$5, ECOGAINS_DAILY(payer, segment, source, "NEW"))</f>
        <v>73.65004356</v>
      </c>
      <c r="Q9" s="470">
        <v>1.804171016507907</v>
      </c>
      <c r="R9" s="470">
        <v>1.2976557355841283</v>
      </c>
      <c r="S9" s="470">
        <v>1.1954422526268909</v>
      </c>
      <c r="T9" s="470">
        <v>1.6182166883282099</v>
      </c>
      <c r="U9" s="470">
        <v>1.7471883698740953</v>
      </c>
      <c r="V9" s="470">
        <v>0.9909780117934073</v>
      </c>
      <c r="W9" s="470">
        <v>0.09007324683759173</v>
      </c>
      <c r="X9" s="470">
        <v>2.0456404486780735</v>
      </c>
      <c r="Y9" s="470">
        <v>2.9935668932275155</v>
      </c>
      <c r="Z9" s="470">
        <v>69.560461826884</v>
      </c>
      <c r="AA9" s="448"/>
      <c r="AB9" s="471">
        <f>LET(payer,$C$3, segment,$C$4, source,$C$5, ECOGAINS_DAILY(payer, segment, source, "DIFF"))</f>
        <v>18.69532446</v>
      </c>
      <c r="AC9" s="471">
        <v>1.3110039010692782</v>
      </c>
      <c r="AD9" s="471">
        <v>0.7836056610442824</v>
      </c>
      <c r="AE9" s="471">
        <v>0.8487521598207843</v>
      </c>
      <c r="AF9" s="471">
        <v>0.8908858081917764</v>
      </c>
      <c r="AG9" s="471">
        <v>0.9900408211580138</v>
      </c>
      <c r="AH9" s="471">
        <v>0.5497580560420257</v>
      </c>
      <c r="AI9" s="471">
        <v>-1.5982789703580575</v>
      </c>
      <c r="AJ9" s="471">
        <v>0.12137827578293825</v>
      </c>
      <c r="AK9" s="471">
        <v>0.48341116321681765</v>
      </c>
      <c r="AL9" s="471">
        <v>21.31649326653811</v>
      </c>
    </row>
    <row r="10">
      <c r="A10" s="220"/>
      <c r="B10" s="469">
        <v>2.0</v>
      </c>
      <c r="C10" s="469" t="s">
        <v>1904</v>
      </c>
      <c r="D10" s="470">
        <v>69.2096425296571</v>
      </c>
      <c r="E10" s="470">
        <v>0.511990832714833</v>
      </c>
      <c r="F10" s="470">
        <v>0.5440682483055488</v>
      </c>
      <c r="G10" s="470">
        <v>0.41301490593738727</v>
      </c>
      <c r="H10" s="470">
        <v>0.7473631581229406</v>
      </c>
      <c r="I10" s="470">
        <v>0.7786584902162268</v>
      </c>
      <c r="J10" s="470">
        <v>0.45436458661233387</v>
      </c>
      <c r="K10" s="470">
        <v>2.390894926438652</v>
      </c>
      <c r="L10" s="470">
        <v>2.4582266594467876</v>
      </c>
      <c r="M10" s="470">
        <v>3.0602340660695577</v>
      </c>
      <c r="N10" s="470">
        <v>52.22677644835415</v>
      </c>
      <c r="O10" s="448"/>
      <c r="P10" s="470">
        <v>98.46949740627257</v>
      </c>
      <c r="Q10" s="470">
        <v>1.7965238152930973</v>
      </c>
      <c r="R10" s="470">
        <v>1.3418770608329598</v>
      </c>
      <c r="S10" s="470">
        <v>1.2874791163498511</v>
      </c>
      <c r="T10" s="470">
        <v>1.5993899129534799</v>
      </c>
      <c r="U10" s="470">
        <v>1.7289323681451014</v>
      </c>
      <c r="V10" s="470">
        <v>0.9729644789726182</v>
      </c>
      <c r="W10" s="470">
        <v>0.09007324683759173</v>
      </c>
      <c r="X10" s="470">
        <v>1.8483470397524966</v>
      </c>
      <c r="Y10" s="470">
        <v>2.7996734977563165</v>
      </c>
      <c r="Z10" s="470">
        <v>67.89353984600123</v>
      </c>
      <c r="AA10" s="448"/>
      <c r="AB10" s="471">
        <v>29.259854876615464</v>
      </c>
      <c r="AC10" s="471">
        <v>1.2845329825782643</v>
      </c>
      <c r="AD10" s="471">
        <v>0.797808812527411</v>
      </c>
      <c r="AE10" s="471">
        <v>0.8744642104124638</v>
      </c>
      <c r="AF10" s="471">
        <v>0.8520267548305392</v>
      </c>
      <c r="AG10" s="471">
        <v>0.9502738779288746</v>
      </c>
      <c r="AH10" s="471">
        <v>0.5185998923602844</v>
      </c>
      <c r="AI10" s="471">
        <v>-2.3008216796010603</v>
      </c>
      <c r="AJ10" s="471">
        <v>-0.609879619694291</v>
      </c>
      <c r="AK10" s="471">
        <v>-0.26056056831324126</v>
      </c>
      <c r="AL10" s="471">
        <v>15.666763397647081</v>
      </c>
    </row>
    <row r="11">
      <c r="A11" s="220"/>
      <c r="B11" s="469">
        <v>3.0</v>
      </c>
      <c r="C11" s="469" t="s">
        <v>1905</v>
      </c>
      <c r="D11" s="472">
        <v>53.85688033944632</v>
      </c>
      <c r="E11" s="472">
        <v>0.4818382553492557</v>
      </c>
      <c r="F11" s="472">
        <v>0.5317065772188522</v>
      </c>
      <c r="G11" s="472">
        <v>0.334129992479724</v>
      </c>
      <c r="H11" s="472">
        <v>0.7158202935869803</v>
      </c>
      <c r="I11" s="472">
        <v>0.7434713077753361</v>
      </c>
      <c r="J11" s="472">
        <v>0.4311288295806797</v>
      </c>
      <c r="K11" s="472">
        <v>0.44493680175954037</v>
      </c>
      <c r="L11" s="472">
        <v>0.982166564991434</v>
      </c>
      <c r="M11" s="472">
        <v>1.5418955935110557</v>
      </c>
      <c r="N11" s="472">
        <v>45.27491494136915</v>
      </c>
      <c r="O11" s="448"/>
      <c r="P11" s="472">
        <v>50.751489910811486</v>
      </c>
      <c r="Q11" s="472">
        <v>0.4812373563146451</v>
      </c>
      <c r="R11" s="472">
        <v>0.5210275525964929</v>
      </c>
      <c r="S11" s="472">
        <v>0.3554072254670198</v>
      </c>
      <c r="T11" s="472">
        <v>0.7406923402999849</v>
      </c>
      <c r="U11" s="472">
        <v>0.9367063626467436</v>
      </c>
      <c r="V11" s="472">
        <v>0.4414371064285865</v>
      </c>
      <c r="W11" s="472">
        <v>1.535450349137559</v>
      </c>
      <c r="X11" s="472">
        <v>1.5109006356649752</v>
      </c>
      <c r="Y11" s="472">
        <v>1.9223143992006553</v>
      </c>
      <c r="Z11" s="472">
        <v>50.59685904099384</v>
      </c>
      <c r="AA11" s="448"/>
      <c r="AB11" s="473">
        <v>-3.105390428634834</v>
      </c>
      <c r="AC11" s="473">
        <v>-6.008990346105803E-4</v>
      </c>
      <c r="AD11" s="473">
        <v>-0.010679024622359257</v>
      </c>
      <c r="AE11" s="473">
        <v>0.02127723298729578</v>
      </c>
      <c r="AF11" s="473">
        <v>0.02487204671300458</v>
      </c>
      <c r="AG11" s="473">
        <v>0.19323505487140746</v>
      </c>
      <c r="AH11" s="473">
        <v>0.010308276847906805</v>
      </c>
      <c r="AI11" s="473">
        <v>1.0905135473780188</v>
      </c>
      <c r="AJ11" s="473">
        <v>0.5287340706735413</v>
      </c>
      <c r="AK11" s="473">
        <v>0.3804188056895996</v>
      </c>
      <c r="AL11" s="473">
        <v>5.3219440996246945</v>
      </c>
    </row>
    <row r="12">
      <c r="A12" s="220"/>
      <c r="B12" s="469">
        <v>4.0</v>
      </c>
      <c r="C12" s="469" t="s">
        <v>1906</v>
      </c>
      <c r="D12" s="472">
        <v>93.53229279629085</v>
      </c>
      <c r="E12" s="472">
        <v>0.6280657824440943</v>
      </c>
      <c r="F12" s="472">
        <v>0.7586314914283045</v>
      </c>
      <c r="G12" s="472">
        <v>0.6080108505665177</v>
      </c>
      <c r="H12" s="472">
        <v>0.8031585006113798</v>
      </c>
      <c r="I12" s="472">
        <v>0.836047780665067</v>
      </c>
      <c r="J12" s="472">
        <v>0.54271631169397</v>
      </c>
      <c r="K12" s="472">
        <v>0.2824714977342839</v>
      </c>
      <c r="L12" s="472">
        <v>1.7602095201963053</v>
      </c>
      <c r="M12" s="472">
        <v>2.300675948717168</v>
      </c>
      <c r="N12" s="472">
        <v>52.42714813719642</v>
      </c>
      <c r="O12" s="448"/>
      <c r="P12" s="472">
        <v>52.382158403408056</v>
      </c>
      <c r="Q12" s="472">
        <v>0.4966050854999721</v>
      </c>
      <c r="R12" s="472">
        <v>0.5210275525964929</v>
      </c>
      <c r="S12" s="472">
        <v>0.36884687908098274</v>
      </c>
      <c r="T12" s="472">
        <v>0.7610366657240838</v>
      </c>
      <c r="U12" s="472">
        <v>0.9586545739443664</v>
      </c>
      <c r="V12" s="472">
        <v>0.45488244758110813</v>
      </c>
      <c r="W12" s="472">
        <v>2.2540651584776366</v>
      </c>
      <c r="X12" s="472">
        <v>2.0570806509855317</v>
      </c>
      <c r="Y12" s="472">
        <v>2.4849769012640235</v>
      </c>
      <c r="Z12" s="472">
        <v>53.23820313545296</v>
      </c>
      <c r="AA12" s="448"/>
      <c r="AB12" s="473">
        <v>-41.15013439288279</v>
      </c>
      <c r="AC12" s="473">
        <v>-0.13146069694412216</v>
      </c>
      <c r="AD12" s="473">
        <v>-0.23760393883181163</v>
      </c>
      <c r="AE12" s="473">
        <v>-0.23916397148553498</v>
      </c>
      <c r="AF12" s="473">
        <v>-0.04212183488729604</v>
      </c>
      <c r="AG12" s="473">
        <v>0.12260679327929935</v>
      </c>
      <c r="AH12" s="473">
        <v>-0.08783386411286193</v>
      </c>
      <c r="AI12" s="473">
        <v>1.9715936607433526</v>
      </c>
      <c r="AJ12" s="473">
        <v>0.29687113078922645</v>
      </c>
      <c r="AK12" s="473">
        <v>0.18430095254685552</v>
      </c>
      <c r="AL12" s="473">
        <v>0.8110549982565445</v>
      </c>
    </row>
    <row r="13">
      <c r="A13" s="220"/>
      <c r="B13" s="469">
        <v>5.0</v>
      </c>
      <c r="C13" s="469" t="s">
        <v>1907</v>
      </c>
      <c r="D13" s="472">
        <v>71.93479566414608</v>
      </c>
      <c r="E13" s="472">
        <v>0.5394550021688347</v>
      </c>
      <c r="F13" s="472">
        <v>0.6243873204541801</v>
      </c>
      <c r="G13" s="472">
        <v>0.44751477716428667</v>
      </c>
      <c r="H13" s="472">
        <v>0.7710725772808588</v>
      </c>
      <c r="I13" s="472">
        <v>0.7963832936097159</v>
      </c>
      <c r="J13" s="472">
        <v>0.4851944944130911</v>
      </c>
      <c r="K13" s="472">
        <v>0.2824714977342839</v>
      </c>
      <c r="L13" s="472">
        <v>1.4841330671366442</v>
      </c>
      <c r="M13" s="472">
        <v>2.029357199728573</v>
      </c>
      <c r="N13" s="472">
        <v>49.96213114096618</v>
      </c>
      <c r="O13" s="448"/>
      <c r="P13" s="472">
        <v>55.787045443931525</v>
      </c>
      <c r="Q13" s="472">
        <v>0.4590675006777632</v>
      </c>
      <c r="R13" s="472">
        <v>0.5412024702392986</v>
      </c>
      <c r="S13" s="472">
        <v>0.3541274447818052</v>
      </c>
      <c r="T13" s="472">
        <v>0.7053572263610833</v>
      </c>
      <c r="U13" s="472">
        <v>0.8993011520099972</v>
      </c>
      <c r="V13" s="472">
        <v>0.418842328777324</v>
      </c>
      <c r="W13" s="472">
        <v>0.2598808003089476</v>
      </c>
      <c r="X13" s="472">
        <v>0.5414096278725873</v>
      </c>
      <c r="Y13" s="472">
        <v>0.9235663292035381</v>
      </c>
      <c r="Z13" s="472">
        <v>48.80341122088912</v>
      </c>
      <c r="AA13" s="448"/>
      <c r="AB13" s="473">
        <v>-16.147750220214554</v>
      </c>
      <c r="AC13" s="473">
        <v>-0.08038750149107149</v>
      </c>
      <c r="AD13" s="473">
        <v>-0.08318485021488153</v>
      </c>
      <c r="AE13" s="473">
        <v>-0.09338733238248148</v>
      </c>
      <c r="AF13" s="473">
        <v>-0.06571535091977543</v>
      </c>
      <c r="AG13" s="473">
        <v>0.10291785840028123</v>
      </c>
      <c r="AH13" s="473">
        <v>-0.06635216563576707</v>
      </c>
      <c r="AI13" s="473">
        <v>-0.022590697425336315</v>
      </c>
      <c r="AJ13" s="473">
        <v>-0.9427234392640569</v>
      </c>
      <c r="AK13" s="473">
        <v>-1.1057908705250348</v>
      </c>
      <c r="AL13" s="473">
        <v>-1.1587199200770613</v>
      </c>
    </row>
    <row r="14">
      <c r="A14" s="220"/>
      <c r="B14" s="469">
        <v>6.0</v>
      </c>
      <c r="C14" s="469" t="s">
        <v>1908</v>
      </c>
      <c r="D14" s="470">
        <v>51.75629152459817</v>
      </c>
      <c r="E14" s="470">
        <v>0.46302452729929605</v>
      </c>
      <c r="F14" s="470">
        <v>0.5140500745398459</v>
      </c>
      <c r="G14" s="470">
        <v>0.3203292727567936</v>
      </c>
      <c r="H14" s="470">
        <v>0.6874270911747778</v>
      </c>
      <c r="I14" s="470">
        <v>0.7140978641751172</v>
      </c>
      <c r="J14" s="470">
        <v>0.41484798004398604</v>
      </c>
      <c r="K14" s="470">
        <v>0.27884597411031903</v>
      </c>
      <c r="L14" s="470">
        <v>0.8529731715597278</v>
      </c>
      <c r="M14" s="470">
        <v>1.4065376315517573</v>
      </c>
      <c r="N14" s="470">
        <v>43.06318054583833</v>
      </c>
      <c r="O14" s="448"/>
      <c r="P14" s="470">
        <v>71.86310479222219</v>
      </c>
      <c r="Q14" s="470">
        <v>1.6239208874640387</v>
      </c>
      <c r="R14" s="470">
        <v>1.2124179309703926</v>
      </c>
      <c r="S14" s="470">
        <v>1.0918779688887552</v>
      </c>
      <c r="T14" s="470">
        <v>1.5129477199510935</v>
      </c>
      <c r="U14" s="470">
        <v>1.6496263399469562</v>
      </c>
      <c r="V14" s="470">
        <v>0.9419709292200353</v>
      </c>
      <c r="W14" s="470">
        <v>0.09007324683759173</v>
      </c>
      <c r="X14" s="470">
        <v>2.310752441632659</v>
      </c>
      <c r="Y14" s="470">
        <v>3.1543206741105374</v>
      </c>
      <c r="Z14" s="470">
        <v>69.66276679737459</v>
      </c>
      <c r="AA14" s="448"/>
      <c r="AB14" s="471">
        <v>20.10681326762402</v>
      </c>
      <c r="AC14" s="471">
        <v>1.1608963601647426</v>
      </c>
      <c r="AD14" s="471">
        <v>0.6983678564305468</v>
      </c>
      <c r="AE14" s="471">
        <v>0.7715486961319615</v>
      </c>
      <c r="AF14" s="471">
        <v>0.8255206287763156</v>
      </c>
      <c r="AG14" s="471">
        <v>0.935528475771839</v>
      </c>
      <c r="AH14" s="471">
        <v>0.5271229491760493</v>
      </c>
      <c r="AI14" s="471">
        <v>-0.18877272727272731</v>
      </c>
      <c r="AJ14" s="471">
        <v>1.457779270072931</v>
      </c>
      <c r="AK14" s="471">
        <v>1.7477830425587801</v>
      </c>
      <c r="AL14" s="471">
        <v>26.59958625153626</v>
      </c>
    </row>
    <row r="15">
      <c r="A15" s="220"/>
      <c r="B15" s="469">
        <v>7.0</v>
      </c>
      <c r="C15" s="469" t="s">
        <v>1909</v>
      </c>
      <c r="D15" s="470">
        <v>54.475802084598165</v>
      </c>
      <c r="E15" s="470">
        <v>0.46302452729929605</v>
      </c>
      <c r="F15" s="470">
        <v>0.5404377145398458</v>
      </c>
      <c r="G15" s="470">
        <v>0.3203292727567936</v>
      </c>
      <c r="H15" s="470">
        <v>0.7178978511747779</v>
      </c>
      <c r="I15" s="470">
        <v>0.7449120641751172</v>
      </c>
      <c r="J15" s="470">
        <v>0.4393848600439861</v>
      </c>
      <c r="K15" s="470">
        <v>1.009457334110319</v>
      </c>
      <c r="L15" s="470">
        <v>1.385801251559728</v>
      </c>
      <c r="M15" s="470">
        <v>1.9144281515517574</v>
      </c>
      <c r="N15" s="470">
        <v>50.361929265838334</v>
      </c>
      <c r="O15" s="448"/>
      <c r="P15" s="470">
        <v>75.67010026433297</v>
      </c>
      <c r="Q15" s="470">
        <v>1.5970860509577596</v>
      </c>
      <c r="R15" s="470">
        <v>1.1970301317027636</v>
      </c>
      <c r="S15" s="470">
        <v>1.0871242922796076</v>
      </c>
      <c r="T15" s="470">
        <v>1.481479352292736</v>
      </c>
      <c r="U15" s="470">
        <v>1.6191846578798779</v>
      </c>
      <c r="V15" s="470">
        <v>0.9119335613902304</v>
      </c>
      <c r="W15" s="470">
        <v>0.09007324683759173</v>
      </c>
      <c r="X15" s="470">
        <v>1.981767852476758</v>
      </c>
      <c r="Y15" s="470">
        <v>2.8310055699896637</v>
      </c>
      <c r="Z15" s="470">
        <v>66.88319273039438</v>
      </c>
      <c r="AA15" s="448"/>
      <c r="AB15" s="471">
        <v>21.19429817973481</v>
      </c>
      <c r="AC15" s="471">
        <v>1.1340615236584635</v>
      </c>
      <c r="AD15" s="471">
        <v>0.6565924171629178</v>
      </c>
      <c r="AE15" s="471">
        <v>0.7667950195228139</v>
      </c>
      <c r="AF15" s="471">
        <v>0.7635815011179582</v>
      </c>
      <c r="AG15" s="471">
        <v>0.8742725937047606</v>
      </c>
      <c r="AH15" s="471">
        <v>0.4725487013462443</v>
      </c>
      <c r="AI15" s="471">
        <v>-0.9193840872727272</v>
      </c>
      <c r="AJ15" s="471">
        <v>0.5959666009170299</v>
      </c>
      <c r="AK15" s="471">
        <v>0.9165774184379063</v>
      </c>
      <c r="AL15" s="471">
        <v>16.52126346455605</v>
      </c>
    </row>
    <row r="16">
      <c r="A16" s="220"/>
      <c r="B16" s="469">
        <v>8.0</v>
      </c>
      <c r="C16" s="469" t="s">
        <v>1903</v>
      </c>
      <c r="D16" s="470">
        <v>56.11919604459817</v>
      </c>
      <c r="E16" s="470">
        <v>0.46302452729929605</v>
      </c>
      <c r="F16" s="470">
        <v>0.5563837045398459</v>
      </c>
      <c r="G16" s="470">
        <v>0.3203292727567936</v>
      </c>
      <c r="H16" s="470">
        <v>0.7363112611747779</v>
      </c>
      <c r="I16" s="470">
        <v>0.7635330141751173</v>
      </c>
      <c r="J16" s="470">
        <v>0.45421244004398603</v>
      </c>
      <c r="K16" s="470">
        <v>1.450964094110319</v>
      </c>
      <c r="L16" s="470">
        <v>1.707788031559728</v>
      </c>
      <c r="M16" s="470">
        <v>2.2213452215517577</v>
      </c>
      <c r="N16" s="470">
        <v>54.77254628583833</v>
      </c>
      <c r="O16" s="448"/>
      <c r="P16" s="470">
        <v>65.7704003216813</v>
      </c>
      <c r="Q16" s="470">
        <v>1.5286973466603484</v>
      </c>
      <c r="R16" s="470">
        <v>1.1145834938929136</v>
      </c>
      <c r="S16" s="470">
        <v>0.9994581746518039</v>
      </c>
      <c r="T16" s="470">
        <v>1.410188183084422</v>
      </c>
      <c r="U16" s="470">
        <v>1.5502194312500364</v>
      </c>
      <c r="V16" s="470">
        <v>0.843884303297929</v>
      </c>
      <c r="W16" s="470">
        <v>0.09007324683759173</v>
      </c>
      <c r="X16" s="470">
        <v>1.236457632796134</v>
      </c>
      <c r="Y16" s="470">
        <v>2.098539493397242</v>
      </c>
      <c r="Z16" s="470">
        <v>60.586104578651614</v>
      </c>
      <c r="AA16" s="448"/>
      <c r="AB16" s="471">
        <v>9.651204277083124</v>
      </c>
      <c r="AC16" s="471">
        <v>1.0656728193610523</v>
      </c>
      <c r="AD16" s="471">
        <v>0.5581997893530677</v>
      </c>
      <c r="AE16" s="471">
        <v>0.6791289018950102</v>
      </c>
      <c r="AF16" s="471">
        <v>0.6738769219096442</v>
      </c>
      <c r="AG16" s="471">
        <v>0.786686417074919</v>
      </c>
      <c r="AH16" s="471">
        <v>0.38967186325394293</v>
      </c>
      <c r="AI16" s="471">
        <v>-1.3608908472727272</v>
      </c>
      <c r="AJ16" s="471">
        <v>-0.47133039876359395</v>
      </c>
      <c r="AK16" s="471">
        <v>-0.12280572815451585</v>
      </c>
      <c r="AL16" s="471">
        <v>5.813558292813283</v>
      </c>
    </row>
    <row r="17">
      <c r="A17" s="220"/>
      <c r="B17" s="469">
        <v>9.0</v>
      </c>
      <c r="C17" s="469" t="s">
        <v>1904</v>
      </c>
      <c r="D17" s="470">
        <v>75.13755077478848</v>
      </c>
      <c r="E17" s="470">
        <v>0.4726002932686725</v>
      </c>
      <c r="F17" s="470">
        <v>0.595216215718443</v>
      </c>
      <c r="G17" s="470">
        <v>0.36995120623436034</v>
      </c>
      <c r="H17" s="470">
        <v>0.7353210592715033</v>
      </c>
      <c r="I17" s="470">
        <v>0.763779000368568</v>
      </c>
      <c r="J17" s="470">
        <v>0.454463564202264</v>
      </c>
      <c r="K17" s="470">
        <v>1.396972374110319</v>
      </c>
      <c r="L17" s="470">
        <v>1.6684123715597279</v>
      </c>
      <c r="M17" s="470">
        <v>2.1838124315517575</v>
      </c>
      <c r="N17" s="470">
        <v>58.93450243162636</v>
      </c>
      <c r="O17" s="448"/>
      <c r="P17" s="470">
        <v>71.44318334168129</v>
      </c>
      <c r="Q17" s="470">
        <v>1.5310231066603484</v>
      </c>
      <c r="R17" s="470">
        <v>1.1291558338929135</v>
      </c>
      <c r="S17" s="470">
        <v>1.0230064946518038</v>
      </c>
      <c r="T17" s="470">
        <v>1.410188183084422</v>
      </c>
      <c r="U17" s="470">
        <v>1.5502194312500364</v>
      </c>
      <c r="V17" s="470">
        <v>0.843884303297929</v>
      </c>
      <c r="W17" s="470">
        <v>0.09007324683759173</v>
      </c>
      <c r="X17" s="470">
        <v>1.236457632796134</v>
      </c>
      <c r="Y17" s="470">
        <v>2.098539493397242</v>
      </c>
      <c r="Z17" s="470">
        <v>60.586104578651614</v>
      </c>
      <c r="AA17" s="448"/>
      <c r="AB17" s="471">
        <v>-3.694367433107189</v>
      </c>
      <c r="AC17" s="471">
        <v>1.058422813391676</v>
      </c>
      <c r="AD17" s="471">
        <v>0.5339396181744706</v>
      </c>
      <c r="AE17" s="471">
        <v>0.6530552884174434</v>
      </c>
      <c r="AF17" s="471">
        <v>0.6748671238129188</v>
      </c>
      <c r="AG17" s="471">
        <v>0.7864404308814683</v>
      </c>
      <c r="AH17" s="471">
        <v>0.38942073909566494</v>
      </c>
      <c r="AI17" s="471">
        <v>-1.3068991272727273</v>
      </c>
      <c r="AJ17" s="471">
        <v>-0.4319547387635938</v>
      </c>
      <c r="AK17" s="471">
        <v>-0.08527293815451564</v>
      </c>
      <c r="AL17" s="471">
        <v>1.651602147025251</v>
      </c>
    </row>
    <row r="18">
      <c r="A18" s="220"/>
      <c r="B18" s="469">
        <v>10.0</v>
      </c>
      <c r="C18" s="469" t="s">
        <v>1905</v>
      </c>
      <c r="D18" s="472">
        <v>56.49706735714889</v>
      </c>
      <c r="E18" s="472">
        <v>0.4783639005741783</v>
      </c>
      <c r="F18" s="472">
        <v>0.5609017072188521</v>
      </c>
      <c r="G18" s="472">
        <v>0.3310915393585147</v>
      </c>
      <c r="H18" s="472">
        <v>0.7449334939236006</v>
      </c>
      <c r="I18" s="472">
        <v>0.7726018796565266</v>
      </c>
      <c r="J18" s="472">
        <v>0.45523655061388374</v>
      </c>
      <c r="K18" s="472">
        <v>1.0908156177342838</v>
      </c>
      <c r="L18" s="472">
        <v>1.44820338746166</v>
      </c>
      <c r="M18" s="472">
        <v>1.9766152654712248</v>
      </c>
      <c r="N18" s="472">
        <v>52.75304941832737</v>
      </c>
      <c r="O18" s="448"/>
      <c r="P18" s="472">
        <v>49.87922635941539</v>
      </c>
      <c r="Q18" s="472">
        <v>0.4738486726719178</v>
      </c>
      <c r="R18" s="472">
        <v>0.539378439709973</v>
      </c>
      <c r="S18" s="472">
        <v>0.3468381365488939</v>
      </c>
      <c r="T18" s="472">
        <v>0.7301678048541241</v>
      </c>
      <c r="U18" s="472">
        <v>0.92403955310506</v>
      </c>
      <c r="V18" s="472">
        <v>0.4328785574658092</v>
      </c>
      <c r="W18" s="472">
        <v>1.3315495193890279</v>
      </c>
      <c r="X18" s="472">
        <v>1.2715150259454204</v>
      </c>
      <c r="Y18" s="472">
        <v>1.640772457928294</v>
      </c>
      <c r="Z18" s="472">
        <v>49.256731857794286</v>
      </c>
      <c r="AA18" s="448"/>
      <c r="AB18" s="473">
        <v>-6.617840997733502</v>
      </c>
      <c r="AC18" s="473">
        <v>-0.004515227902260499</v>
      </c>
      <c r="AD18" s="473">
        <v>-0.021523267508879118</v>
      </c>
      <c r="AE18" s="473">
        <v>0.015746597190379186</v>
      </c>
      <c r="AF18" s="473">
        <v>-0.014765689069476506</v>
      </c>
      <c r="AG18" s="473">
        <v>0.15143767344853343</v>
      </c>
      <c r="AH18" s="473">
        <v>-0.022357993148074518</v>
      </c>
      <c r="AI18" s="473">
        <v>0.24073390165474406</v>
      </c>
      <c r="AJ18" s="473">
        <v>-0.17668836151623957</v>
      </c>
      <c r="AK18" s="473">
        <v>-0.3358428075429307</v>
      </c>
      <c r="AL18" s="473">
        <v>-3.496317560533086</v>
      </c>
    </row>
    <row r="19">
      <c r="A19" s="220"/>
      <c r="B19" s="469">
        <v>11.0</v>
      </c>
      <c r="C19" s="469" t="s">
        <v>1906</v>
      </c>
      <c r="D19" s="472">
        <v>58.60107712061517</v>
      </c>
      <c r="E19" s="472">
        <v>0.5582733500116618</v>
      </c>
      <c r="F19" s="472">
        <v>0.613807031968845</v>
      </c>
      <c r="G19" s="472">
        <v>0.40864814786381504</v>
      </c>
      <c r="H19" s="472">
        <v>0.7974543114221907</v>
      </c>
      <c r="I19" s="472">
        <v>0.8219292671515535</v>
      </c>
      <c r="J19" s="472">
        <v>0.5104011765588349</v>
      </c>
      <c r="K19" s="472">
        <v>0.2824714977342839</v>
      </c>
      <c r="L19" s="472">
        <v>1.7602095201963053</v>
      </c>
      <c r="M19" s="472">
        <v>2.300675948717168</v>
      </c>
      <c r="N19" s="472">
        <v>52.29468705611534</v>
      </c>
      <c r="O19" s="448"/>
      <c r="P19" s="472">
        <v>51.77329255926853</v>
      </c>
      <c r="Q19" s="472">
        <v>0.49235526158773285</v>
      </c>
      <c r="R19" s="472">
        <v>0.5538648707339631</v>
      </c>
      <c r="S19" s="472">
        <v>0.3613592241064341</v>
      </c>
      <c r="T19" s="472">
        <v>0.7540808130037727</v>
      </c>
      <c r="U19" s="472">
        <v>0.9488016463266888</v>
      </c>
      <c r="V19" s="472">
        <v>0.4474169732901246</v>
      </c>
      <c r="W19" s="472">
        <v>2.3087251393708987</v>
      </c>
      <c r="X19" s="472">
        <v>1.9475773541762456</v>
      </c>
      <c r="Y19" s="472">
        <v>2.3096608837142245</v>
      </c>
      <c r="Z19" s="472">
        <v>52.382162022953345</v>
      </c>
      <c r="AA19" s="448"/>
      <c r="AB19" s="473">
        <v>-6.82778456134664</v>
      </c>
      <c r="AC19" s="473">
        <v>-0.06591808842392893</v>
      </c>
      <c r="AD19" s="473">
        <v>-0.05994216123488194</v>
      </c>
      <c r="AE19" s="473">
        <v>-0.04728892375738092</v>
      </c>
      <c r="AF19" s="473">
        <v>-0.04337349841841798</v>
      </c>
      <c r="AG19" s="473">
        <v>0.12687237917513539</v>
      </c>
      <c r="AH19" s="473">
        <v>-0.06298420326871029</v>
      </c>
      <c r="AI19" s="473">
        <v>2.0262536416366146</v>
      </c>
      <c r="AJ19" s="473">
        <v>0.18736783397994028</v>
      </c>
      <c r="AK19" s="473">
        <v>0.008984934997056548</v>
      </c>
      <c r="AL19" s="473">
        <v>0.08747496683800193</v>
      </c>
    </row>
    <row r="20">
      <c r="A20" s="220"/>
      <c r="B20" s="469">
        <v>12.0</v>
      </c>
      <c r="C20" s="469" t="s">
        <v>1907</v>
      </c>
      <c r="D20" s="472">
        <v>57.03535025874068</v>
      </c>
      <c r="E20" s="472">
        <v>0.5338024346012671</v>
      </c>
      <c r="F20" s="472">
        <v>0.5886651582920179</v>
      </c>
      <c r="G20" s="472">
        <v>0.38489775013725963</v>
      </c>
      <c r="H20" s="472">
        <v>0.7710467664700479</v>
      </c>
      <c r="I20" s="472">
        <v>0.7963832936097159</v>
      </c>
      <c r="J20" s="472">
        <v>0.4851944944130911</v>
      </c>
      <c r="K20" s="472">
        <v>0.2824714977342839</v>
      </c>
      <c r="L20" s="472">
        <v>1.4841330671366442</v>
      </c>
      <c r="M20" s="472">
        <v>2.029357199728573</v>
      </c>
      <c r="N20" s="472">
        <v>49.96213114096618</v>
      </c>
      <c r="O20" s="448"/>
      <c r="P20" s="472">
        <v>57.92064412009352</v>
      </c>
      <c r="Q20" s="472">
        <v>0.4800452346392941</v>
      </c>
      <c r="R20" s="472">
        <v>0.5604050862905351</v>
      </c>
      <c r="S20" s="472">
        <v>0.3702680361605546</v>
      </c>
      <c r="T20" s="472">
        <v>0.7323506326966828</v>
      </c>
      <c r="U20" s="472">
        <v>0.9270491666655913</v>
      </c>
      <c r="V20" s="472">
        <v>0.43500457453056623</v>
      </c>
      <c r="W20" s="472">
        <v>1.3890025077358727</v>
      </c>
      <c r="X20" s="472">
        <v>1.3112640743982535</v>
      </c>
      <c r="Y20" s="472">
        <v>1.6800997171703238</v>
      </c>
      <c r="Z20" s="472">
        <v>52.33553318572465</v>
      </c>
      <c r="AA20" s="448"/>
      <c r="AB20" s="473">
        <v>0.8852938613528423</v>
      </c>
      <c r="AC20" s="473">
        <v>-0.05375719996197298</v>
      </c>
      <c r="AD20" s="473">
        <v>-0.02826007200148284</v>
      </c>
      <c r="AE20" s="473">
        <v>-0.014629713976705039</v>
      </c>
      <c r="AF20" s="473">
        <v>-0.038696133773365116</v>
      </c>
      <c r="AG20" s="473">
        <v>0.1306658730558754</v>
      </c>
      <c r="AH20" s="473">
        <v>-0.05018991988252486</v>
      </c>
      <c r="AI20" s="473">
        <v>1.1065310100015888</v>
      </c>
      <c r="AJ20" s="473">
        <v>-0.17286899273839063</v>
      </c>
      <c r="AK20" s="473">
        <v>-0.34925748255824907</v>
      </c>
      <c r="AL20" s="473">
        <v>2.373402044758471</v>
      </c>
    </row>
    <row r="21" ht="15.75" customHeight="1">
      <c r="A21" s="220"/>
      <c r="B21" s="469">
        <v>13.0</v>
      </c>
      <c r="C21" s="469" t="s">
        <v>1908</v>
      </c>
      <c r="D21" s="470">
        <v>85.22441963270627</v>
      </c>
      <c r="E21" s="470">
        <v>0.5298937164884852</v>
      </c>
      <c r="F21" s="470">
        <v>0.6528085880533594</v>
      </c>
      <c r="G21" s="470">
        <v>0.5113417051892261</v>
      </c>
      <c r="H21" s="470">
        <v>0.6928923614450481</v>
      </c>
      <c r="I21" s="470">
        <v>0.7276250263372794</v>
      </c>
      <c r="J21" s="470">
        <v>0.4458096016656076</v>
      </c>
      <c r="K21" s="470">
        <v>0.27884597411031903</v>
      </c>
      <c r="L21" s="470">
        <v>0.8529731715597278</v>
      </c>
      <c r="M21" s="470">
        <v>1.4065376315517573</v>
      </c>
      <c r="N21" s="470">
        <v>43.1900935188113</v>
      </c>
      <c r="O21" s="448"/>
      <c r="P21" s="470">
        <v>71.86310479222219</v>
      </c>
      <c r="Q21" s="470">
        <v>1.6239208874640387</v>
      </c>
      <c r="R21" s="470">
        <v>1.2124179309703926</v>
      </c>
      <c r="S21" s="470">
        <v>1.0918779688887552</v>
      </c>
      <c r="T21" s="470">
        <v>1.5129477199510935</v>
      </c>
      <c r="U21" s="470">
        <v>1.6496263399469562</v>
      </c>
      <c r="V21" s="470">
        <v>0.9419709292200353</v>
      </c>
      <c r="W21" s="470">
        <v>0.09007324683759173</v>
      </c>
      <c r="X21" s="470">
        <v>2.310752441632659</v>
      </c>
      <c r="Y21" s="470">
        <v>3.1543206741105374</v>
      </c>
      <c r="Z21" s="470">
        <v>69.66276679737459</v>
      </c>
      <c r="AA21" s="448"/>
      <c r="AB21" s="471">
        <v>-13.361314840484084</v>
      </c>
      <c r="AC21" s="471">
        <v>1.0940271709755536</v>
      </c>
      <c r="AD21" s="471">
        <v>0.5596093429170332</v>
      </c>
      <c r="AE21" s="471">
        <v>0.5805362636995292</v>
      </c>
      <c r="AF21" s="471">
        <v>0.8200553585060454</v>
      </c>
      <c r="AG21" s="471">
        <v>0.9220013136096767</v>
      </c>
      <c r="AH21" s="471">
        <v>0.4961613275544277</v>
      </c>
      <c r="AI21" s="471">
        <v>-0.18877272727272731</v>
      </c>
      <c r="AJ21" s="471">
        <v>1.457779270072931</v>
      </c>
      <c r="AK21" s="471">
        <v>1.7477830425587801</v>
      </c>
      <c r="AL21" s="471">
        <v>26.472673278563285</v>
      </c>
    </row>
    <row r="22" ht="15.75" customHeight="1">
      <c r="A22" s="220"/>
      <c r="B22" s="469">
        <v>14.0</v>
      </c>
      <c r="C22" s="469" t="s">
        <v>1909</v>
      </c>
      <c r="D22" s="470">
        <v>69.91720577285311</v>
      </c>
      <c r="E22" s="470">
        <v>0.5050583040404403</v>
      </c>
      <c r="F22" s="470">
        <v>0.5482760204857918</v>
      </c>
      <c r="G22" s="470">
        <v>0.41234737705646146</v>
      </c>
      <c r="H22" s="470">
        <v>0.7359279364236798</v>
      </c>
      <c r="I22" s="470">
        <v>0.7663956919046351</v>
      </c>
      <c r="J22" s="470">
        <v>0.44688531219028826</v>
      </c>
      <c r="K22" s="470">
        <v>1.9911492225676537</v>
      </c>
      <c r="L22" s="470">
        <v>2.1544017008920244</v>
      </c>
      <c r="M22" s="470">
        <v>2.7472403523222875</v>
      </c>
      <c r="N22" s="470">
        <v>49.35693070858455</v>
      </c>
      <c r="O22" s="448"/>
      <c r="P22" s="470">
        <v>95.83962282514379</v>
      </c>
      <c r="Q22" s="470">
        <v>1.6146210831199217</v>
      </c>
      <c r="R22" s="470">
        <v>1.2755159377838445</v>
      </c>
      <c r="S22" s="470">
        <v>1.1644526202525805</v>
      </c>
      <c r="T22" s="470">
        <v>1.481479352292736</v>
      </c>
      <c r="U22" s="470">
        <v>1.6191846578798779</v>
      </c>
      <c r="V22" s="470">
        <v>0.9119335613902304</v>
      </c>
      <c r="W22" s="470">
        <v>0.09007324683759173</v>
      </c>
      <c r="X22" s="470">
        <v>1.981767852476758</v>
      </c>
      <c r="Y22" s="470">
        <v>2.8310055699896637</v>
      </c>
      <c r="Z22" s="470">
        <v>66.88319273039438</v>
      </c>
      <c r="AA22" s="448"/>
      <c r="AB22" s="471">
        <v>25.922417052290683</v>
      </c>
      <c r="AC22" s="471">
        <v>1.1095627790794813</v>
      </c>
      <c r="AD22" s="471">
        <v>0.7272399172980527</v>
      </c>
      <c r="AE22" s="471">
        <v>0.752105243196119</v>
      </c>
      <c r="AF22" s="471">
        <v>0.7455514158690563</v>
      </c>
      <c r="AG22" s="471">
        <v>0.8527889659752428</v>
      </c>
      <c r="AH22" s="471">
        <v>0.46504824919994214</v>
      </c>
      <c r="AI22" s="471">
        <v>-1.901075975730062</v>
      </c>
      <c r="AJ22" s="471">
        <v>-0.17263384841526652</v>
      </c>
      <c r="AK22" s="471">
        <v>0.08376521766737621</v>
      </c>
      <c r="AL22" s="471">
        <v>17.526262021809835</v>
      </c>
    </row>
    <row r="23" ht="15.75" customHeight="1">
      <c r="A23" s="220"/>
      <c r="B23" s="469">
        <v>15.0</v>
      </c>
      <c r="C23" s="469" t="s">
        <v>1903</v>
      </c>
      <c r="D23" s="470">
        <v>57.57849224466491</v>
      </c>
      <c r="E23" s="470">
        <v>0.5178940512612934</v>
      </c>
      <c r="F23" s="470">
        <v>0.5140500745398459</v>
      </c>
      <c r="G23" s="470">
        <v>0.3683147224689328</v>
      </c>
      <c r="H23" s="470">
        <v>0.7600652433628107</v>
      </c>
      <c r="I23" s="470">
        <v>0.7924625914028554</v>
      </c>
      <c r="J23" s="470">
        <v>0.4628537367598122</v>
      </c>
      <c r="K23" s="470">
        <v>2.8446155829461524</v>
      </c>
      <c r="L23" s="470">
        <v>2.8030750426161983</v>
      </c>
      <c r="M23" s="470">
        <v>3.415489199292857</v>
      </c>
      <c r="N23" s="470">
        <v>52.49393582106679</v>
      </c>
      <c r="O23" s="448"/>
      <c r="P23" s="470">
        <v>65.7704003216813</v>
      </c>
      <c r="Q23" s="470">
        <v>1.5286973466603484</v>
      </c>
      <c r="R23" s="470">
        <v>1.1145834938929136</v>
      </c>
      <c r="S23" s="470">
        <v>0.9994581746518039</v>
      </c>
      <c r="T23" s="470">
        <v>1.410188183084422</v>
      </c>
      <c r="U23" s="470">
        <v>1.5502194312500364</v>
      </c>
      <c r="V23" s="470">
        <v>0.843884303297929</v>
      </c>
      <c r="W23" s="470">
        <v>0.09007324683759173</v>
      </c>
      <c r="X23" s="470">
        <v>1.236457632796134</v>
      </c>
      <c r="Y23" s="470">
        <v>2.098539493397242</v>
      </c>
      <c r="Z23" s="470">
        <v>60.586104578651614</v>
      </c>
      <c r="AA23" s="448"/>
      <c r="AB23" s="471">
        <v>8.191908077016386</v>
      </c>
      <c r="AC23" s="471">
        <v>1.0108032953990551</v>
      </c>
      <c r="AD23" s="471">
        <v>0.6005334193530677</v>
      </c>
      <c r="AE23" s="471">
        <v>0.631143452182871</v>
      </c>
      <c r="AF23" s="471">
        <v>0.6501229397216114</v>
      </c>
      <c r="AG23" s="471">
        <v>0.757756839847181</v>
      </c>
      <c r="AH23" s="471">
        <v>0.3810305665381168</v>
      </c>
      <c r="AI23" s="471">
        <v>-2.754542336108561</v>
      </c>
      <c r="AJ23" s="471">
        <v>-1.5666174098200643</v>
      </c>
      <c r="AK23" s="471">
        <v>-1.316949705895615</v>
      </c>
      <c r="AL23" s="471">
        <v>8.092168757584822</v>
      </c>
    </row>
    <row r="24" ht="15.75" customHeight="1">
      <c r="A24" s="220"/>
      <c r="B24" s="469">
        <v>16.0</v>
      </c>
      <c r="C24" s="469" t="s">
        <v>1904</v>
      </c>
      <c r="D24" s="470">
        <v>77.24568038085323</v>
      </c>
      <c r="E24" s="470">
        <v>0.47431541324199133</v>
      </c>
      <c r="F24" s="470">
        <v>0.5726209876569943</v>
      </c>
      <c r="G24" s="470">
        <v>0.4294175898937529</v>
      </c>
      <c r="H24" s="470">
        <v>0.6933431606809737</v>
      </c>
      <c r="I24" s="470">
        <v>0.7202491148674195</v>
      </c>
      <c r="J24" s="470">
        <v>0.41854073056058805</v>
      </c>
      <c r="K24" s="470">
        <v>0.47621286709769095</v>
      </c>
      <c r="L24" s="470">
        <v>1.0029810077948411</v>
      </c>
      <c r="M24" s="470">
        <v>1.561072367531842</v>
      </c>
      <c r="N24" s="470">
        <v>47.00700401783107</v>
      </c>
      <c r="O24" s="448"/>
      <c r="P24" s="470">
        <v>91.61270590249211</v>
      </c>
      <c r="Q24" s="470">
        <v>1.5485581388225105</v>
      </c>
      <c r="R24" s="470">
        <v>1.2076416399739944</v>
      </c>
      <c r="S24" s="470">
        <v>1.1003348226247769</v>
      </c>
      <c r="T24" s="470">
        <v>1.410188183084422</v>
      </c>
      <c r="U24" s="470">
        <v>1.5502194312500364</v>
      </c>
      <c r="V24" s="470">
        <v>0.843884303297929</v>
      </c>
      <c r="W24" s="470">
        <v>0.09007324683759173</v>
      </c>
      <c r="X24" s="470">
        <v>1.236457632796134</v>
      </c>
      <c r="Y24" s="470">
        <v>2.098539493397242</v>
      </c>
      <c r="Z24" s="470">
        <v>60.586104578651614</v>
      </c>
      <c r="AA24" s="448"/>
      <c r="AB24" s="471">
        <v>14.36702552163888</v>
      </c>
      <c r="AC24" s="471">
        <v>1.0742427255805191</v>
      </c>
      <c r="AD24" s="471">
        <v>0.6350206523170001</v>
      </c>
      <c r="AE24" s="471">
        <v>0.670917232731024</v>
      </c>
      <c r="AF24" s="471">
        <v>0.7168450224034484</v>
      </c>
      <c r="AG24" s="471">
        <v>0.8299703163826169</v>
      </c>
      <c r="AH24" s="471">
        <v>0.4253435727373409</v>
      </c>
      <c r="AI24" s="471">
        <v>-0.38613962026009924</v>
      </c>
      <c r="AJ24" s="471">
        <v>0.23347662500129296</v>
      </c>
      <c r="AK24" s="471">
        <v>0.5374671258653998</v>
      </c>
      <c r="AL24" s="471">
        <v>13.579100560820542</v>
      </c>
    </row>
    <row r="25" ht="15.75" customHeight="1">
      <c r="A25" s="220"/>
      <c r="B25" s="469">
        <v>17.0</v>
      </c>
      <c r="C25" s="469" t="s">
        <v>1905</v>
      </c>
      <c r="D25" s="472">
        <v>53.4882168371489</v>
      </c>
      <c r="E25" s="472">
        <v>0.4783639005741783</v>
      </c>
      <c r="F25" s="472">
        <v>0.5317065772188522</v>
      </c>
      <c r="G25" s="472">
        <v>0.3310915393585147</v>
      </c>
      <c r="H25" s="472">
        <v>0.7112208239236008</v>
      </c>
      <c r="I25" s="472">
        <v>0.7385092296565265</v>
      </c>
      <c r="J25" s="472">
        <v>0.4280890906138837</v>
      </c>
      <c r="K25" s="472">
        <v>0.2824714977342839</v>
      </c>
      <c r="L25" s="472">
        <v>0.85868552746166</v>
      </c>
      <c r="M25" s="472">
        <v>1.4146881754712248</v>
      </c>
      <c r="N25" s="472">
        <v>44.67775667832737</v>
      </c>
      <c r="O25" s="448"/>
      <c r="P25" s="472">
        <v>50.751489910811486</v>
      </c>
      <c r="Q25" s="472">
        <v>0.4812373563146451</v>
      </c>
      <c r="R25" s="472">
        <v>0.5210275525964929</v>
      </c>
      <c r="S25" s="472">
        <v>0.3554072254670198</v>
      </c>
      <c r="T25" s="472">
        <v>0.7406923402999849</v>
      </c>
      <c r="U25" s="472">
        <v>0.9367063626467436</v>
      </c>
      <c r="V25" s="472">
        <v>0.4414371064285865</v>
      </c>
      <c r="W25" s="472">
        <v>1.535450349137559</v>
      </c>
      <c r="X25" s="472">
        <v>1.5109006356649752</v>
      </c>
      <c r="Y25" s="472">
        <v>1.9223143992006553</v>
      </c>
      <c r="Z25" s="472">
        <v>50.59685904099384</v>
      </c>
      <c r="AA25" s="448"/>
      <c r="AB25" s="473">
        <v>-2.736726926337411</v>
      </c>
      <c r="AC25" s="473">
        <v>0.002873455740466768</v>
      </c>
      <c r="AD25" s="473">
        <v>-0.010679024622359257</v>
      </c>
      <c r="AE25" s="473">
        <v>0.024315686108505097</v>
      </c>
      <c r="AF25" s="473">
        <v>0.02947151637638412</v>
      </c>
      <c r="AG25" s="473">
        <v>0.19819713299021702</v>
      </c>
      <c r="AH25" s="473">
        <v>0.013348015814702796</v>
      </c>
      <c r="AI25" s="473">
        <v>1.2529788514032751</v>
      </c>
      <c r="AJ25" s="473">
        <v>0.6522151082033152</v>
      </c>
      <c r="AK25" s="473">
        <v>0.5076262237294304</v>
      </c>
      <c r="AL25" s="473">
        <v>5.919102362666472</v>
      </c>
    </row>
    <row r="26" ht="15.75" customHeight="1">
      <c r="A26" s="220"/>
      <c r="B26" s="469">
        <v>18.0</v>
      </c>
      <c r="C26" s="469" t="s">
        <v>1906</v>
      </c>
      <c r="D26" s="472">
        <v>58.60107712061517</v>
      </c>
      <c r="E26" s="472">
        <v>0.5582733500116618</v>
      </c>
      <c r="F26" s="472">
        <v>0.613807031968845</v>
      </c>
      <c r="G26" s="472">
        <v>0.40864814786381504</v>
      </c>
      <c r="H26" s="472">
        <v>0.7974543114221907</v>
      </c>
      <c r="I26" s="472">
        <v>0.8219292671515535</v>
      </c>
      <c r="J26" s="472">
        <v>0.5104011765588349</v>
      </c>
      <c r="K26" s="472">
        <v>0.2824714977342839</v>
      </c>
      <c r="L26" s="472">
        <v>1.7602095201963053</v>
      </c>
      <c r="M26" s="472">
        <v>2.300675948717168</v>
      </c>
      <c r="N26" s="472">
        <v>52.29468705611534</v>
      </c>
      <c r="O26" s="448"/>
      <c r="P26" s="472">
        <v>52.382158403408056</v>
      </c>
      <c r="Q26" s="472">
        <v>0.4966050854999721</v>
      </c>
      <c r="R26" s="472">
        <v>0.5210275525964929</v>
      </c>
      <c r="S26" s="472">
        <v>0.36884687908098274</v>
      </c>
      <c r="T26" s="472">
        <v>0.7610366657240838</v>
      </c>
      <c r="U26" s="472">
        <v>0.9586545739443664</v>
      </c>
      <c r="V26" s="472">
        <v>0.45488244758110813</v>
      </c>
      <c r="W26" s="472">
        <v>2.2540651584776366</v>
      </c>
      <c r="X26" s="472">
        <v>2.0570806509855317</v>
      </c>
      <c r="Y26" s="472">
        <v>2.4849769012640235</v>
      </c>
      <c r="Z26" s="472">
        <v>53.23820313545296</v>
      </c>
      <c r="AA26" s="448"/>
      <c r="AB26" s="473">
        <v>-6.218918717207117</v>
      </c>
      <c r="AC26" s="473">
        <v>-0.06166826451168966</v>
      </c>
      <c r="AD26" s="473">
        <v>-0.09277947937235209</v>
      </c>
      <c r="AE26" s="473">
        <v>-0.0398012687828323</v>
      </c>
      <c r="AF26" s="473">
        <v>-0.036417645698106904</v>
      </c>
      <c r="AG26" s="473">
        <v>0.13672530679281292</v>
      </c>
      <c r="AH26" s="473">
        <v>-0.05551872897772675</v>
      </c>
      <c r="AI26" s="473">
        <v>1.9715936607433526</v>
      </c>
      <c r="AJ26" s="473">
        <v>0.29687113078922645</v>
      </c>
      <c r="AK26" s="473">
        <v>0.18430095254685552</v>
      </c>
      <c r="AL26" s="473">
        <v>0.9435160793376198</v>
      </c>
    </row>
    <row r="27" ht="15.75" customHeight="1">
      <c r="A27" s="220"/>
      <c r="B27" s="469">
        <v>19.0</v>
      </c>
      <c r="C27" s="469" t="s">
        <v>1907</v>
      </c>
      <c r="D27" s="472">
        <v>57.03535025874068</v>
      </c>
      <c r="E27" s="472">
        <v>0.5338024346012671</v>
      </c>
      <c r="F27" s="472">
        <v>0.5886651582920179</v>
      </c>
      <c r="G27" s="472">
        <v>0.38489775013725963</v>
      </c>
      <c r="H27" s="472">
        <v>0.7710467664700479</v>
      </c>
      <c r="I27" s="472">
        <v>0.7963832936097159</v>
      </c>
      <c r="J27" s="472">
        <v>0.4851944944130911</v>
      </c>
      <c r="K27" s="472">
        <v>0.2824714977342839</v>
      </c>
      <c r="L27" s="472">
        <v>1.4841330671366442</v>
      </c>
      <c r="M27" s="472">
        <v>2.029357199728573</v>
      </c>
      <c r="N27" s="472">
        <v>49.96213114096618</v>
      </c>
      <c r="O27" s="448"/>
      <c r="P27" s="472">
        <v>55.787045443931525</v>
      </c>
      <c r="Q27" s="472">
        <v>0.4590675006777632</v>
      </c>
      <c r="R27" s="472">
        <v>0.5412024702392986</v>
      </c>
      <c r="S27" s="472">
        <v>0.3541274447818052</v>
      </c>
      <c r="T27" s="472">
        <v>0.7053572263610833</v>
      </c>
      <c r="U27" s="472">
        <v>0.8993011520099972</v>
      </c>
      <c r="V27" s="472">
        <v>0.418842328777324</v>
      </c>
      <c r="W27" s="472">
        <v>0.2598808003089476</v>
      </c>
      <c r="X27" s="472">
        <v>0.5414096278725873</v>
      </c>
      <c r="Y27" s="472">
        <v>0.9235663292035381</v>
      </c>
      <c r="Z27" s="472">
        <v>48.80341122088912</v>
      </c>
      <c r="AA27" s="448"/>
      <c r="AB27" s="473">
        <v>-1.2483048148091527</v>
      </c>
      <c r="AC27" s="473">
        <v>-0.07473493392350389</v>
      </c>
      <c r="AD27" s="473">
        <v>-0.04746268805271936</v>
      </c>
      <c r="AE27" s="473">
        <v>-0.03077030535545444</v>
      </c>
      <c r="AF27" s="473">
        <v>-0.06568954010896455</v>
      </c>
      <c r="AG27" s="473">
        <v>0.10291785840028123</v>
      </c>
      <c r="AH27" s="473">
        <v>-0.06635216563576707</v>
      </c>
      <c r="AI27" s="473">
        <v>-0.022590697425336315</v>
      </c>
      <c r="AJ27" s="473">
        <v>-0.9427234392640569</v>
      </c>
      <c r="AK27" s="473">
        <v>-1.1057908705250348</v>
      </c>
      <c r="AL27" s="473">
        <v>-1.1587199200770613</v>
      </c>
    </row>
    <row r="28" ht="15.75" customHeight="1">
      <c r="A28" s="220"/>
      <c r="B28" s="469">
        <v>20.0</v>
      </c>
      <c r="C28" s="469" t="s">
        <v>1908</v>
      </c>
      <c r="D28" s="470">
        <v>85.22441963270627</v>
      </c>
      <c r="E28" s="470">
        <v>0.5298937164884852</v>
      </c>
      <c r="F28" s="470">
        <v>0.6528085880533594</v>
      </c>
      <c r="G28" s="470">
        <v>0.5113417051892261</v>
      </c>
      <c r="H28" s="470">
        <v>0.6928923614450481</v>
      </c>
      <c r="I28" s="470">
        <v>0.7276250263372794</v>
      </c>
      <c r="J28" s="470">
        <v>0.4458096016656076</v>
      </c>
      <c r="K28" s="470">
        <v>0.27884597411031903</v>
      </c>
      <c r="L28" s="470">
        <v>0.8529731715597278</v>
      </c>
      <c r="M28" s="470">
        <v>1.4065376315517573</v>
      </c>
      <c r="N28" s="470">
        <v>43.1900935188113</v>
      </c>
      <c r="O28" s="448"/>
      <c r="P28" s="470">
        <v>71.86310479222219</v>
      </c>
      <c r="Q28" s="470">
        <v>1.6239208874640387</v>
      </c>
      <c r="R28" s="470">
        <v>1.2124179309703926</v>
      </c>
      <c r="S28" s="470">
        <v>1.0918779688887552</v>
      </c>
      <c r="T28" s="470">
        <v>1.5129477199510935</v>
      </c>
      <c r="U28" s="470">
        <v>1.6496263399469562</v>
      </c>
      <c r="V28" s="470">
        <v>0.9419709292200353</v>
      </c>
      <c r="W28" s="470">
        <v>0.09007324683759173</v>
      </c>
      <c r="X28" s="470">
        <v>2.310752441632659</v>
      </c>
      <c r="Y28" s="470">
        <v>3.1543206741105374</v>
      </c>
      <c r="Z28" s="470">
        <v>69.66276679737459</v>
      </c>
      <c r="AA28" s="448"/>
      <c r="AB28" s="471">
        <v>-13.361314840484084</v>
      </c>
      <c r="AC28" s="471">
        <v>1.0940271709755536</v>
      </c>
      <c r="AD28" s="471">
        <v>0.5596093429170332</v>
      </c>
      <c r="AE28" s="471">
        <v>0.5805362636995292</v>
      </c>
      <c r="AF28" s="471">
        <v>0.8200553585060454</v>
      </c>
      <c r="AG28" s="471">
        <v>0.9220013136096767</v>
      </c>
      <c r="AH28" s="471">
        <v>0.4961613275544277</v>
      </c>
      <c r="AI28" s="471">
        <v>-0.18877272727272731</v>
      </c>
      <c r="AJ28" s="471">
        <v>1.457779270072931</v>
      </c>
      <c r="AK28" s="471">
        <v>1.7477830425587801</v>
      </c>
      <c r="AL28" s="471">
        <v>26.472673278563285</v>
      </c>
    </row>
    <row r="29" ht="15.75" customHeight="1">
      <c r="A29" s="220"/>
      <c r="B29" s="469">
        <v>21.0</v>
      </c>
      <c r="C29" s="469" t="s">
        <v>1909</v>
      </c>
      <c r="D29" s="470">
        <v>68.88125773946302</v>
      </c>
      <c r="E29" s="470">
        <v>0.4962830981101069</v>
      </c>
      <c r="F29" s="470">
        <v>0.5700705404857919</v>
      </c>
      <c r="G29" s="470">
        <v>0.4021702570811179</v>
      </c>
      <c r="H29" s="470">
        <v>0.7234284209045075</v>
      </c>
      <c r="I29" s="470">
        <v>0.7513518941751172</v>
      </c>
      <c r="J29" s="470">
        <v>0.43672071004398605</v>
      </c>
      <c r="K29" s="470">
        <v>1.7489854141103187</v>
      </c>
      <c r="L29" s="470">
        <v>1.8700942215597278</v>
      </c>
      <c r="M29" s="470">
        <v>2.4128657015517576</v>
      </c>
      <c r="N29" s="470">
        <v>47.76532216583833</v>
      </c>
      <c r="O29" s="448"/>
      <c r="P29" s="470">
        <v>104.9666004359546</v>
      </c>
      <c r="Q29" s="470">
        <v>1.6964008155523542</v>
      </c>
      <c r="R29" s="470">
        <v>1.3415238646757364</v>
      </c>
      <c r="S29" s="470">
        <v>1.3097689140363642</v>
      </c>
      <c r="T29" s="470">
        <v>1.4914097483738171</v>
      </c>
      <c r="U29" s="470">
        <v>1.6437635115285265</v>
      </c>
      <c r="V29" s="470">
        <v>0.9681908278767168</v>
      </c>
      <c r="W29" s="470">
        <v>0.09007324683759173</v>
      </c>
      <c r="X29" s="470">
        <v>1.981767852476758</v>
      </c>
      <c r="Y29" s="470">
        <v>2.8310055699896637</v>
      </c>
      <c r="Z29" s="470">
        <v>67.11379360228628</v>
      </c>
      <c r="AA29" s="448"/>
      <c r="AB29" s="471">
        <v>36.08534269649158</v>
      </c>
      <c r="AC29" s="471">
        <v>1.2001177174422473</v>
      </c>
      <c r="AD29" s="471">
        <v>0.7714533241899445</v>
      </c>
      <c r="AE29" s="471">
        <v>0.9075986569552463</v>
      </c>
      <c r="AF29" s="471">
        <v>0.7679813274693096</v>
      </c>
      <c r="AG29" s="471">
        <v>0.8924116173534093</v>
      </c>
      <c r="AH29" s="471">
        <v>0.5314701178327308</v>
      </c>
      <c r="AI29" s="471">
        <v>-1.658912167272727</v>
      </c>
      <c r="AJ29" s="471">
        <v>0.11167363091703009</v>
      </c>
      <c r="AK29" s="471">
        <v>0.41813986843790607</v>
      </c>
      <c r="AL29" s="471">
        <v>19.34847143644795</v>
      </c>
    </row>
    <row r="30" ht="15.75" customHeight="1">
      <c r="A30" s="220"/>
      <c r="B30" s="469">
        <v>22.0</v>
      </c>
      <c r="C30" s="469" t="s">
        <v>1903</v>
      </c>
      <c r="D30" s="470">
        <v>56.85536977459816</v>
      </c>
      <c r="E30" s="470">
        <v>0.5128467272992959</v>
      </c>
      <c r="F30" s="470">
        <v>0.5530494745398459</v>
      </c>
      <c r="G30" s="470">
        <v>0.3594219727567936</v>
      </c>
      <c r="H30" s="470">
        <v>0.7518040911747778</v>
      </c>
      <c r="I30" s="470">
        <v>0.7807607141751172</v>
      </c>
      <c r="J30" s="470">
        <v>0.453987330043986</v>
      </c>
      <c r="K30" s="470">
        <v>2.909532774110319</v>
      </c>
      <c r="L30" s="470">
        <v>2.6730229215597285</v>
      </c>
      <c r="M30" s="470">
        <v>3.2072742815517574</v>
      </c>
      <c r="N30" s="470">
        <v>51.47725444583833</v>
      </c>
      <c r="O30" s="448"/>
      <c r="P30" s="470">
        <v>65.7704003216813</v>
      </c>
      <c r="Q30" s="470">
        <v>1.5286973466603484</v>
      </c>
      <c r="R30" s="470">
        <v>1.1145834938929136</v>
      </c>
      <c r="S30" s="470">
        <v>0.9994581746518039</v>
      </c>
      <c r="T30" s="470">
        <v>1.410188183084422</v>
      </c>
      <c r="U30" s="470">
        <v>1.5502194312500364</v>
      </c>
      <c r="V30" s="470">
        <v>0.843884303297929</v>
      </c>
      <c r="W30" s="470">
        <v>0.09007324683759173</v>
      </c>
      <c r="X30" s="470">
        <v>1.236457632796134</v>
      </c>
      <c r="Y30" s="470">
        <v>2.098539493397242</v>
      </c>
      <c r="Z30" s="470">
        <v>60.586104578651614</v>
      </c>
      <c r="AA30" s="448"/>
      <c r="AB30" s="471">
        <v>8.915030547083134</v>
      </c>
      <c r="AC30" s="471">
        <v>1.0158506193610526</v>
      </c>
      <c r="AD30" s="471">
        <v>0.5615340193530677</v>
      </c>
      <c r="AE30" s="471">
        <v>0.6400362018950103</v>
      </c>
      <c r="AF30" s="471">
        <v>0.6583840919096443</v>
      </c>
      <c r="AG30" s="471">
        <v>0.7694587170749192</v>
      </c>
      <c r="AH30" s="471">
        <v>0.38989697325394296</v>
      </c>
      <c r="AI30" s="471">
        <v>-2.8194595272727274</v>
      </c>
      <c r="AJ30" s="471">
        <v>-1.4365652887635945</v>
      </c>
      <c r="AK30" s="471">
        <v>-1.1087347881545155</v>
      </c>
      <c r="AL30" s="471">
        <v>9.108850132813288</v>
      </c>
    </row>
    <row r="31" ht="15.75" customHeight="1">
      <c r="A31" s="220"/>
      <c r="B31" s="469">
        <v>23.0</v>
      </c>
      <c r="C31" s="469" t="s">
        <v>1904</v>
      </c>
      <c r="D31" s="470">
        <v>73.95745677478847</v>
      </c>
      <c r="E31" s="470">
        <v>0.5017353332686725</v>
      </c>
      <c r="F31" s="470">
        <v>0.5776386957184431</v>
      </c>
      <c r="G31" s="470">
        <v>0.3928118462343604</v>
      </c>
      <c r="H31" s="470">
        <v>0.7263350592715033</v>
      </c>
      <c r="I31" s="470">
        <v>0.7556041203685682</v>
      </c>
      <c r="J31" s="470">
        <v>0.4398002842022641</v>
      </c>
      <c r="K31" s="470">
        <v>1.8172197341103191</v>
      </c>
      <c r="L31" s="470">
        <v>1.9173023715597282</v>
      </c>
      <c r="M31" s="470">
        <v>2.4595729115517577</v>
      </c>
      <c r="N31" s="470">
        <v>52.68489411162637</v>
      </c>
      <c r="O31" s="448"/>
      <c r="P31" s="470">
        <v>100.73968351330292</v>
      </c>
      <c r="Q31" s="470">
        <v>1.6303378712549428</v>
      </c>
      <c r="R31" s="470">
        <v>1.2736495668658865</v>
      </c>
      <c r="S31" s="470">
        <v>1.2456511164085606</v>
      </c>
      <c r="T31" s="470">
        <v>1.420118579165503</v>
      </c>
      <c r="U31" s="470">
        <v>1.574798284898685</v>
      </c>
      <c r="V31" s="470">
        <v>0.9001415697844155</v>
      </c>
      <c r="W31" s="470">
        <v>0.09007324683759173</v>
      </c>
      <c r="X31" s="470">
        <v>1.236457632796134</v>
      </c>
      <c r="Y31" s="470">
        <v>2.098539493397242</v>
      </c>
      <c r="Z31" s="470">
        <v>60.81670545054351</v>
      </c>
      <c r="AA31" s="448"/>
      <c r="AB31" s="471">
        <v>26.782226738514453</v>
      </c>
      <c r="AC31" s="471">
        <v>1.1286025379862703</v>
      </c>
      <c r="AD31" s="471">
        <v>0.6960108711474434</v>
      </c>
      <c r="AE31" s="471">
        <v>0.8528392701742002</v>
      </c>
      <c r="AF31" s="471">
        <v>0.6937835198939998</v>
      </c>
      <c r="AG31" s="471">
        <v>0.8191941645301168</v>
      </c>
      <c r="AH31" s="471">
        <v>0.4603412855821514</v>
      </c>
      <c r="AI31" s="471">
        <v>-1.7271464872727273</v>
      </c>
      <c r="AJ31" s="471">
        <v>-0.6808447387635941</v>
      </c>
      <c r="AK31" s="471">
        <v>-0.36103341815451584</v>
      </c>
      <c r="AL31" s="471">
        <v>8.131811338917139</v>
      </c>
    </row>
    <row r="32" ht="15.75" customHeight="1">
      <c r="A32" s="220"/>
      <c r="B32" s="469">
        <v>24.0</v>
      </c>
      <c r="C32" s="469" t="s">
        <v>1905</v>
      </c>
      <c r="D32" s="472">
        <v>53.4882168371489</v>
      </c>
      <c r="E32" s="472">
        <v>0.4783639005741783</v>
      </c>
      <c r="F32" s="472">
        <v>0.5317065772188522</v>
      </c>
      <c r="G32" s="472">
        <v>0.3310915393585147</v>
      </c>
      <c r="H32" s="472">
        <v>0.7112208239236008</v>
      </c>
      <c r="I32" s="472">
        <v>0.7385092296565265</v>
      </c>
      <c r="J32" s="472">
        <v>0.4280890906138837</v>
      </c>
      <c r="K32" s="472">
        <v>0.2824714977342839</v>
      </c>
      <c r="L32" s="472">
        <v>0.85868552746166</v>
      </c>
      <c r="M32" s="472">
        <v>1.4146881754712248</v>
      </c>
      <c r="N32" s="472">
        <v>44.67775667832737</v>
      </c>
      <c r="O32" s="448"/>
      <c r="P32" s="472">
        <v>49.769707343440224</v>
      </c>
      <c r="Q32" s="472">
        <v>0.45040519487622804</v>
      </c>
      <c r="R32" s="472">
        <v>0.5432458259436991</v>
      </c>
      <c r="S32" s="472">
        <v>0.3284433477916017</v>
      </c>
      <c r="T32" s="472">
        <v>0.7255319125149086</v>
      </c>
      <c r="U32" s="472">
        <v>0.9186172454167052</v>
      </c>
      <c r="V32" s="472">
        <v>0.43512175969753436</v>
      </c>
      <c r="W32" s="472">
        <v>0.7088702260011203</v>
      </c>
      <c r="X32" s="472">
        <v>0.863742538993564</v>
      </c>
      <c r="Y32" s="472">
        <v>1.2210902986896612</v>
      </c>
      <c r="Z32" s="472">
        <v>51.443063273680515</v>
      </c>
      <c r="AA32" s="448"/>
      <c r="AB32" s="473">
        <v>-3.718509493708673</v>
      </c>
      <c r="AC32" s="473">
        <v>-0.02795870569795028</v>
      </c>
      <c r="AD32" s="473">
        <v>0.011539248724846907</v>
      </c>
      <c r="AE32" s="473">
        <v>-0.002648191566912983</v>
      </c>
      <c r="AF32" s="473">
        <v>0.014311088591307808</v>
      </c>
      <c r="AG32" s="473">
        <v>0.18010801576017865</v>
      </c>
      <c r="AH32" s="473">
        <v>0.007032669083650633</v>
      </c>
      <c r="AI32" s="473">
        <v>0.42639872826683634</v>
      </c>
      <c r="AJ32" s="473">
        <v>0.0050570115319039655</v>
      </c>
      <c r="AK32" s="473">
        <v>-0.1935978767815636</v>
      </c>
      <c r="AL32" s="473">
        <v>6.765306595353145</v>
      </c>
    </row>
    <row r="33" ht="15.75" customHeight="1">
      <c r="A33" s="220"/>
      <c r="B33" s="469">
        <v>25.0</v>
      </c>
      <c r="C33" s="469" t="s">
        <v>1906</v>
      </c>
      <c r="D33" s="472">
        <v>58.60107712061517</v>
      </c>
      <c r="E33" s="472">
        <v>0.5582733500116618</v>
      </c>
      <c r="F33" s="472">
        <v>0.613807031968845</v>
      </c>
      <c r="G33" s="472">
        <v>0.40864814786381504</v>
      </c>
      <c r="H33" s="472">
        <v>0.7974543114221907</v>
      </c>
      <c r="I33" s="472">
        <v>0.8219292671515535</v>
      </c>
      <c r="J33" s="472">
        <v>0.5104011765588349</v>
      </c>
      <c r="K33" s="472">
        <v>0.2824714977342839</v>
      </c>
      <c r="L33" s="472">
        <v>1.7602095201963053</v>
      </c>
      <c r="M33" s="472">
        <v>2.300675948717168</v>
      </c>
      <c r="N33" s="472">
        <v>52.29468705611534</v>
      </c>
      <c r="O33" s="448"/>
      <c r="P33" s="472">
        <v>51.153437613385826</v>
      </c>
      <c r="Q33" s="472">
        <v>0.45040519487622804</v>
      </c>
      <c r="R33" s="472">
        <v>0.5566722772903074</v>
      </c>
      <c r="S33" s="472">
        <v>0.3284433477916017</v>
      </c>
      <c r="T33" s="472">
        <v>0.7410359203244049</v>
      </c>
      <c r="U33" s="472">
        <v>0.9342960009660708</v>
      </c>
      <c r="V33" s="472">
        <v>0.4476065148904037</v>
      </c>
      <c r="W33" s="472">
        <v>1.0806169179492946</v>
      </c>
      <c r="X33" s="472">
        <v>1.1348539491926846</v>
      </c>
      <c r="Y33" s="472">
        <v>1.479513081332732</v>
      </c>
      <c r="Z33" s="472">
        <v>55.15678282496284</v>
      </c>
      <c r="AA33" s="448"/>
      <c r="AB33" s="473">
        <v>-7.447639507229347</v>
      </c>
      <c r="AC33" s="473">
        <v>-0.10786815513543374</v>
      </c>
      <c r="AD33" s="473">
        <v>-0.05713475467853757</v>
      </c>
      <c r="AE33" s="473">
        <v>-0.08020480007221331</v>
      </c>
      <c r="AF33" s="473">
        <v>-0.05641839109778579</v>
      </c>
      <c r="AG33" s="473">
        <v>0.11236673381451734</v>
      </c>
      <c r="AH33" s="473">
        <v>-0.06279466166843117</v>
      </c>
      <c r="AI33" s="473">
        <v>0.7981454202150107</v>
      </c>
      <c r="AJ33" s="473">
        <v>-0.6253555710036207</v>
      </c>
      <c r="AK33" s="473">
        <v>-0.821162867384436</v>
      </c>
      <c r="AL33" s="473">
        <v>2.862095768847496</v>
      </c>
    </row>
    <row r="34" ht="15.75" customHeight="1">
      <c r="A34" s="220"/>
      <c r="B34" s="469">
        <v>26.0</v>
      </c>
      <c r="C34" s="469" t="s">
        <v>1907</v>
      </c>
      <c r="D34" s="472">
        <v>57.03535025874068</v>
      </c>
      <c r="E34" s="472">
        <v>0.5338024346012671</v>
      </c>
      <c r="F34" s="472">
        <v>0.5886651582920179</v>
      </c>
      <c r="G34" s="472">
        <v>0.38489775013725963</v>
      </c>
      <c r="H34" s="472">
        <v>0.7710467664700479</v>
      </c>
      <c r="I34" s="472">
        <v>0.7963832936097159</v>
      </c>
      <c r="J34" s="472">
        <v>0.4851944944130911</v>
      </c>
      <c r="K34" s="472">
        <v>0.2824714977342839</v>
      </c>
      <c r="L34" s="472">
        <v>1.4841330671366442</v>
      </c>
      <c r="M34" s="472">
        <v>2.029357199728573</v>
      </c>
      <c r="N34" s="472">
        <v>49.96213114096618</v>
      </c>
      <c r="O34" s="448"/>
      <c r="P34" s="472">
        <v>58.91427792241149</v>
      </c>
      <c r="Q34" s="472">
        <v>0.45551366293747514</v>
      </c>
      <c r="R34" s="472">
        <v>0.5752052785065113</v>
      </c>
      <c r="S34" s="472">
        <v>0.3510194808364682</v>
      </c>
      <c r="T34" s="472">
        <v>0.7399168039911977</v>
      </c>
      <c r="U34" s="472">
        <v>0.9339323785943809</v>
      </c>
      <c r="V34" s="472">
        <v>0.44735098986769456</v>
      </c>
      <c r="W34" s="472">
        <v>1.0351561342852074</v>
      </c>
      <c r="X34" s="472">
        <v>1.1016998218396263</v>
      </c>
      <c r="Y34" s="472">
        <v>1.4479106421716972</v>
      </c>
      <c r="Z34" s="472">
        <v>57.59767508120047</v>
      </c>
      <c r="AA34" s="448"/>
      <c r="AB34" s="473">
        <v>1.8789276636708152</v>
      </c>
      <c r="AC34" s="473">
        <v>-0.07828877166379195</v>
      </c>
      <c r="AD34" s="473">
        <v>-0.013459879785506668</v>
      </c>
      <c r="AE34" s="473">
        <v>-0.03387826930079141</v>
      </c>
      <c r="AF34" s="473">
        <v>-0.031129962478850137</v>
      </c>
      <c r="AG34" s="473">
        <v>0.137549084984665</v>
      </c>
      <c r="AH34" s="473">
        <v>-0.037843504545396534</v>
      </c>
      <c r="AI34" s="473">
        <v>0.7526846365509234</v>
      </c>
      <c r="AJ34" s="473">
        <v>-0.38243324529701783</v>
      </c>
      <c r="AK34" s="473">
        <v>-0.5814465575568757</v>
      </c>
      <c r="AL34" s="473">
        <v>7.635543940234292</v>
      </c>
    </row>
    <row r="35" ht="15.75" customHeight="1">
      <c r="A35" s="220"/>
      <c r="B35" s="469">
        <v>27.0</v>
      </c>
      <c r="C35" s="469" t="s">
        <v>1908</v>
      </c>
      <c r="D35" s="470">
        <v>85.22441963270627</v>
      </c>
      <c r="E35" s="470">
        <v>0.5298937164884852</v>
      </c>
      <c r="F35" s="470">
        <v>0.6528085880533594</v>
      </c>
      <c r="G35" s="470">
        <v>0.5113417051892261</v>
      </c>
      <c r="H35" s="470">
        <v>0.6928923614450481</v>
      </c>
      <c r="I35" s="470">
        <v>0.7276250263372794</v>
      </c>
      <c r="J35" s="470">
        <v>0.4458096016656076</v>
      </c>
      <c r="K35" s="470">
        <v>0.27884597411031903</v>
      </c>
      <c r="L35" s="470">
        <v>0.8529731715597278</v>
      </c>
      <c r="M35" s="470">
        <v>1.4065376315517573</v>
      </c>
      <c r="N35" s="470">
        <v>43.1900935188113</v>
      </c>
      <c r="O35" s="448"/>
      <c r="P35" s="470">
        <v>71.86310479222219</v>
      </c>
      <c r="Q35" s="470">
        <v>1.6239208874640387</v>
      </c>
      <c r="R35" s="470">
        <v>1.2124179309703926</v>
      </c>
      <c r="S35" s="470">
        <v>1.0918779688887552</v>
      </c>
      <c r="T35" s="470">
        <v>1.5129477199510935</v>
      </c>
      <c r="U35" s="470">
        <v>1.6496263399469562</v>
      </c>
      <c r="V35" s="470">
        <v>0.9419709292200353</v>
      </c>
      <c r="W35" s="470">
        <v>0.09007324683759173</v>
      </c>
      <c r="X35" s="470">
        <v>2.310752441632659</v>
      </c>
      <c r="Y35" s="470">
        <v>3.1543206741105374</v>
      </c>
      <c r="Z35" s="470">
        <v>69.66276679737459</v>
      </c>
      <c r="AA35" s="448"/>
      <c r="AB35" s="471">
        <v>-13.361314840484084</v>
      </c>
      <c r="AC35" s="471">
        <v>1.0940271709755536</v>
      </c>
      <c r="AD35" s="471">
        <v>0.5596093429170332</v>
      </c>
      <c r="AE35" s="471">
        <v>0.5805362636995292</v>
      </c>
      <c r="AF35" s="471">
        <v>0.8200553585060454</v>
      </c>
      <c r="AG35" s="471">
        <v>0.9220013136096767</v>
      </c>
      <c r="AH35" s="471">
        <v>0.4961613275544277</v>
      </c>
      <c r="AI35" s="471">
        <v>-0.18877272727272731</v>
      </c>
      <c r="AJ35" s="471">
        <v>1.457779270072931</v>
      </c>
      <c r="AK35" s="471">
        <v>1.7477830425587801</v>
      </c>
      <c r="AL35" s="471">
        <v>26.472673278563285</v>
      </c>
    </row>
    <row r="36" ht="15.75" customHeight="1">
      <c r="A36" s="220"/>
      <c r="B36" s="469">
        <v>28.0</v>
      </c>
      <c r="C36" s="469" t="s">
        <v>1909</v>
      </c>
      <c r="D36" s="470">
        <v>69.91720577285311</v>
      </c>
      <c r="E36" s="470">
        <v>0.5050583040404403</v>
      </c>
      <c r="F36" s="470">
        <v>0.5482760204857918</v>
      </c>
      <c r="G36" s="470">
        <v>0.41234737705646146</v>
      </c>
      <c r="H36" s="470">
        <v>0.7359279364236798</v>
      </c>
      <c r="I36" s="470">
        <v>0.7663956919046351</v>
      </c>
      <c r="J36" s="470">
        <v>0.44688531219028826</v>
      </c>
      <c r="K36" s="470">
        <v>1.9911492225676537</v>
      </c>
      <c r="L36" s="470">
        <v>2.1544017008920244</v>
      </c>
      <c r="M36" s="470">
        <v>2.7472403523222875</v>
      </c>
      <c r="N36" s="470">
        <v>49.35693070858455</v>
      </c>
      <c r="O36" s="448"/>
      <c r="P36" s="470">
        <v>95.93569154379243</v>
      </c>
      <c r="Q36" s="470">
        <v>1.6046008192010026</v>
      </c>
      <c r="R36" s="470">
        <v>1.2446463354865474</v>
      </c>
      <c r="S36" s="470">
        <v>1.1725856595769049</v>
      </c>
      <c r="T36" s="470">
        <v>1.481524286211655</v>
      </c>
      <c r="U36" s="470">
        <v>1.6191846578798779</v>
      </c>
      <c r="V36" s="470">
        <v>0.9119335613902304</v>
      </c>
      <c r="W36" s="470">
        <v>0.09007324683759173</v>
      </c>
      <c r="X36" s="470">
        <v>1.981767852476758</v>
      </c>
      <c r="Y36" s="470">
        <v>2.8310055699896637</v>
      </c>
      <c r="Z36" s="470">
        <v>66.88319273039438</v>
      </c>
      <c r="AA36" s="448"/>
      <c r="AB36" s="471">
        <v>26.01848577093932</v>
      </c>
      <c r="AC36" s="471">
        <v>1.0995425151605622</v>
      </c>
      <c r="AD36" s="471">
        <v>0.6963703150007555</v>
      </c>
      <c r="AE36" s="471">
        <v>0.7602382825204435</v>
      </c>
      <c r="AF36" s="471">
        <v>0.7455963497879753</v>
      </c>
      <c r="AG36" s="471">
        <v>0.8527889659752428</v>
      </c>
      <c r="AH36" s="471">
        <v>0.46504824919994214</v>
      </c>
      <c r="AI36" s="471">
        <v>-1.901075975730062</v>
      </c>
      <c r="AJ36" s="471">
        <v>-0.17263384841526652</v>
      </c>
      <c r="AK36" s="471">
        <v>0.08376521766737621</v>
      </c>
      <c r="AL36" s="471">
        <v>17.526262021809835</v>
      </c>
    </row>
    <row r="37" ht="15.75" customHeight="1">
      <c r="A37" s="220"/>
      <c r="B37" s="469">
        <v>29.0</v>
      </c>
      <c r="C37" s="469" t="s">
        <v>1903</v>
      </c>
      <c r="D37" s="470">
        <v>57.57849224466491</v>
      </c>
      <c r="E37" s="470">
        <v>0.5178940512612934</v>
      </c>
      <c r="F37" s="470">
        <v>0.5140500745398459</v>
      </c>
      <c r="G37" s="470">
        <v>0.3683147224689328</v>
      </c>
      <c r="H37" s="470">
        <v>0.7600652433628107</v>
      </c>
      <c r="I37" s="470">
        <v>0.7924625914028554</v>
      </c>
      <c r="J37" s="470">
        <v>0.4628537367598122</v>
      </c>
      <c r="K37" s="470">
        <v>2.8446155829461524</v>
      </c>
      <c r="L37" s="470">
        <v>2.8030750426161983</v>
      </c>
      <c r="M37" s="470">
        <v>3.415489199292857</v>
      </c>
      <c r="N37" s="470">
        <v>52.49393582106679</v>
      </c>
      <c r="O37" s="448"/>
      <c r="P37" s="470">
        <v>65.7704003216813</v>
      </c>
      <c r="Q37" s="470">
        <v>1.5286973466603484</v>
      </c>
      <c r="R37" s="470">
        <v>1.1145834938929136</v>
      </c>
      <c r="S37" s="470">
        <v>0.9994581746518039</v>
      </c>
      <c r="T37" s="470">
        <v>1.410188183084422</v>
      </c>
      <c r="U37" s="470">
        <v>1.5502194312500364</v>
      </c>
      <c r="V37" s="470">
        <v>0.843884303297929</v>
      </c>
      <c r="W37" s="470">
        <v>0.09007324683759173</v>
      </c>
      <c r="X37" s="470">
        <v>1.236457632796134</v>
      </c>
      <c r="Y37" s="470">
        <v>2.098539493397242</v>
      </c>
      <c r="Z37" s="470">
        <v>60.586104578651614</v>
      </c>
      <c r="AA37" s="448"/>
      <c r="AB37" s="471">
        <v>8.191908077016386</v>
      </c>
      <c r="AC37" s="471">
        <v>1.0108032953990551</v>
      </c>
      <c r="AD37" s="471">
        <v>0.6005334193530677</v>
      </c>
      <c r="AE37" s="471">
        <v>0.631143452182871</v>
      </c>
      <c r="AF37" s="471">
        <v>0.6501229397216114</v>
      </c>
      <c r="AG37" s="471">
        <v>0.757756839847181</v>
      </c>
      <c r="AH37" s="471">
        <v>0.3810305665381168</v>
      </c>
      <c r="AI37" s="471">
        <v>-2.754542336108561</v>
      </c>
      <c r="AJ37" s="471">
        <v>-1.5666174098200643</v>
      </c>
      <c r="AK37" s="471">
        <v>-1.316949705895615</v>
      </c>
      <c r="AL37" s="471">
        <v>8.092168757584822</v>
      </c>
    </row>
    <row r="38" ht="15.75" customHeight="1">
      <c r="A38" s="220"/>
      <c r="B38" s="469">
        <v>30.0</v>
      </c>
      <c r="C38" s="469" t="s">
        <v>1904</v>
      </c>
      <c r="D38" s="470">
        <v>77.24568038085323</v>
      </c>
      <c r="E38" s="470">
        <v>0.47431541324199133</v>
      </c>
      <c r="F38" s="470">
        <v>0.5726209876569943</v>
      </c>
      <c r="G38" s="470">
        <v>0.4294175898937529</v>
      </c>
      <c r="H38" s="470">
        <v>0.6933431606809737</v>
      </c>
      <c r="I38" s="470">
        <v>0.7202491148674195</v>
      </c>
      <c r="J38" s="470">
        <v>0.41854073056058805</v>
      </c>
      <c r="K38" s="470">
        <v>0.47621286709769095</v>
      </c>
      <c r="L38" s="470">
        <v>1.0029810077948411</v>
      </c>
      <c r="M38" s="470">
        <v>1.561072367531842</v>
      </c>
      <c r="N38" s="470">
        <v>47.00700401783107</v>
      </c>
      <c r="O38" s="448"/>
      <c r="P38" s="470">
        <v>91.70877462114075</v>
      </c>
      <c r="Q38" s="470">
        <v>1.5385378749035916</v>
      </c>
      <c r="R38" s="470">
        <v>1.1767720376766972</v>
      </c>
      <c r="S38" s="470">
        <v>1.108467861949101</v>
      </c>
      <c r="T38" s="470">
        <v>1.410233117003341</v>
      </c>
      <c r="U38" s="470">
        <v>1.5502194312500364</v>
      </c>
      <c r="V38" s="470">
        <v>0.843884303297929</v>
      </c>
      <c r="W38" s="470">
        <v>0.09007324683759173</v>
      </c>
      <c r="X38" s="470">
        <v>1.236457632796134</v>
      </c>
      <c r="Y38" s="470">
        <v>2.098539493397242</v>
      </c>
      <c r="Z38" s="470">
        <v>60.586104578651614</v>
      </c>
      <c r="AA38" s="448"/>
      <c r="AB38" s="471">
        <v>14.463094240287518</v>
      </c>
      <c r="AC38" s="471">
        <v>1.0642224616616003</v>
      </c>
      <c r="AD38" s="471">
        <v>0.6041510500197029</v>
      </c>
      <c r="AE38" s="471">
        <v>0.6790502720553482</v>
      </c>
      <c r="AF38" s="471">
        <v>0.7168899563223674</v>
      </c>
      <c r="AG38" s="471">
        <v>0.8299703163826169</v>
      </c>
      <c r="AH38" s="471">
        <v>0.4253435727373409</v>
      </c>
      <c r="AI38" s="471">
        <v>-0.38613962026009924</v>
      </c>
      <c r="AJ38" s="471">
        <v>0.23347662500129296</v>
      </c>
      <c r="AK38" s="471">
        <v>0.5374671258653998</v>
      </c>
      <c r="AL38" s="471">
        <v>13.579100560820542</v>
      </c>
    </row>
    <row r="39" ht="15.75" customHeight="1">
      <c r="A39" s="220"/>
      <c r="B39" s="469">
        <v>31.0</v>
      </c>
      <c r="C39" s="469" t="s">
        <v>1905</v>
      </c>
      <c r="D39" s="472">
        <v>53.4882168371489</v>
      </c>
      <c r="E39" s="472">
        <v>0.4783639005741783</v>
      </c>
      <c r="F39" s="472">
        <v>0.5317065772188522</v>
      </c>
      <c r="G39" s="472">
        <v>0.3310915393585147</v>
      </c>
      <c r="H39" s="472">
        <v>0.7112208239236008</v>
      </c>
      <c r="I39" s="472">
        <v>0.7385092296565265</v>
      </c>
      <c r="J39" s="472">
        <v>0.4280890906138837</v>
      </c>
      <c r="K39" s="472">
        <v>0.2824714977342839</v>
      </c>
      <c r="L39" s="472">
        <v>0.85868552746166</v>
      </c>
      <c r="M39" s="472">
        <v>1.4146881754712248</v>
      </c>
      <c r="N39" s="472">
        <v>44.67775667832737</v>
      </c>
      <c r="O39" s="448"/>
      <c r="P39" s="472">
        <v>50.751489910811486</v>
      </c>
      <c r="Q39" s="472">
        <v>0.4812373563146451</v>
      </c>
      <c r="R39" s="472">
        <v>0.5210275525964929</v>
      </c>
      <c r="S39" s="472">
        <v>0.3554072254670198</v>
      </c>
      <c r="T39" s="472">
        <v>0.7406923402999849</v>
      </c>
      <c r="U39" s="472">
        <v>0.9367063626467436</v>
      </c>
      <c r="V39" s="472">
        <v>0.4414371064285865</v>
      </c>
      <c r="W39" s="472">
        <v>1.535450349137559</v>
      </c>
      <c r="X39" s="472">
        <v>1.5109006356649752</v>
      </c>
      <c r="Y39" s="472">
        <v>1.9223143992006553</v>
      </c>
      <c r="Z39" s="472">
        <v>50.59685904099384</v>
      </c>
      <c r="AA39" s="448"/>
      <c r="AB39" s="473">
        <v>-2.736726926337411</v>
      </c>
      <c r="AC39" s="473">
        <v>0.002873455740466768</v>
      </c>
      <c r="AD39" s="473">
        <v>-0.010679024622359257</v>
      </c>
      <c r="AE39" s="473">
        <v>0.024315686108505097</v>
      </c>
      <c r="AF39" s="473">
        <v>0.02947151637638412</v>
      </c>
      <c r="AG39" s="473">
        <v>0.19819713299021702</v>
      </c>
      <c r="AH39" s="473">
        <v>0.013348015814702796</v>
      </c>
      <c r="AI39" s="473">
        <v>1.2529788514032751</v>
      </c>
      <c r="AJ39" s="473">
        <v>0.6522151082033152</v>
      </c>
      <c r="AK39" s="473">
        <v>0.5076262237294304</v>
      </c>
      <c r="AL39" s="473">
        <v>5.919102362666472</v>
      </c>
    </row>
    <row r="40" ht="15.75" customHeight="1">
      <c r="A40" s="220"/>
      <c r="B40" s="469">
        <v>32.0</v>
      </c>
      <c r="C40" s="469" t="s">
        <v>1906</v>
      </c>
      <c r="D40" s="472">
        <v>57.284976023283804</v>
      </c>
      <c r="E40" s="472">
        <v>0.5377038628242439</v>
      </c>
      <c r="F40" s="472">
        <v>0.5926735582188806</v>
      </c>
      <c r="G40" s="472">
        <v>0.38868430533731335</v>
      </c>
      <c r="H40" s="472">
        <v>0.7752569539292408</v>
      </c>
      <c r="I40" s="472">
        <v>0.8004561196764188</v>
      </c>
      <c r="J40" s="472">
        <v>0.48921322683407903</v>
      </c>
      <c r="K40" s="472">
        <v>0.2824714977342839</v>
      </c>
      <c r="L40" s="472">
        <v>1.5281482765230792</v>
      </c>
      <c r="M40" s="472">
        <v>2.072613882487453</v>
      </c>
      <c r="N40" s="472">
        <v>50.3340134071755</v>
      </c>
      <c r="O40" s="448"/>
      <c r="P40" s="472">
        <v>52.382158403408056</v>
      </c>
      <c r="Q40" s="472">
        <v>0.4966050854999721</v>
      </c>
      <c r="R40" s="472">
        <v>0.5210275525964929</v>
      </c>
      <c r="S40" s="472">
        <v>0.36884687908098274</v>
      </c>
      <c r="T40" s="472">
        <v>0.7610366657240838</v>
      </c>
      <c r="U40" s="472">
        <v>0.9586545739443664</v>
      </c>
      <c r="V40" s="472">
        <v>0.45488244758110813</v>
      </c>
      <c r="W40" s="472">
        <v>2.2540651584776366</v>
      </c>
      <c r="X40" s="472">
        <v>2.0570806509855317</v>
      </c>
      <c r="Y40" s="472">
        <v>2.4849769012640235</v>
      </c>
      <c r="Z40" s="472">
        <v>53.23820313545296</v>
      </c>
      <c r="AA40" s="448"/>
      <c r="AB40" s="473">
        <v>-4.902817619875748</v>
      </c>
      <c r="AC40" s="473">
        <v>-0.04109877732427175</v>
      </c>
      <c r="AD40" s="473">
        <v>-0.07164600562238765</v>
      </c>
      <c r="AE40" s="473">
        <v>-0.019837426256330615</v>
      </c>
      <c r="AF40" s="473">
        <v>-0.014220288205156972</v>
      </c>
      <c r="AG40" s="473">
        <v>0.15819845426794754</v>
      </c>
      <c r="AH40" s="473">
        <v>-0.0343307792529709</v>
      </c>
      <c r="AI40" s="473">
        <v>1.9715936607433526</v>
      </c>
      <c r="AJ40" s="473">
        <v>0.5289323744624526</v>
      </c>
      <c r="AK40" s="473">
        <v>0.41236301877657056</v>
      </c>
      <c r="AL40" s="473">
        <v>2.9041897282774656</v>
      </c>
    </row>
    <row r="41" ht="15.75" customHeight="1">
      <c r="A41" s="220"/>
      <c r="B41" s="469">
        <v>33.0</v>
      </c>
      <c r="C41" s="469" t="s">
        <v>1907</v>
      </c>
      <c r="D41" s="472">
        <v>66.03485313040116</v>
      </c>
      <c r="E41" s="472">
        <v>0.5246404725270698</v>
      </c>
      <c r="F41" s="472">
        <v>0.5941783705689946</v>
      </c>
      <c r="G41" s="472">
        <v>0.3936236292884014</v>
      </c>
      <c r="H41" s="472">
        <v>0.7564238375443609</v>
      </c>
      <c r="I41" s="472">
        <v>0.7830396614568671</v>
      </c>
      <c r="J41" s="472">
        <v>0.4717662271004985</v>
      </c>
      <c r="K41" s="472">
        <v>0.2824714977342839</v>
      </c>
      <c r="L41" s="472">
        <v>1.3231366487617229</v>
      </c>
      <c r="M41" s="472">
        <v>1.871135278441833</v>
      </c>
      <c r="N41" s="472">
        <v>51.49692241619607</v>
      </c>
      <c r="O41" s="448"/>
      <c r="P41" s="472">
        <v>55.787045443931525</v>
      </c>
      <c r="Q41" s="472">
        <v>0.4590675006777632</v>
      </c>
      <c r="R41" s="472">
        <v>0.5412024702392986</v>
      </c>
      <c r="S41" s="472">
        <v>0.3541274447818052</v>
      </c>
      <c r="T41" s="472">
        <v>0.7053572263610833</v>
      </c>
      <c r="U41" s="472">
        <v>0.8993011520099972</v>
      </c>
      <c r="V41" s="472">
        <v>0.418842328777324</v>
      </c>
      <c r="W41" s="472">
        <v>0.2598808003089476</v>
      </c>
      <c r="X41" s="472">
        <v>0.5414096278725873</v>
      </c>
      <c r="Y41" s="472">
        <v>0.9235663292035381</v>
      </c>
      <c r="Z41" s="472">
        <v>48.80341122088912</v>
      </c>
      <c r="AA41" s="448"/>
      <c r="AB41" s="473">
        <v>-10.247807686469635</v>
      </c>
      <c r="AC41" s="473">
        <v>-0.0655729718493066</v>
      </c>
      <c r="AD41" s="473">
        <v>-0.05297590032969601</v>
      </c>
      <c r="AE41" s="473">
        <v>-0.0394961845065962</v>
      </c>
      <c r="AF41" s="473">
        <v>-0.0510666111832776</v>
      </c>
      <c r="AG41" s="473">
        <v>0.11626149055313006</v>
      </c>
      <c r="AH41" s="473">
        <v>-0.052923898323174456</v>
      </c>
      <c r="AI41" s="473">
        <v>-0.022590697425336315</v>
      </c>
      <c r="AJ41" s="473">
        <v>-0.7817270208891356</v>
      </c>
      <c r="AK41" s="473">
        <v>-0.9475689492382948</v>
      </c>
      <c r="AL41" s="473">
        <v>-2.6935111953069537</v>
      </c>
    </row>
    <row r="42" ht="15.75" customHeight="1">
      <c r="A42" s="220"/>
      <c r="B42" s="172" t="s">
        <v>1910</v>
      </c>
      <c r="C42" s="474"/>
      <c r="D42" s="475">
        <f t="shared" ref="D42:N42" si="1">SUM(D9:D41)</f>
        <v>2133.0181</v>
      </c>
      <c r="E42" s="475">
        <f t="shared" si="1"/>
        <v>16.8633</v>
      </c>
      <c r="F42" s="475">
        <f t="shared" si="1"/>
        <v>19.0583</v>
      </c>
      <c r="G42" s="475">
        <f t="shared" si="1"/>
        <v>13.0762</v>
      </c>
      <c r="H42" s="475">
        <f t="shared" si="1"/>
        <v>24.4164</v>
      </c>
      <c r="I42" s="475">
        <f t="shared" si="1"/>
        <v>25.3534</v>
      </c>
      <c r="J42" s="475">
        <f t="shared" si="1"/>
        <v>15.1293</v>
      </c>
      <c r="K42" s="475">
        <f t="shared" si="1"/>
        <v>31.3596</v>
      </c>
      <c r="L42" s="475">
        <f t="shared" si="1"/>
        <v>51.7728</v>
      </c>
      <c r="M42" s="475">
        <f t="shared" si="1"/>
        <v>70.0699</v>
      </c>
      <c r="N42" s="475">
        <f t="shared" si="1"/>
        <v>1629.8683</v>
      </c>
      <c r="O42" s="448"/>
      <c r="P42" s="476">
        <f t="shared" ref="P42:Z42" si="2">SUM(P9:P41)</f>
        <v>2246.742591</v>
      </c>
      <c r="Q42" s="476">
        <f t="shared" si="2"/>
        <v>36.08563658</v>
      </c>
      <c r="R42" s="476">
        <f t="shared" si="2"/>
        <v>29.87201835</v>
      </c>
      <c r="S42" s="476">
        <f t="shared" si="2"/>
        <v>25.38117395</v>
      </c>
      <c r="T42" s="476">
        <f t="shared" si="2"/>
        <v>37.5411136</v>
      </c>
      <c r="U42" s="476">
        <f t="shared" si="2"/>
        <v>42.97300014</v>
      </c>
      <c r="V42" s="476">
        <f t="shared" si="2"/>
        <v>22.83401443</v>
      </c>
      <c r="W42" s="476">
        <f t="shared" si="2"/>
        <v>21.62342781</v>
      </c>
      <c r="X42" s="476">
        <f t="shared" si="2"/>
        <v>50.91455524</v>
      </c>
      <c r="Y42" s="476">
        <f t="shared" si="2"/>
        <v>72.29448128</v>
      </c>
      <c r="Z42" s="476">
        <f t="shared" si="2"/>
        <v>1944.875247</v>
      </c>
      <c r="AA42" s="448"/>
      <c r="AB42" s="477">
        <f t="shared" ref="AB42:AL42" si="3">SUM(AB9:AB41)</f>
        <v>113.7244911</v>
      </c>
      <c r="AC42" s="477">
        <f t="shared" si="3"/>
        <v>19.22233658</v>
      </c>
      <c r="AD42" s="477">
        <f t="shared" si="3"/>
        <v>10.81371835</v>
      </c>
      <c r="AE42" s="477">
        <f t="shared" si="3"/>
        <v>12.30497395</v>
      </c>
      <c r="AF42" s="477">
        <f t="shared" si="3"/>
        <v>13.1247136</v>
      </c>
      <c r="AG42" s="477">
        <f t="shared" si="3"/>
        <v>17.61960014</v>
      </c>
      <c r="AH42" s="477">
        <f t="shared" si="3"/>
        <v>7.704714431</v>
      </c>
      <c r="AI42" s="477">
        <f t="shared" si="3"/>
        <v>-9.736172188</v>
      </c>
      <c r="AJ42" s="477">
        <f t="shared" si="3"/>
        <v>-0.8582447646</v>
      </c>
      <c r="AK42" s="477">
        <f t="shared" si="3"/>
        <v>2.224581285</v>
      </c>
      <c r="AL42" s="477">
        <f t="shared" si="3"/>
        <v>315.0069466</v>
      </c>
    </row>
    <row r="43" ht="15.75" customHeight="1">
      <c r="A43" s="22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</row>
    <row r="44" ht="15.75" hidden="1" customHeight="1">
      <c r="A44" s="220"/>
      <c r="B44" s="464" t="s">
        <v>1911</v>
      </c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</row>
    <row r="45" ht="15.75" hidden="1" customHeight="1">
      <c r="A45" s="220"/>
      <c r="B45" s="438" t="s">
        <v>1912</v>
      </c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</row>
    <row r="46" ht="15.75" hidden="1" customHeight="1">
      <c r="A46" s="220"/>
      <c r="B46" s="438" t="s">
        <v>1913</v>
      </c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</row>
    <row r="47" ht="15.75" hidden="1" customHeight="1">
      <c r="A47" s="220"/>
      <c r="B47" s="438" t="s">
        <v>1914</v>
      </c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</row>
    <row r="48" ht="15.75" hidden="1" customHeight="1">
      <c r="A48" s="220"/>
      <c r="B48" s="438" t="s">
        <v>1915</v>
      </c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  <c r="AA48" s="220"/>
      <c r="AB48" s="220"/>
      <c r="AC48" s="220"/>
      <c r="AD48" s="220"/>
      <c r="AE48" s="220"/>
      <c r="AF48" s="220"/>
      <c r="AG48" s="220"/>
      <c r="AH48" s="220"/>
      <c r="AI48" s="220"/>
      <c r="AJ48" s="220"/>
      <c r="AK48" s="220"/>
      <c r="AL48" s="220"/>
    </row>
    <row r="49" ht="15.75" hidden="1" customHeight="1">
      <c r="A49" s="220"/>
      <c r="B49" s="438" t="s">
        <v>1916</v>
      </c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  <c r="AA49" s="220"/>
      <c r="AB49" s="220"/>
      <c r="AC49" s="220"/>
      <c r="AD49" s="220"/>
      <c r="AE49" s="220"/>
      <c r="AF49" s="220"/>
      <c r="AG49" s="220"/>
      <c r="AH49" s="220"/>
      <c r="AI49" s="220"/>
      <c r="AJ49" s="220"/>
      <c r="AK49" s="220"/>
      <c r="AL49" s="220"/>
    </row>
    <row r="50" ht="15.75" customHeight="1">
      <c r="A50" s="220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  <c r="AA50" s="220"/>
      <c r="AB50" s="220"/>
      <c r="AC50" s="220"/>
      <c r="AD50" s="220"/>
      <c r="AE50" s="220"/>
      <c r="AF50" s="220"/>
      <c r="AG50" s="220"/>
      <c r="AH50" s="220"/>
      <c r="AI50" s="220"/>
      <c r="AJ50" s="220"/>
      <c r="AK50" s="220"/>
      <c r="AL50" s="220"/>
    </row>
    <row r="51" ht="15.75" customHeight="1">
      <c r="A51" s="220"/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  <c r="AA51" s="220"/>
      <c r="AB51" s="220"/>
      <c r="AC51" s="220"/>
      <c r="AD51" s="220"/>
      <c r="AE51" s="220"/>
      <c r="AF51" s="220"/>
      <c r="AG51" s="220"/>
      <c r="AH51" s="220"/>
      <c r="AI51" s="220"/>
      <c r="AJ51" s="220"/>
      <c r="AK51" s="220"/>
      <c r="AL51" s="220"/>
    </row>
    <row r="52" ht="15.75" customHeight="1">
      <c r="A52" s="22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  <c r="AA52" s="220"/>
      <c r="AB52" s="220"/>
      <c r="AC52" s="220"/>
      <c r="AD52" s="220"/>
      <c r="AE52" s="220"/>
      <c r="AF52" s="220"/>
      <c r="AG52" s="220"/>
      <c r="AH52" s="220"/>
      <c r="AI52" s="220"/>
      <c r="AJ52" s="220"/>
      <c r="AK52" s="220"/>
      <c r="AL52" s="220"/>
    </row>
    <row r="53" ht="15.75" customHeight="1">
      <c r="A53" s="220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0"/>
      <c r="AA53" s="220"/>
      <c r="AB53" s="220"/>
      <c r="AC53" s="220"/>
      <c r="AD53" s="220"/>
      <c r="AE53" s="220"/>
      <c r="AF53" s="220"/>
      <c r="AG53" s="220"/>
      <c r="AH53" s="220"/>
      <c r="AI53" s="220"/>
      <c r="AJ53" s="220"/>
      <c r="AK53" s="220"/>
      <c r="AL53" s="220"/>
    </row>
    <row r="54" ht="15.75" customHeight="1">
      <c r="A54" s="22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  <c r="AA54" s="220"/>
      <c r="AB54" s="220"/>
      <c r="AC54" s="220"/>
      <c r="AD54" s="220"/>
      <c r="AE54" s="220"/>
      <c r="AF54" s="220"/>
      <c r="AG54" s="220"/>
      <c r="AH54" s="220"/>
      <c r="AI54" s="220"/>
      <c r="AJ54" s="220"/>
      <c r="AK54" s="220"/>
      <c r="AL54" s="220"/>
    </row>
    <row r="55" ht="15.75" customHeight="1">
      <c r="A55" s="220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0"/>
      <c r="AB55" s="220"/>
      <c r="AC55" s="220"/>
      <c r="AD55" s="220"/>
      <c r="AE55" s="220"/>
      <c r="AF55" s="220"/>
      <c r="AG55" s="220"/>
      <c r="AH55" s="220"/>
      <c r="AI55" s="220"/>
      <c r="AJ55" s="220"/>
      <c r="AK55" s="220"/>
      <c r="AL55" s="220"/>
    </row>
    <row r="56" ht="15.75" customHeight="1">
      <c r="A56" s="22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0"/>
      <c r="AA56" s="220"/>
      <c r="AB56" s="220"/>
      <c r="AC56" s="220"/>
      <c r="AD56" s="220"/>
      <c r="AE56" s="220"/>
      <c r="AF56" s="220"/>
      <c r="AG56" s="220"/>
      <c r="AH56" s="220"/>
      <c r="AI56" s="220"/>
      <c r="AJ56" s="220"/>
      <c r="AK56" s="220"/>
      <c r="AL56" s="220"/>
    </row>
    <row r="57" ht="15.75" customHeight="1">
      <c r="A57" s="220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  <c r="AA57" s="220"/>
      <c r="AB57" s="220"/>
      <c r="AC57" s="220"/>
      <c r="AD57" s="220"/>
      <c r="AE57" s="220"/>
      <c r="AF57" s="220"/>
      <c r="AG57" s="220"/>
      <c r="AH57" s="220"/>
      <c r="AI57" s="220"/>
      <c r="AJ57" s="220"/>
      <c r="AK57" s="220"/>
      <c r="AL57" s="220"/>
    </row>
    <row r="58" ht="15.75" customHeight="1">
      <c r="A58" s="22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  <c r="AC58" s="220"/>
      <c r="AD58" s="220"/>
      <c r="AE58" s="220"/>
      <c r="AF58" s="220"/>
      <c r="AG58" s="220"/>
      <c r="AH58" s="220"/>
      <c r="AI58" s="220"/>
      <c r="AJ58" s="220"/>
      <c r="AK58" s="220"/>
      <c r="AL58" s="220"/>
    </row>
    <row r="59" ht="15.75" customHeight="1">
      <c r="A59" s="220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20"/>
      <c r="AC59" s="220"/>
      <c r="AD59" s="220"/>
      <c r="AE59" s="220"/>
      <c r="AF59" s="220"/>
      <c r="AG59" s="220"/>
      <c r="AH59" s="220"/>
      <c r="AI59" s="220"/>
      <c r="AJ59" s="220"/>
      <c r="AK59" s="220"/>
      <c r="AL59" s="220"/>
    </row>
    <row r="60" ht="15.75" customHeight="1">
      <c r="A60" s="220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0"/>
      <c r="AB60" s="220"/>
      <c r="AC60" s="220"/>
      <c r="AD60" s="220"/>
      <c r="AE60" s="220"/>
      <c r="AF60" s="220"/>
      <c r="AG60" s="220"/>
      <c r="AH60" s="220"/>
      <c r="AI60" s="220"/>
      <c r="AJ60" s="220"/>
      <c r="AK60" s="220"/>
      <c r="AL60" s="220"/>
    </row>
    <row r="61" ht="15.75" customHeight="1">
      <c r="A61" s="22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0"/>
      <c r="AB61" s="220"/>
      <c r="AC61" s="220"/>
      <c r="AD61" s="220"/>
      <c r="AE61" s="220"/>
      <c r="AF61" s="220"/>
      <c r="AG61" s="220"/>
      <c r="AH61" s="220"/>
      <c r="AI61" s="220"/>
      <c r="AJ61" s="220"/>
      <c r="AK61" s="220"/>
      <c r="AL61" s="220"/>
    </row>
    <row r="62" ht="15.75" customHeight="1">
      <c r="A62" s="220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  <c r="AA62" s="220"/>
      <c r="AB62" s="220"/>
      <c r="AC62" s="220"/>
      <c r="AD62" s="220"/>
      <c r="AE62" s="220"/>
      <c r="AF62" s="220"/>
      <c r="AG62" s="220"/>
      <c r="AH62" s="220"/>
      <c r="AI62" s="220"/>
      <c r="AJ62" s="220"/>
      <c r="AK62" s="220"/>
      <c r="AL62" s="220"/>
    </row>
    <row r="63" ht="15.75" customHeight="1">
      <c r="A63" s="22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  <c r="AB63" s="220"/>
      <c r="AC63" s="220"/>
      <c r="AD63" s="220"/>
      <c r="AE63" s="220"/>
      <c r="AF63" s="220"/>
      <c r="AG63" s="220"/>
      <c r="AH63" s="220"/>
      <c r="AI63" s="220"/>
      <c r="AJ63" s="220"/>
      <c r="AK63" s="220"/>
      <c r="AL63" s="220"/>
    </row>
    <row r="64" ht="15.75" customHeight="1">
      <c r="A64" s="220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  <c r="AD64" s="220"/>
      <c r="AE64" s="220"/>
      <c r="AF64" s="220"/>
      <c r="AG64" s="220"/>
      <c r="AH64" s="220"/>
      <c r="AI64" s="220"/>
      <c r="AJ64" s="220"/>
      <c r="AK64" s="220"/>
      <c r="AL64" s="220"/>
    </row>
    <row r="65" ht="15.75" customHeight="1">
      <c r="A65" s="220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  <c r="AA65" s="220"/>
      <c r="AB65" s="220"/>
      <c r="AC65" s="220"/>
      <c r="AD65" s="220"/>
      <c r="AE65" s="220"/>
      <c r="AF65" s="220"/>
      <c r="AG65" s="220"/>
      <c r="AH65" s="220"/>
      <c r="AI65" s="220"/>
      <c r="AJ65" s="220"/>
      <c r="AK65" s="220"/>
      <c r="AL65" s="220"/>
    </row>
    <row r="66" ht="15.75" customHeight="1">
      <c r="A66" s="220"/>
      <c r="B66" s="220"/>
      <c r="C66" s="220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0"/>
      <c r="AB66" s="220"/>
      <c r="AC66" s="220"/>
      <c r="AD66" s="220"/>
      <c r="AE66" s="220"/>
      <c r="AF66" s="220"/>
      <c r="AG66" s="220"/>
      <c r="AH66" s="220"/>
      <c r="AI66" s="220"/>
      <c r="AJ66" s="220"/>
      <c r="AK66" s="220"/>
      <c r="AL66" s="220"/>
    </row>
    <row r="67" ht="15.75" customHeight="1">
      <c r="A67" s="22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  <c r="AC67" s="220"/>
      <c r="AD67" s="220"/>
      <c r="AE67" s="220"/>
      <c r="AF67" s="220"/>
      <c r="AG67" s="220"/>
      <c r="AH67" s="220"/>
      <c r="AI67" s="220"/>
      <c r="AJ67" s="220"/>
      <c r="AK67" s="220"/>
      <c r="AL67" s="220"/>
    </row>
    <row r="68" ht="15.75" customHeight="1">
      <c r="A68" s="220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  <c r="AA68" s="220"/>
      <c r="AB68" s="220"/>
      <c r="AC68" s="220"/>
      <c r="AD68" s="220"/>
      <c r="AE68" s="220"/>
      <c r="AF68" s="220"/>
      <c r="AG68" s="220"/>
      <c r="AH68" s="220"/>
      <c r="AI68" s="220"/>
      <c r="AJ68" s="220"/>
      <c r="AK68" s="220"/>
      <c r="AL68" s="220"/>
    </row>
    <row r="69" ht="15.75" customHeight="1">
      <c r="A69" s="220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  <c r="AC69" s="220"/>
      <c r="AD69" s="220"/>
      <c r="AE69" s="220"/>
      <c r="AF69" s="220"/>
      <c r="AG69" s="220"/>
      <c r="AH69" s="220"/>
      <c r="AI69" s="220"/>
      <c r="AJ69" s="220"/>
      <c r="AK69" s="220"/>
      <c r="AL69" s="220"/>
    </row>
    <row r="70" ht="15.75" customHeight="1">
      <c r="A70" s="220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0"/>
      <c r="AA70" s="220"/>
      <c r="AB70" s="220"/>
      <c r="AC70" s="220"/>
      <c r="AD70" s="220"/>
      <c r="AE70" s="220"/>
      <c r="AF70" s="220"/>
      <c r="AG70" s="220"/>
      <c r="AH70" s="220"/>
      <c r="AI70" s="220"/>
      <c r="AJ70" s="220"/>
      <c r="AK70" s="220"/>
      <c r="AL70" s="220"/>
    </row>
    <row r="71" ht="15.75" customHeight="1">
      <c r="A71" s="22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  <c r="AA71" s="220"/>
      <c r="AB71" s="220"/>
      <c r="AC71" s="220"/>
      <c r="AD71" s="220"/>
      <c r="AE71" s="220"/>
      <c r="AF71" s="220"/>
      <c r="AG71" s="220"/>
      <c r="AH71" s="220"/>
      <c r="AI71" s="220"/>
      <c r="AJ71" s="220"/>
      <c r="AK71" s="220"/>
      <c r="AL71" s="220"/>
    </row>
    <row r="72" ht="15.75" customHeight="1">
      <c r="A72" s="220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  <c r="AC72" s="220"/>
      <c r="AD72" s="220"/>
      <c r="AE72" s="220"/>
      <c r="AF72" s="220"/>
      <c r="AG72" s="220"/>
      <c r="AH72" s="220"/>
      <c r="AI72" s="220"/>
      <c r="AJ72" s="220"/>
      <c r="AK72" s="220"/>
      <c r="AL72" s="220"/>
    </row>
    <row r="73" ht="15.75" customHeight="1">
      <c r="A73" s="220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220"/>
      <c r="AD73" s="220"/>
      <c r="AE73" s="220"/>
      <c r="AF73" s="220"/>
      <c r="AG73" s="220"/>
      <c r="AH73" s="220"/>
      <c r="AI73" s="220"/>
      <c r="AJ73" s="220"/>
      <c r="AK73" s="220"/>
      <c r="AL73" s="220"/>
    </row>
    <row r="74" ht="15.75" customHeight="1">
      <c r="A74" s="220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  <c r="AA74" s="220"/>
      <c r="AB74" s="220"/>
      <c r="AC74" s="220"/>
      <c r="AD74" s="220"/>
      <c r="AE74" s="220"/>
      <c r="AF74" s="220"/>
      <c r="AG74" s="220"/>
      <c r="AH74" s="220"/>
      <c r="AI74" s="220"/>
      <c r="AJ74" s="220"/>
      <c r="AK74" s="220"/>
      <c r="AL74" s="220"/>
    </row>
    <row r="75" ht="15.75" customHeight="1">
      <c r="A75" s="22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  <c r="AC75" s="220"/>
      <c r="AD75" s="220"/>
      <c r="AE75" s="220"/>
      <c r="AF75" s="220"/>
      <c r="AG75" s="220"/>
      <c r="AH75" s="220"/>
      <c r="AI75" s="220"/>
      <c r="AJ75" s="220"/>
      <c r="AK75" s="220"/>
      <c r="AL75" s="220"/>
    </row>
    <row r="76" ht="15.75" customHeight="1">
      <c r="A76" s="220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  <c r="AC76" s="220"/>
      <c r="AD76" s="220"/>
      <c r="AE76" s="220"/>
      <c r="AF76" s="220"/>
      <c r="AG76" s="220"/>
      <c r="AH76" s="220"/>
      <c r="AI76" s="220"/>
      <c r="AJ76" s="220"/>
      <c r="AK76" s="220"/>
      <c r="AL76" s="220"/>
    </row>
    <row r="77" ht="15.75" customHeight="1">
      <c r="A77" s="220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  <c r="AA77" s="220"/>
      <c r="AB77" s="220"/>
      <c r="AC77" s="220"/>
      <c r="AD77" s="220"/>
      <c r="AE77" s="220"/>
      <c r="AF77" s="220"/>
      <c r="AG77" s="220"/>
      <c r="AH77" s="220"/>
      <c r="AI77" s="220"/>
      <c r="AJ77" s="220"/>
      <c r="AK77" s="220"/>
      <c r="AL77" s="220"/>
    </row>
    <row r="78" ht="15.75" customHeight="1">
      <c r="A78" s="220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  <c r="AA78" s="220"/>
      <c r="AB78" s="220"/>
      <c r="AC78" s="220"/>
      <c r="AD78" s="220"/>
      <c r="AE78" s="220"/>
      <c r="AF78" s="220"/>
      <c r="AG78" s="220"/>
      <c r="AH78" s="220"/>
      <c r="AI78" s="220"/>
      <c r="AJ78" s="220"/>
      <c r="AK78" s="220"/>
      <c r="AL78" s="220"/>
    </row>
    <row r="79" ht="15.75" customHeight="1">
      <c r="A79" s="22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  <c r="AA79" s="220"/>
      <c r="AB79" s="220"/>
      <c r="AC79" s="220"/>
      <c r="AD79" s="220"/>
      <c r="AE79" s="220"/>
      <c r="AF79" s="220"/>
      <c r="AG79" s="220"/>
      <c r="AH79" s="220"/>
      <c r="AI79" s="220"/>
      <c r="AJ79" s="220"/>
      <c r="AK79" s="220"/>
      <c r="AL79" s="220"/>
    </row>
    <row r="80" ht="15.75" customHeight="1">
      <c r="A80" s="220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220"/>
      <c r="AD80" s="220"/>
      <c r="AE80" s="220"/>
      <c r="AF80" s="220"/>
      <c r="AG80" s="220"/>
      <c r="AH80" s="220"/>
      <c r="AI80" s="220"/>
      <c r="AJ80" s="220"/>
      <c r="AK80" s="220"/>
      <c r="AL80" s="220"/>
    </row>
    <row r="81" ht="15.75" customHeight="1">
      <c r="A81" s="220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  <c r="AA81" s="220"/>
      <c r="AB81" s="220"/>
      <c r="AC81" s="220"/>
      <c r="AD81" s="220"/>
      <c r="AE81" s="220"/>
      <c r="AF81" s="220"/>
      <c r="AG81" s="220"/>
      <c r="AH81" s="220"/>
      <c r="AI81" s="220"/>
      <c r="AJ81" s="220"/>
      <c r="AK81" s="220"/>
      <c r="AL81" s="220"/>
    </row>
    <row r="82" ht="15.75" customHeight="1">
      <c r="A82" s="220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  <c r="AA82" s="220"/>
      <c r="AB82" s="220"/>
      <c r="AC82" s="220"/>
      <c r="AD82" s="220"/>
      <c r="AE82" s="220"/>
      <c r="AF82" s="220"/>
      <c r="AG82" s="220"/>
      <c r="AH82" s="220"/>
      <c r="AI82" s="220"/>
      <c r="AJ82" s="220"/>
      <c r="AK82" s="220"/>
      <c r="AL82" s="220"/>
    </row>
    <row r="83" ht="15.75" customHeight="1">
      <c r="A83" s="22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  <c r="AA83" s="220"/>
      <c r="AB83" s="220"/>
      <c r="AC83" s="220"/>
      <c r="AD83" s="220"/>
      <c r="AE83" s="220"/>
      <c r="AF83" s="220"/>
      <c r="AG83" s="220"/>
      <c r="AH83" s="220"/>
      <c r="AI83" s="220"/>
      <c r="AJ83" s="220"/>
      <c r="AK83" s="220"/>
      <c r="AL83" s="220"/>
    </row>
    <row r="84" ht="15.75" customHeight="1">
      <c r="A84" s="220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  <c r="AC84" s="220"/>
      <c r="AD84" s="220"/>
      <c r="AE84" s="220"/>
      <c r="AF84" s="220"/>
      <c r="AG84" s="220"/>
      <c r="AH84" s="220"/>
      <c r="AI84" s="220"/>
      <c r="AJ84" s="220"/>
      <c r="AK84" s="220"/>
      <c r="AL84" s="220"/>
    </row>
    <row r="85" ht="15.75" customHeight="1">
      <c r="A85" s="220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  <c r="AC85" s="220"/>
      <c r="AD85" s="220"/>
      <c r="AE85" s="220"/>
      <c r="AF85" s="220"/>
      <c r="AG85" s="220"/>
      <c r="AH85" s="220"/>
      <c r="AI85" s="220"/>
      <c r="AJ85" s="220"/>
      <c r="AK85" s="220"/>
      <c r="AL85" s="220"/>
    </row>
    <row r="86" ht="15.75" customHeight="1">
      <c r="A86" s="220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  <c r="AD86" s="220"/>
      <c r="AE86" s="220"/>
      <c r="AF86" s="220"/>
      <c r="AG86" s="220"/>
      <c r="AH86" s="220"/>
      <c r="AI86" s="220"/>
      <c r="AJ86" s="220"/>
      <c r="AK86" s="220"/>
      <c r="AL86" s="220"/>
    </row>
    <row r="87" ht="15.75" customHeight="1">
      <c r="A87" s="22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  <c r="AC87" s="220"/>
      <c r="AD87" s="220"/>
      <c r="AE87" s="220"/>
      <c r="AF87" s="220"/>
      <c r="AG87" s="220"/>
      <c r="AH87" s="220"/>
      <c r="AI87" s="220"/>
      <c r="AJ87" s="220"/>
      <c r="AK87" s="220"/>
      <c r="AL87" s="220"/>
    </row>
    <row r="88" ht="15.75" customHeight="1">
      <c r="A88" s="220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  <c r="AC88" s="220"/>
      <c r="AD88" s="220"/>
      <c r="AE88" s="220"/>
      <c r="AF88" s="220"/>
      <c r="AG88" s="220"/>
      <c r="AH88" s="220"/>
      <c r="AI88" s="220"/>
      <c r="AJ88" s="220"/>
      <c r="AK88" s="220"/>
      <c r="AL88" s="220"/>
    </row>
    <row r="89" ht="15.75" customHeight="1">
      <c r="A89" s="220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  <c r="AC89" s="220"/>
      <c r="AD89" s="220"/>
      <c r="AE89" s="220"/>
      <c r="AF89" s="220"/>
      <c r="AG89" s="220"/>
      <c r="AH89" s="220"/>
      <c r="AI89" s="220"/>
      <c r="AJ89" s="220"/>
      <c r="AK89" s="220"/>
      <c r="AL89" s="220"/>
    </row>
    <row r="90" ht="15.75" customHeight="1">
      <c r="A90" s="220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  <c r="AC90" s="220"/>
      <c r="AD90" s="220"/>
      <c r="AE90" s="220"/>
      <c r="AF90" s="220"/>
      <c r="AG90" s="220"/>
      <c r="AH90" s="220"/>
      <c r="AI90" s="220"/>
      <c r="AJ90" s="220"/>
      <c r="AK90" s="220"/>
      <c r="AL90" s="220"/>
    </row>
    <row r="91" ht="15.75" customHeight="1">
      <c r="A91" s="22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  <c r="AC91" s="220"/>
      <c r="AD91" s="220"/>
      <c r="AE91" s="220"/>
      <c r="AF91" s="220"/>
      <c r="AG91" s="220"/>
      <c r="AH91" s="220"/>
      <c r="AI91" s="220"/>
      <c r="AJ91" s="220"/>
      <c r="AK91" s="220"/>
      <c r="AL91" s="220"/>
    </row>
    <row r="92" ht="15.75" customHeight="1">
      <c r="A92" s="220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  <c r="AA92" s="220"/>
      <c r="AB92" s="220"/>
      <c r="AC92" s="220"/>
      <c r="AD92" s="220"/>
      <c r="AE92" s="220"/>
      <c r="AF92" s="220"/>
      <c r="AG92" s="220"/>
      <c r="AH92" s="220"/>
      <c r="AI92" s="220"/>
      <c r="AJ92" s="220"/>
      <c r="AK92" s="220"/>
      <c r="AL92" s="220"/>
    </row>
    <row r="93" ht="15.75" customHeight="1">
      <c r="A93" s="220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  <c r="AA93" s="220"/>
      <c r="AB93" s="220"/>
      <c r="AC93" s="220"/>
      <c r="AD93" s="220"/>
      <c r="AE93" s="220"/>
      <c r="AF93" s="220"/>
      <c r="AG93" s="220"/>
      <c r="AH93" s="220"/>
      <c r="AI93" s="220"/>
      <c r="AJ93" s="220"/>
      <c r="AK93" s="220"/>
      <c r="AL93" s="220"/>
    </row>
    <row r="94" ht="15.75" customHeight="1">
      <c r="A94" s="220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/>
      <c r="AB94" s="220"/>
      <c r="AC94" s="220"/>
      <c r="AD94" s="220"/>
      <c r="AE94" s="220"/>
      <c r="AF94" s="220"/>
      <c r="AG94" s="220"/>
      <c r="AH94" s="220"/>
      <c r="AI94" s="220"/>
      <c r="AJ94" s="220"/>
      <c r="AK94" s="220"/>
      <c r="AL94" s="220"/>
    </row>
    <row r="95" ht="15.75" customHeight="1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  <c r="AA95" s="220"/>
      <c r="AB95" s="220"/>
      <c r="AC95" s="220"/>
      <c r="AD95" s="220"/>
      <c r="AE95" s="220"/>
      <c r="AF95" s="220"/>
      <c r="AG95" s="220"/>
      <c r="AH95" s="220"/>
      <c r="AI95" s="220"/>
      <c r="AJ95" s="220"/>
      <c r="AK95" s="220"/>
      <c r="AL95" s="220"/>
    </row>
    <row r="96" ht="15.75" customHeight="1">
      <c r="A96" s="220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  <c r="AA96" s="220"/>
      <c r="AB96" s="220"/>
      <c r="AC96" s="220"/>
      <c r="AD96" s="220"/>
      <c r="AE96" s="220"/>
      <c r="AF96" s="220"/>
      <c r="AG96" s="220"/>
      <c r="AH96" s="220"/>
      <c r="AI96" s="220"/>
      <c r="AJ96" s="220"/>
      <c r="AK96" s="220"/>
      <c r="AL96" s="220"/>
    </row>
    <row r="97" ht="15.75" customHeight="1">
      <c r="A97" s="220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  <c r="AA97" s="220"/>
      <c r="AB97" s="220"/>
      <c r="AC97" s="220"/>
      <c r="AD97" s="220"/>
      <c r="AE97" s="220"/>
      <c r="AF97" s="220"/>
      <c r="AG97" s="220"/>
      <c r="AH97" s="220"/>
      <c r="AI97" s="220"/>
      <c r="AJ97" s="220"/>
      <c r="AK97" s="220"/>
      <c r="AL97" s="220"/>
    </row>
    <row r="98" ht="15.75" customHeight="1">
      <c r="A98" s="220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  <c r="AA98" s="220"/>
      <c r="AB98" s="220"/>
      <c r="AC98" s="220"/>
      <c r="AD98" s="220"/>
      <c r="AE98" s="220"/>
      <c r="AF98" s="220"/>
      <c r="AG98" s="220"/>
      <c r="AH98" s="220"/>
      <c r="AI98" s="220"/>
      <c r="AJ98" s="220"/>
      <c r="AK98" s="220"/>
      <c r="AL98" s="220"/>
    </row>
    <row r="99" ht="15.75" customHeight="1">
      <c r="A99" s="22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0"/>
      <c r="AA99" s="220"/>
      <c r="AB99" s="220"/>
      <c r="AC99" s="220"/>
      <c r="AD99" s="220"/>
      <c r="AE99" s="220"/>
      <c r="AF99" s="220"/>
      <c r="AG99" s="220"/>
      <c r="AH99" s="220"/>
      <c r="AI99" s="220"/>
      <c r="AJ99" s="220"/>
      <c r="AK99" s="220"/>
      <c r="AL99" s="220"/>
    </row>
    <row r="100" ht="15.75" customHeight="1">
      <c r="A100" s="220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0"/>
      <c r="AA100" s="220"/>
      <c r="AB100" s="220"/>
      <c r="AC100" s="220"/>
      <c r="AD100" s="220"/>
      <c r="AE100" s="220"/>
      <c r="AF100" s="220"/>
      <c r="AG100" s="220"/>
      <c r="AH100" s="220"/>
      <c r="AI100" s="220"/>
      <c r="AJ100" s="220"/>
      <c r="AK100" s="220"/>
      <c r="AL100" s="220"/>
    </row>
    <row r="101" ht="15.75" customHeight="1">
      <c r="A101" s="220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0"/>
      <c r="AA101" s="220"/>
      <c r="AB101" s="220"/>
      <c r="AC101" s="220"/>
      <c r="AD101" s="220"/>
      <c r="AE101" s="220"/>
      <c r="AF101" s="220"/>
      <c r="AG101" s="220"/>
      <c r="AH101" s="220"/>
      <c r="AI101" s="220"/>
      <c r="AJ101" s="220"/>
      <c r="AK101" s="220"/>
      <c r="AL101" s="220"/>
    </row>
    <row r="102" ht="15.75" customHeight="1">
      <c r="A102" s="220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0"/>
      <c r="AA102" s="220"/>
      <c r="AB102" s="220"/>
      <c r="AC102" s="220"/>
      <c r="AD102" s="220"/>
      <c r="AE102" s="220"/>
      <c r="AF102" s="220"/>
      <c r="AG102" s="220"/>
      <c r="AH102" s="220"/>
      <c r="AI102" s="220"/>
      <c r="AJ102" s="220"/>
      <c r="AK102" s="220"/>
      <c r="AL102" s="220"/>
    </row>
    <row r="103" ht="15.75" customHeight="1">
      <c r="A103" s="22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0"/>
      <c r="AA103" s="220"/>
      <c r="AB103" s="220"/>
      <c r="AC103" s="220"/>
      <c r="AD103" s="220"/>
      <c r="AE103" s="220"/>
      <c r="AF103" s="220"/>
      <c r="AG103" s="220"/>
      <c r="AH103" s="220"/>
      <c r="AI103" s="220"/>
      <c r="AJ103" s="220"/>
      <c r="AK103" s="220"/>
      <c r="AL103" s="220"/>
    </row>
    <row r="104" ht="15.75" customHeight="1">
      <c r="A104" s="220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0"/>
      <c r="AA104" s="220"/>
      <c r="AB104" s="220"/>
      <c r="AC104" s="220"/>
      <c r="AD104" s="220"/>
      <c r="AE104" s="220"/>
      <c r="AF104" s="220"/>
      <c r="AG104" s="220"/>
      <c r="AH104" s="220"/>
      <c r="AI104" s="220"/>
      <c r="AJ104" s="220"/>
      <c r="AK104" s="220"/>
      <c r="AL104" s="220"/>
    </row>
    <row r="105" ht="15.75" customHeight="1">
      <c r="A105" s="220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0"/>
      <c r="AA105" s="220"/>
      <c r="AB105" s="220"/>
      <c r="AC105" s="220"/>
      <c r="AD105" s="220"/>
      <c r="AE105" s="220"/>
      <c r="AF105" s="220"/>
      <c r="AG105" s="220"/>
      <c r="AH105" s="220"/>
      <c r="AI105" s="220"/>
      <c r="AJ105" s="220"/>
      <c r="AK105" s="220"/>
      <c r="AL105" s="220"/>
    </row>
    <row r="106" ht="15.75" customHeight="1">
      <c r="A106" s="220"/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  <c r="AA106" s="220"/>
      <c r="AB106" s="220"/>
      <c r="AC106" s="220"/>
      <c r="AD106" s="220"/>
      <c r="AE106" s="220"/>
      <c r="AF106" s="220"/>
      <c r="AG106" s="220"/>
      <c r="AH106" s="220"/>
      <c r="AI106" s="220"/>
      <c r="AJ106" s="220"/>
      <c r="AK106" s="220"/>
      <c r="AL106" s="220"/>
    </row>
    <row r="107" ht="15.75" customHeight="1">
      <c r="A107" s="22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0"/>
      <c r="AA107" s="220"/>
      <c r="AB107" s="220"/>
      <c r="AC107" s="220"/>
      <c r="AD107" s="220"/>
      <c r="AE107" s="220"/>
      <c r="AF107" s="220"/>
      <c r="AG107" s="220"/>
      <c r="AH107" s="220"/>
      <c r="AI107" s="220"/>
      <c r="AJ107" s="220"/>
      <c r="AK107" s="220"/>
      <c r="AL107" s="220"/>
    </row>
    <row r="108" ht="15.75" customHeight="1">
      <c r="A108" s="220"/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0"/>
      <c r="AA108" s="220"/>
      <c r="AB108" s="220"/>
      <c r="AC108" s="220"/>
      <c r="AD108" s="220"/>
      <c r="AE108" s="220"/>
      <c r="AF108" s="220"/>
      <c r="AG108" s="220"/>
      <c r="AH108" s="220"/>
      <c r="AI108" s="220"/>
      <c r="AJ108" s="220"/>
      <c r="AK108" s="220"/>
      <c r="AL108" s="220"/>
    </row>
    <row r="109" ht="15.75" customHeight="1">
      <c r="A109" s="220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0"/>
      <c r="AA109" s="220"/>
      <c r="AB109" s="220"/>
      <c r="AC109" s="220"/>
      <c r="AD109" s="220"/>
      <c r="AE109" s="220"/>
      <c r="AF109" s="220"/>
      <c r="AG109" s="220"/>
      <c r="AH109" s="220"/>
      <c r="AI109" s="220"/>
      <c r="AJ109" s="220"/>
      <c r="AK109" s="220"/>
      <c r="AL109" s="220"/>
    </row>
    <row r="110" ht="15.75" customHeight="1">
      <c r="A110" s="220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0"/>
      <c r="AA110" s="220"/>
      <c r="AB110" s="220"/>
      <c r="AC110" s="220"/>
      <c r="AD110" s="220"/>
      <c r="AE110" s="220"/>
      <c r="AF110" s="220"/>
      <c r="AG110" s="220"/>
      <c r="AH110" s="220"/>
      <c r="AI110" s="220"/>
      <c r="AJ110" s="220"/>
      <c r="AK110" s="220"/>
      <c r="AL110" s="220"/>
    </row>
    <row r="111" ht="15.75" customHeight="1">
      <c r="A111" s="22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0"/>
      <c r="AA111" s="220"/>
      <c r="AB111" s="220"/>
      <c r="AC111" s="220"/>
      <c r="AD111" s="220"/>
      <c r="AE111" s="220"/>
      <c r="AF111" s="220"/>
      <c r="AG111" s="220"/>
      <c r="AH111" s="220"/>
      <c r="AI111" s="220"/>
      <c r="AJ111" s="220"/>
      <c r="AK111" s="220"/>
      <c r="AL111" s="220"/>
    </row>
    <row r="112" ht="15.75" customHeight="1">
      <c r="A112" s="220"/>
      <c r="B112" s="220"/>
      <c r="C112" s="220"/>
      <c r="D112" s="220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0"/>
      <c r="AA112" s="220"/>
      <c r="AB112" s="220"/>
      <c r="AC112" s="220"/>
      <c r="AD112" s="220"/>
      <c r="AE112" s="220"/>
      <c r="AF112" s="220"/>
      <c r="AG112" s="220"/>
      <c r="AH112" s="220"/>
      <c r="AI112" s="220"/>
      <c r="AJ112" s="220"/>
      <c r="AK112" s="220"/>
      <c r="AL112" s="220"/>
    </row>
    <row r="113" ht="15.75" customHeight="1">
      <c r="A113" s="220"/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0"/>
      <c r="AA113" s="220"/>
      <c r="AB113" s="220"/>
      <c r="AC113" s="220"/>
      <c r="AD113" s="220"/>
      <c r="AE113" s="220"/>
      <c r="AF113" s="220"/>
      <c r="AG113" s="220"/>
      <c r="AH113" s="220"/>
      <c r="AI113" s="220"/>
      <c r="AJ113" s="220"/>
      <c r="AK113" s="220"/>
      <c r="AL113" s="220"/>
    </row>
    <row r="114" ht="15.75" customHeight="1">
      <c r="A114" s="220"/>
      <c r="B114" s="220"/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0"/>
      <c r="AA114" s="220"/>
      <c r="AB114" s="220"/>
      <c r="AC114" s="220"/>
      <c r="AD114" s="220"/>
      <c r="AE114" s="220"/>
      <c r="AF114" s="220"/>
      <c r="AG114" s="220"/>
      <c r="AH114" s="220"/>
      <c r="AI114" s="220"/>
      <c r="AJ114" s="220"/>
      <c r="AK114" s="220"/>
      <c r="AL114" s="220"/>
    </row>
    <row r="115" ht="15.75" customHeight="1">
      <c r="A115" s="22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0"/>
      <c r="AA115" s="220"/>
      <c r="AB115" s="220"/>
      <c r="AC115" s="220"/>
      <c r="AD115" s="220"/>
      <c r="AE115" s="220"/>
      <c r="AF115" s="220"/>
      <c r="AG115" s="220"/>
      <c r="AH115" s="220"/>
      <c r="AI115" s="220"/>
      <c r="AJ115" s="220"/>
      <c r="AK115" s="220"/>
      <c r="AL115" s="220"/>
    </row>
    <row r="116" ht="15.75" customHeight="1">
      <c r="A116" s="220"/>
      <c r="B116" s="220"/>
      <c r="C116" s="220"/>
      <c r="D116" s="220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0"/>
      <c r="AA116" s="220"/>
      <c r="AB116" s="220"/>
      <c r="AC116" s="220"/>
      <c r="AD116" s="220"/>
      <c r="AE116" s="220"/>
      <c r="AF116" s="220"/>
      <c r="AG116" s="220"/>
      <c r="AH116" s="220"/>
      <c r="AI116" s="220"/>
      <c r="AJ116" s="220"/>
      <c r="AK116" s="220"/>
      <c r="AL116" s="220"/>
    </row>
    <row r="117" ht="15.75" customHeight="1">
      <c r="A117" s="220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0"/>
      <c r="AA117" s="220"/>
      <c r="AB117" s="220"/>
      <c r="AC117" s="220"/>
      <c r="AD117" s="220"/>
      <c r="AE117" s="220"/>
      <c r="AF117" s="220"/>
      <c r="AG117" s="220"/>
      <c r="AH117" s="220"/>
      <c r="AI117" s="220"/>
      <c r="AJ117" s="220"/>
      <c r="AK117" s="220"/>
      <c r="AL117" s="220"/>
    </row>
    <row r="118" ht="15.75" customHeight="1">
      <c r="A118" s="220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  <c r="AA118" s="220"/>
      <c r="AB118" s="220"/>
      <c r="AC118" s="220"/>
      <c r="AD118" s="220"/>
      <c r="AE118" s="220"/>
      <c r="AF118" s="220"/>
      <c r="AG118" s="220"/>
      <c r="AH118" s="220"/>
      <c r="AI118" s="220"/>
      <c r="AJ118" s="220"/>
      <c r="AK118" s="220"/>
      <c r="AL118" s="220"/>
    </row>
    <row r="119" ht="15.75" customHeight="1">
      <c r="A119" s="22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0"/>
      <c r="AA119" s="220"/>
      <c r="AB119" s="220"/>
      <c r="AC119" s="220"/>
      <c r="AD119" s="220"/>
      <c r="AE119" s="220"/>
      <c r="AF119" s="220"/>
      <c r="AG119" s="220"/>
      <c r="AH119" s="220"/>
      <c r="AI119" s="220"/>
      <c r="AJ119" s="220"/>
      <c r="AK119" s="220"/>
      <c r="AL119" s="220"/>
    </row>
    <row r="120" ht="15.75" customHeight="1">
      <c r="A120" s="220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0"/>
      <c r="AA120" s="220"/>
      <c r="AB120" s="220"/>
      <c r="AC120" s="220"/>
      <c r="AD120" s="220"/>
      <c r="AE120" s="220"/>
      <c r="AF120" s="220"/>
      <c r="AG120" s="220"/>
      <c r="AH120" s="220"/>
      <c r="AI120" s="220"/>
      <c r="AJ120" s="220"/>
      <c r="AK120" s="220"/>
      <c r="AL120" s="220"/>
    </row>
    <row r="121" ht="15.75" customHeight="1">
      <c r="A121" s="220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  <c r="AA121" s="220"/>
      <c r="AB121" s="220"/>
      <c r="AC121" s="220"/>
      <c r="AD121" s="220"/>
      <c r="AE121" s="220"/>
      <c r="AF121" s="220"/>
      <c r="AG121" s="220"/>
      <c r="AH121" s="220"/>
      <c r="AI121" s="220"/>
      <c r="AJ121" s="220"/>
      <c r="AK121" s="220"/>
      <c r="AL121" s="220"/>
    </row>
    <row r="122" ht="15.75" customHeight="1">
      <c r="A122" s="220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0"/>
      <c r="AA122" s="220"/>
      <c r="AB122" s="220"/>
      <c r="AC122" s="220"/>
      <c r="AD122" s="220"/>
      <c r="AE122" s="220"/>
      <c r="AF122" s="220"/>
      <c r="AG122" s="220"/>
      <c r="AH122" s="220"/>
      <c r="AI122" s="220"/>
      <c r="AJ122" s="220"/>
      <c r="AK122" s="220"/>
      <c r="AL122" s="220"/>
    </row>
    <row r="123" ht="15.75" customHeight="1">
      <c r="A123" s="220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  <c r="AA123" s="220"/>
      <c r="AB123" s="220"/>
      <c r="AC123" s="220"/>
      <c r="AD123" s="220"/>
      <c r="AE123" s="220"/>
      <c r="AF123" s="220"/>
      <c r="AG123" s="220"/>
      <c r="AH123" s="220"/>
      <c r="AI123" s="220"/>
      <c r="AJ123" s="220"/>
      <c r="AK123" s="220"/>
      <c r="AL123" s="220"/>
    </row>
    <row r="124" ht="15.75" customHeight="1">
      <c r="A124" s="220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0"/>
      <c r="AA124" s="220"/>
      <c r="AB124" s="220"/>
      <c r="AC124" s="220"/>
      <c r="AD124" s="220"/>
      <c r="AE124" s="220"/>
      <c r="AF124" s="220"/>
      <c r="AG124" s="220"/>
      <c r="AH124" s="220"/>
      <c r="AI124" s="220"/>
      <c r="AJ124" s="220"/>
      <c r="AK124" s="220"/>
      <c r="AL124" s="220"/>
    </row>
    <row r="125" ht="15.75" customHeight="1">
      <c r="A125" s="220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0"/>
      <c r="AA125" s="220"/>
      <c r="AB125" s="220"/>
      <c r="AC125" s="220"/>
      <c r="AD125" s="220"/>
      <c r="AE125" s="220"/>
      <c r="AF125" s="220"/>
      <c r="AG125" s="220"/>
      <c r="AH125" s="220"/>
      <c r="AI125" s="220"/>
      <c r="AJ125" s="220"/>
      <c r="AK125" s="220"/>
      <c r="AL125" s="220"/>
    </row>
    <row r="126" ht="15.75" customHeight="1">
      <c r="A126" s="220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0"/>
      <c r="AA126" s="220"/>
      <c r="AB126" s="220"/>
      <c r="AC126" s="220"/>
      <c r="AD126" s="220"/>
      <c r="AE126" s="220"/>
      <c r="AF126" s="220"/>
      <c r="AG126" s="220"/>
      <c r="AH126" s="220"/>
      <c r="AI126" s="220"/>
      <c r="AJ126" s="220"/>
      <c r="AK126" s="220"/>
      <c r="AL126" s="220"/>
    </row>
    <row r="127" ht="15.75" customHeight="1">
      <c r="A127" s="220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0"/>
      <c r="AA127" s="220"/>
      <c r="AB127" s="220"/>
      <c r="AC127" s="220"/>
      <c r="AD127" s="220"/>
      <c r="AE127" s="220"/>
      <c r="AF127" s="220"/>
      <c r="AG127" s="220"/>
      <c r="AH127" s="220"/>
      <c r="AI127" s="220"/>
      <c r="AJ127" s="220"/>
      <c r="AK127" s="220"/>
      <c r="AL127" s="220"/>
    </row>
    <row r="128" ht="15.75" customHeight="1">
      <c r="A128" s="220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0"/>
      <c r="AA128" s="220"/>
      <c r="AB128" s="220"/>
      <c r="AC128" s="220"/>
      <c r="AD128" s="220"/>
      <c r="AE128" s="220"/>
      <c r="AF128" s="220"/>
      <c r="AG128" s="220"/>
      <c r="AH128" s="220"/>
      <c r="AI128" s="220"/>
      <c r="AJ128" s="220"/>
      <c r="AK128" s="220"/>
      <c r="AL128" s="220"/>
    </row>
    <row r="129" ht="15.75" customHeight="1">
      <c r="A129" s="220"/>
      <c r="B129" s="220"/>
      <c r="C129" s="220"/>
      <c r="D129" s="220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0"/>
      <c r="AA129" s="220"/>
      <c r="AB129" s="220"/>
      <c r="AC129" s="220"/>
      <c r="AD129" s="220"/>
      <c r="AE129" s="220"/>
      <c r="AF129" s="220"/>
      <c r="AG129" s="220"/>
      <c r="AH129" s="220"/>
      <c r="AI129" s="220"/>
      <c r="AJ129" s="220"/>
      <c r="AK129" s="220"/>
      <c r="AL129" s="220"/>
    </row>
    <row r="130" ht="15.75" customHeight="1">
      <c r="A130" s="220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0"/>
      <c r="AA130" s="220"/>
      <c r="AB130" s="220"/>
      <c r="AC130" s="220"/>
      <c r="AD130" s="220"/>
      <c r="AE130" s="220"/>
      <c r="AF130" s="220"/>
      <c r="AG130" s="220"/>
      <c r="AH130" s="220"/>
      <c r="AI130" s="220"/>
      <c r="AJ130" s="220"/>
      <c r="AK130" s="220"/>
      <c r="AL130" s="220"/>
    </row>
    <row r="131" ht="15.75" customHeight="1">
      <c r="A131" s="220"/>
      <c r="B131" s="220"/>
      <c r="C131" s="220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0"/>
      <c r="AA131" s="220"/>
      <c r="AB131" s="220"/>
      <c r="AC131" s="220"/>
      <c r="AD131" s="220"/>
      <c r="AE131" s="220"/>
      <c r="AF131" s="220"/>
      <c r="AG131" s="220"/>
      <c r="AH131" s="220"/>
      <c r="AI131" s="220"/>
      <c r="AJ131" s="220"/>
      <c r="AK131" s="220"/>
      <c r="AL131" s="220"/>
    </row>
    <row r="132" ht="15.75" customHeight="1">
      <c r="A132" s="220"/>
      <c r="B132" s="220"/>
      <c r="C132" s="220"/>
      <c r="D132" s="220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0"/>
      <c r="AA132" s="220"/>
      <c r="AB132" s="220"/>
      <c r="AC132" s="220"/>
      <c r="AD132" s="220"/>
      <c r="AE132" s="220"/>
      <c r="AF132" s="220"/>
      <c r="AG132" s="220"/>
      <c r="AH132" s="220"/>
      <c r="AI132" s="220"/>
      <c r="AJ132" s="220"/>
      <c r="AK132" s="220"/>
      <c r="AL132" s="220"/>
    </row>
    <row r="133" ht="15.75" customHeight="1">
      <c r="A133" s="220"/>
      <c r="B133" s="220"/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0"/>
      <c r="AA133" s="220"/>
      <c r="AB133" s="220"/>
      <c r="AC133" s="220"/>
      <c r="AD133" s="220"/>
      <c r="AE133" s="220"/>
      <c r="AF133" s="220"/>
      <c r="AG133" s="220"/>
      <c r="AH133" s="220"/>
      <c r="AI133" s="220"/>
      <c r="AJ133" s="220"/>
      <c r="AK133" s="220"/>
      <c r="AL133" s="220"/>
    </row>
    <row r="134" ht="15.75" customHeight="1">
      <c r="A134" s="220"/>
      <c r="B134" s="220"/>
      <c r="C134" s="220"/>
      <c r="D134" s="220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0"/>
      <c r="AA134" s="220"/>
      <c r="AB134" s="220"/>
      <c r="AC134" s="220"/>
      <c r="AD134" s="220"/>
      <c r="AE134" s="220"/>
      <c r="AF134" s="220"/>
      <c r="AG134" s="220"/>
      <c r="AH134" s="220"/>
      <c r="AI134" s="220"/>
      <c r="AJ134" s="220"/>
      <c r="AK134" s="220"/>
      <c r="AL134" s="220"/>
    </row>
    <row r="135" ht="15.75" customHeight="1">
      <c r="A135" s="220"/>
      <c r="B135" s="220"/>
      <c r="C135" s="220"/>
      <c r="D135" s="220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0"/>
      <c r="AA135" s="220"/>
      <c r="AB135" s="220"/>
      <c r="AC135" s="220"/>
      <c r="AD135" s="220"/>
      <c r="AE135" s="220"/>
      <c r="AF135" s="220"/>
      <c r="AG135" s="220"/>
      <c r="AH135" s="220"/>
      <c r="AI135" s="220"/>
      <c r="AJ135" s="220"/>
      <c r="AK135" s="220"/>
      <c r="AL135" s="220"/>
    </row>
    <row r="136" ht="15.75" customHeight="1">
      <c r="A136" s="220"/>
      <c r="B136" s="220"/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0"/>
      <c r="AA136" s="220"/>
      <c r="AB136" s="220"/>
      <c r="AC136" s="220"/>
      <c r="AD136" s="220"/>
      <c r="AE136" s="220"/>
      <c r="AF136" s="220"/>
      <c r="AG136" s="220"/>
      <c r="AH136" s="220"/>
      <c r="AI136" s="220"/>
      <c r="AJ136" s="220"/>
      <c r="AK136" s="220"/>
      <c r="AL136" s="220"/>
    </row>
    <row r="137" ht="15.75" customHeight="1">
      <c r="A137" s="220"/>
      <c r="B137" s="220"/>
      <c r="C137" s="220"/>
      <c r="D137" s="220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0"/>
      <c r="AA137" s="220"/>
      <c r="AB137" s="220"/>
      <c r="AC137" s="220"/>
      <c r="AD137" s="220"/>
      <c r="AE137" s="220"/>
      <c r="AF137" s="220"/>
      <c r="AG137" s="220"/>
      <c r="AH137" s="220"/>
      <c r="AI137" s="220"/>
      <c r="AJ137" s="220"/>
      <c r="AK137" s="220"/>
      <c r="AL137" s="220"/>
    </row>
    <row r="138" ht="15.75" customHeight="1">
      <c r="A138" s="220"/>
      <c r="B138" s="220"/>
      <c r="C138" s="220"/>
      <c r="D138" s="220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0"/>
      <c r="AA138" s="220"/>
      <c r="AB138" s="220"/>
      <c r="AC138" s="220"/>
      <c r="AD138" s="220"/>
      <c r="AE138" s="220"/>
      <c r="AF138" s="220"/>
      <c r="AG138" s="220"/>
      <c r="AH138" s="220"/>
      <c r="AI138" s="220"/>
      <c r="AJ138" s="220"/>
      <c r="AK138" s="220"/>
      <c r="AL138" s="220"/>
    </row>
    <row r="139" ht="15.75" customHeight="1">
      <c r="A139" s="220"/>
      <c r="B139" s="220"/>
      <c r="C139" s="220"/>
      <c r="D139" s="220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0"/>
      <c r="AA139" s="220"/>
      <c r="AB139" s="220"/>
      <c r="AC139" s="220"/>
      <c r="AD139" s="220"/>
      <c r="AE139" s="220"/>
      <c r="AF139" s="220"/>
      <c r="AG139" s="220"/>
      <c r="AH139" s="220"/>
      <c r="AI139" s="220"/>
      <c r="AJ139" s="220"/>
      <c r="AK139" s="220"/>
      <c r="AL139" s="220"/>
    </row>
    <row r="140" ht="15.75" customHeight="1">
      <c r="A140" s="22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0"/>
      <c r="AA140" s="220"/>
      <c r="AB140" s="220"/>
      <c r="AC140" s="220"/>
      <c r="AD140" s="220"/>
      <c r="AE140" s="220"/>
      <c r="AF140" s="220"/>
      <c r="AG140" s="220"/>
      <c r="AH140" s="220"/>
      <c r="AI140" s="220"/>
      <c r="AJ140" s="220"/>
      <c r="AK140" s="220"/>
      <c r="AL140" s="220"/>
    </row>
    <row r="141" ht="15.75" customHeight="1">
      <c r="A141" s="220"/>
      <c r="B141" s="220"/>
      <c r="C141" s="220"/>
      <c r="D141" s="220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  <c r="AA141" s="220"/>
      <c r="AB141" s="220"/>
      <c r="AC141" s="220"/>
      <c r="AD141" s="220"/>
      <c r="AE141" s="220"/>
      <c r="AF141" s="220"/>
      <c r="AG141" s="220"/>
      <c r="AH141" s="220"/>
      <c r="AI141" s="220"/>
      <c r="AJ141" s="220"/>
      <c r="AK141" s="220"/>
      <c r="AL141" s="220"/>
    </row>
    <row r="142" ht="15.75" customHeight="1">
      <c r="A142" s="220"/>
      <c r="B142" s="220"/>
      <c r="C142" s="220"/>
      <c r="D142" s="220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0"/>
      <c r="AA142" s="220"/>
      <c r="AB142" s="220"/>
      <c r="AC142" s="220"/>
      <c r="AD142" s="220"/>
      <c r="AE142" s="220"/>
      <c r="AF142" s="220"/>
      <c r="AG142" s="220"/>
      <c r="AH142" s="220"/>
      <c r="AI142" s="220"/>
      <c r="AJ142" s="220"/>
      <c r="AK142" s="220"/>
      <c r="AL142" s="220"/>
    </row>
    <row r="143" ht="15.75" customHeight="1">
      <c r="A143" s="220"/>
      <c r="B143" s="220"/>
      <c r="C143" s="220"/>
      <c r="D143" s="220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0"/>
      <c r="AA143" s="220"/>
      <c r="AB143" s="220"/>
      <c r="AC143" s="220"/>
      <c r="AD143" s="220"/>
      <c r="AE143" s="220"/>
      <c r="AF143" s="220"/>
      <c r="AG143" s="220"/>
      <c r="AH143" s="220"/>
      <c r="AI143" s="220"/>
      <c r="AJ143" s="220"/>
      <c r="AK143" s="220"/>
      <c r="AL143" s="220"/>
    </row>
    <row r="144" ht="15.75" customHeight="1">
      <c r="A144" s="220"/>
      <c r="B144" s="220"/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0"/>
      <c r="AA144" s="220"/>
      <c r="AB144" s="220"/>
      <c r="AC144" s="220"/>
      <c r="AD144" s="220"/>
      <c r="AE144" s="220"/>
      <c r="AF144" s="220"/>
      <c r="AG144" s="220"/>
      <c r="AH144" s="220"/>
      <c r="AI144" s="220"/>
      <c r="AJ144" s="220"/>
      <c r="AK144" s="220"/>
      <c r="AL144" s="220"/>
    </row>
    <row r="145" ht="15.75" customHeight="1">
      <c r="A145" s="22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0"/>
      <c r="AA145" s="220"/>
      <c r="AB145" s="220"/>
      <c r="AC145" s="220"/>
      <c r="AD145" s="220"/>
      <c r="AE145" s="220"/>
      <c r="AF145" s="220"/>
      <c r="AG145" s="220"/>
      <c r="AH145" s="220"/>
      <c r="AI145" s="220"/>
      <c r="AJ145" s="220"/>
      <c r="AK145" s="220"/>
      <c r="AL145" s="220"/>
    </row>
    <row r="146" ht="15.75" customHeight="1">
      <c r="A146" s="220"/>
      <c r="B146" s="220"/>
      <c r="C146" s="220"/>
      <c r="D146" s="220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0"/>
      <c r="AA146" s="220"/>
      <c r="AB146" s="220"/>
      <c r="AC146" s="220"/>
      <c r="AD146" s="220"/>
      <c r="AE146" s="220"/>
      <c r="AF146" s="220"/>
      <c r="AG146" s="220"/>
      <c r="AH146" s="220"/>
      <c r="AI146" s="220"/>
      <c r="AJ146" s="220"/>
      <c r="AK146" s="220"/>
      <c r="AL146" s="220"/>
    </row>
    <row r="147" ht="15.75" customHeight="1">
      <c r="A147" s="220"/>
      <c r="B147" s="220"/>
      <c r="C147" s="220"/>
      <c r="D147" s="220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0"/>
      <c r="AA147" s="220"/>
      <c r="AB147" s="220"/>
      <c r="AC147" s="220"/>
      <c r="AD147" s="220"/>
      <c r="AE147" s="220"/>
      <c r="AF147" s="220"/>
      <c r="AG147" s="220"/>
      <c r="AH147" s="220"/>
      <c r="AI147" s="220"/>
      <c r="AJ147" s="220"/>
      <c r="AK147" s="220"/>
      <c r="AL147" s="220"/>
    </row>
    <row r="148" ht="15.75" customHeight="1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0"/>
      <c r="AA148" s="220"/>
      <c r="AB148" s="220"/>
      <c r="AC148" s="220"/>
      <c r="AD148" s="220"/>
      <c r="AE148" s="220"/>
      <c r="AF148" s="220"/>
      <c r="AG148" s="220"/>
      <c r="AH148" s="220"/>
      <c r="AI148" s="220"/>
      <c r="AJ148" s="220"/>
      <c r="AK148" s="220"/>
      <c r="AL148" s="220"/>
    </row>
    <row r="149" ht="15.75" customHeight="1">
      <c r="A149" s="220"/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  <c r="AA149" s="220"/>
      <c r="AB149" s="220"/>
      <c r="AC149" s="220"/>
      <c r="AD149" s="220"/>
      <c r="AE149" s="220"/>
      <c r="AF149" s="220"/>
      <c r="AG149" s="220"/>
      <c r="AH149" s="220"/>
      <c r="AI149" s="220"/>
      <c r="AJ149" s="220"/>
      <c r="AK149" s="220"/>
      <c r="AL149" s="220"/>
    </row>
    <row r="150" ht="15.75" customHeight="1">
      <c r="A150" s="220"/>
      <c r="B150" s="220"/>
      <c r="C150" s="220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0"/>
      <c r="AA150" s="220"/>
      <c r="AB150" s="220"/>
      <c r="AC150" s="220"/>
      <c r="AD150" s="220"/>
      <c r="AE150" s="220"/>
      <c r="AF150" s="220"/>
      <c r="AG150" s="220"/>
      <c r="AH150" s="220"/>
      <c r="AI150" s="220"/>
      <c r="AJ150" s="220"/>
      <c r="AK150" s="220"/>
      <c r="AL150" s="220"/>
    </row>
    <row r="151" ht="15.75" customHeight="1">
      <c r="A151" s="220"/>
      <c r="B151" s="220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0"/>
      <c r="AA151" s="220"/>
      <c r="AB151" s="220"/>
      <c r="AC151" s="220"/>
      <c r="AD151" s="220"/>
      <c r="AE151" s="220"/>
      <c r="AF151" s="220"/>
      <c r="AG151" s="220"/>
      <c r="AH151" s="220"/>
      <c r="AI151" s="220"/>
      <c r="AJ151" s="220"/>
      <c r="AK151" s="220"/>
      <c r="AL151" s="220"/>
    </row>
    <row r="152" ht="15.75" customHeight="1">
      <c r="A152" s="220"/>
      <c r="B152" s="220"/>
      <c r="C152" s="220"/>
      <c r="D152" s="220"/>
      <c r="E152" s="220"/>
      <c r="F152" s="220"/>
      <c r="G152" s="220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0"/>
      <c r="AA152" s="220"/>
      <c r="AB152" s="220"/>
      <c r="AC152" s="220"/>
      <c r="AD152" s="220"/>
      <c r="AE152" s="220"/>
      <c r="AF152" s="220"/>
      <c r="AG152" s="220"/>
      <c r="AH152" s="220"/>
      <c r="AI152" s="220"/>
      <c r="AJ152" s="220"/>
      <c r="AK152" s="220"/>
      <c r="AL152" s="220"/>
    </row>
    <row r="153" ht="15.75" customHeight="1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0"/>
      <c r="AA153" s="220"/>
      <c r="AB153" s="220"/>
      <c r="AC153" s="220"/>
      <c r="AD153" s="220"/>
      <c r="AE153" s="220"/>
      <c r="AF153" s="220"/>
      <c r="AG153" s="220"/>
      <c r="AH153" s="220"/>
      <c r="AI153" s="220"/>
      <c r="AJ153" s="220"/>
      <c r="AK153" s="220"/>
      <c r="AL153" s="220"/>
    </row>
    <row r="154" ht="15.75" customHeight="1">
      <c r="A154" s="220"/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0"/>
      <c r="AA154" s="220"/>
      <c r="AB154" s="220"/>
      <c r="AC154" s="220"/>
      <c r="AD154" s="220"/>
      <c r="AE154" s="220"/>
      <c r="AF154" s="220"/>
      <c r="AG154" s="220"/>
      <c r="AH154" s="220"/>
      <c r="AI154" s="220"/>
      <c r="AJ154" s="220"/>
      <c r="AK154" s="220"/>
      <c r="AL154" s="220"/>
    </row>
    <row r="155" ht="15.75" customHeight="1">
      <c r="A155" s="220"/>
      <c r="B155" s="220"/>
      <c r="C155" s="220"/>
      <c r="D155" s="220"/>
      <c r="E155" s="220"/>
      <c r="F155" s="220"/>
      <c r="G155" s="220"/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0"/>
      <c r="AA155" s="220"/>
      <c r="AB155" s="220"/>
      <c r="AC155" s="220"/>
      <c r="AD155" s="220"/>
      <c r="AE155" s="220"/>
      <c r="AF155" s="220"/>
      <c r="AG155" s="220"/>
      <c r="AH155" s="220"/>
      <c r="AI155" s="220"/>
      <c r="AJ155" s="220"/>
      <c r="AK155" s="220"/>
      <c r="AL155" s="220"/>
    </row>
    <row r="156" ht="15.75" customHeight="1">
      <c r="A156" s="220"/>
      <c r="B156" s="220"/>
      <c r="C156" s="220"/>
      <c r="D156" s="220"/>
      <c r="E156" s="220"/>
      <c r="F156" s="220"/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0"/>
      <c r="AA156" s="220"/>
      <c r="AB156" s="220"/>
      <c r="AC156" s="220"/>
      <c r="AD156" s="220"/>
      <c r="AE156" s="220"/>
      <c r="AF156" s="220"/>
      <c r="AG156" s="220"/>
      <c r="AH156" s="220"/>
      <c r="AI156" s="220"/>
      <c r="AJ156" s="220"/>
      <c r="AK156" s="220"/>
      <c r="AL156" s="220"/>
    </row>
    <row r="157" ht="15.75" customHeight="1">
      <c r="A157" s="220"/>
      <c r="B157" s="220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0"/>
      <c r="AA157" s="220"/>
      <c r="AB157" s="220"/>
      <c r="AC157" s="220"/>
      <c r="AD157" s="220"/>
      <c r="AE157" s="220"/>
      <c r="AF157" s="220"/>
      <c r="AG157" s="220"/>
      <c r="AH157" s="220"/>
      <c r="AI157" s="220"/>
      <c r="AJ157" s="220"/>
      <c r="AK157" s="220"/>
      <c r="AL157" s="220"/>
    </row>
    <row r="158" ht="15.75" customHeight="1">
      <c r="A158" s="220"/>
      <c r="B158" s="220"/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0"/>
      <c r="AA158" s="220"/>
      <c r="AB158" s="220"/>
      <c r="AC158" s="220"/>
      <c r="AD158" s="220"/>
      <c r="AE158" s="220"/>
      <c r="AF158" s="220"/>
      <c r="AG158" s="220"/>
      <c r="AH158" s="220"/>
      <c r="AI158" s="220"/>
      <c r="AJ158" s="220"/>
      <c r="AK158" s="220"/>
      <c r="AL158" s="220"/>
    </row>
    <row r="159" ht="15.75" customHeight="1">
      <c r="A159" s="220"/>
      <c r="B159" s="220"/>
      <c r="C159" s="220"/>
      <c r="D159" s="220"/>
      <c r="E159" s="220"/>
      <c r="F159" s="220"/>
      <c r="G159" s="220"/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0"/>
      <c r="AA159" s="220"/>
      <c r="AB159" s="220"/>
      <c r="AC159" s="220"/>
      <c r="AD159" s="220"/>
      <c r="AE159" s="220"/>
      <c r="AF159" s="220"/>
      <c r="AG159" s="220"/>
      <c r="AH159" s="220"/>
      <c r="AI159" s="220"/>
      <c r="AJ159" s="220"/>
      <c r="AK159" s="220"/>
      <c r="AL159" s="220"/>
    </row>
    <row r="160" ht="15.75" customHeight="1">
      <c r="A160" s="220"/>
      <c r="B160" s="220"/>
      <c r="C160" s="220"/>
      <c r="D160" s="220"/>
      <c r="E160" s="220"/>
      <c r="F160" s="220"/>
      <c r="G160" s="220"/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0"/>
      <c r="AA160" s="220"/>
      <c r="AB160" s="220"/>
      <c r="AC160" s="220"/>
      <c r="AD160" s="220"/>
      <c r="AE160" s="220"/>
      <c r="AF160" s="220"/>
      <c r="AG160" s="220"/>
      <c r="AH160" s="220"/>
      <c r="AI160" s="220"/>
      <c r="AJ160" s="220"/>
      <c r="AK160" s="220"/>
      <c r="AL160" s="220"/>
    </row>
    <row r="161" ht="15.75" customHeight="1">
      <c r="A161" s="220"/>
      <c r="B161" s="220"/>
      <c r="C161" s="220"/>
      <c r="D161" s="220"/>
      <c r="E161" s="220"/>
      <c r="F161" s="220"/>
      <c r="G161" s="220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0"/>
      <c r="AA161" s="220"/>
      <c r="AB161" s="220"/>
      <c r="AC161" s="220"/>
      <c r="AD161" s="220"/>
      <c r="AE161" s="220"/>
      <c r="AF161" s="220"/>
      <c r="AG161" s="220"/>
      <c r="AH161" s="220"/>
      <c r="AI161" s="220"/>
      <c r="AJ161" s="220"/>
      <c r="AK161" s="220"/>
      <c r="AL161" s="220"/>
    </row>
    <row r="162" ht="15.75" customHeight="1">
      <c r="A162" s="220"/>
      <c r="B162" s="220"/>
      <c r="C162" s="220"/>
      <c r="D162" s="220"/>
      <c r="E162" s="220"/>
      <c r="F162" s="220"/>
      <c r="G162" s="220"/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0"/>
      <c r="AA162" s="220"/>
      <c r="AB162" s="220"/>
      <c r="AC162" s="220"/>
      <c r="AD162" s="220"/>
      <c r="AE162" s="220"/>
      <c r="AF162" s="220"/>
      <c r="AG162" s="220"/>
      <c r="AH162" s="220"/>
      <c r="AI162" s="220"/>
      <c r="AJ162" s="220"/>
      <c r="AK162" s="220"/>
      <c r="AL162" s="220"/>
    </row>
    <row r="163" ht="15.75" customHeight="1">
      <c r="A163" s="220"/>
      <c r="B163" s="220"/>
      <c r="C163" s="220"/>
      <c r="D163" s="220"/>
      <c r="E163" s="220"/>
      <c r="F163" s="220"/>
      <c r="G163" s="220"/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0"/>
      <c r="AA163" s="220"/>
      <c r="AB163" s="220"/>
      <c r="AC163" s="220"/>
      <c r="AD163" s="220"/>
      <c r="AE163" s="220"/>
      <c r="AF163" s="220"/>
      <c r="AG163" s="220"/>
      <c r="AH163" s="220"/>
      <c r="AI163" s="220"/>
      <c r="AJ163" s="220"/>
      <c r="AK163" s="220"/>
      <c r="AL163" s="220"/>
    </row>
    <row r="164" ht="15.75" customHeight="1">
      <c r="A164" s="220"/>
      <c r="B164" s="220"/>
      <c r="C164" s="220"/>
      <c r="D164" s="220"/>
      <c r="E164" s="220"/>
      <c r="F164" s="220"/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0"/>
      <c r="AA164" s="220"/>
      <c r="AB164" s="220"/>
      <c r="AC164" s="220"/>
      <c r="AD164" s="220"/>
      <c r="AE164" s="220"/>
      <c r="AF164" s="220"/>
      <c r="AG164" s="220"/>
      <c r="AH164" s="220"/>
      <c r="AI164" s="220"/>
      <c r="AJ164" s="220"/>
      <c r="AK164" s="220"/>
      <c r="AL164" s="220"/>
    </row>
    <row r="165" ht="15.75" customHeight="1">
      <c r="A165" s="220"/>
      <c r="B165" s="220"/>
      <c r="C165" s="220"/>
      <c r="D165" s="220"/>
      <c r="E165" s="220"/>
      <c r="F165" s="220"/>
      <c r="G165" s="220"/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0"/>
      <c r="AA165" s="220"/>
      <c r="AB165" s="220"/>
      <c r="AC165" s="220"/>
      <c r="AD165" s="220"/>
      <c r="AE165" s="220"/>
      <c r="AF165" s="220"/>
      <c r="AG165" s="220"/>
      <c r="AH165" s="220"/>
      <c r="AI165" s="220"/>
      <c r="AJ165" s="220"/>
      <c r="AK165" s="220"/>
      <c r="AL165" s="220"/>
    </row>
    <row r="166" ht="15.75" customHeight="1">
      <c r="A166" s="220"/>
      <c r="B166" s="220"/>
      <c r="C166" s="220"/>
      <c r="D166" s="220"/>
      <c r="E166" s="220"/>
      <c r="F166" s="220"/>
      <c r="G166" s="220"/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0"/>
      <c r="AA166" s="220"/>
      <c r="AB166" s="220"/>
      <c r="AC166" s="220"/>
      <c r="AD166" s="220"/>
      <c r="AE166" s="220"/>
      <c r="AF166" s="220"/>
      <c r="AG166" s="220"/>
      <c r="AH166" s="220"/>
      <c r="AI166" s="220"/>
      <c r="AJ166" s="220"/>
      <c r="AK166" s="220"/>
      <c r="AL166" s="220"/>
    </row>
    <row r="167" ht="15.75" customHeight="1">
      <c r="A167" s="220"/>
      <c r="B167" s="220"/>
      <c r="C167" s="220"/>
      <c r="D167" s="220"/>
      <c r="E167" s="220"/>
      <c r="F167" s="220"/>
      <c r="G167" s="220"/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0"/>
      <c r="AA167" s="220"/>
      <c r="AB167" s="220"/>
      <c r="AC167" s="220"/>
      <c r="AD167" s="220"/>
      <c r="AE167" s="220"/>
      <c r="AF167" s="220"/>
      <c r="AG167" s="220"/>
      <c r="AH167" s="220"/>
      <c r="AI167" s="220"/>
      <c r="AJ167" s="220"/>
      <c r="AK167" s="220"/>
      <c r="AL167" s="220"/>
    </row>
    <row r="168" ht="15.75" customHeight="1">
      <c r="A168" s="220"/>
      <c r="B168" s="220"/>
      <c r="C168" s="220"/>
      <c r="D168" s="220"/>
      <c r="E168" s="220"/>
      <c r="F168" s="220"/>
      <c r="G168" s="220"/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0"/>
      <c r="AA168" s="220"/>
      <c r="AB168" s="220"/>
      <c r="AC168" s="220"/>
      <c r="AD168" s="220"/>
      <c r="AE168" s="220"/>
      <c r="AF168" s="220"/>
      <c r="AG168" s="220"/>
      <c r="AH168" s="220"/>
      <c r="AI168" s="220"/>
      <c r="AJ168" s="220"/>
      <c r="AK168" s="220"/>
      <c r="AL168" s="220"/>
    </row>
    <row r="169" ht="15.75" customHeight="1">
      <c r="A169" s="220"/>
      <c r="B169" s="220"/>
      <c r="C169" s="220"/>
      <c r="D169" s="220"/>
      <c r="E169" s="220"/>
      <c r="F169" s="220"/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0"/>
      <c r="AA169" s="220"/>
      <c r="AB169" s="220"/>
      <c r="AC169" s="220"/>
      <c r="AD169" s="220"/>
      <c r="AE169" s="220"/>
      <c r="AF169" s="220"/>
      <c r="AG169" s="220"/>
      <c r="AH169" s="220"/>
      <c r="AI169" s="220"/>
      <c r="AJ169" s="220"/>
      <c r="AK169" s="220"/>
      <c r="AL169" s="220"/>
    </row>
    <row r="170" ht="15.75" customHeight="1">
      <c r="A170" s="22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0"/>
      <c r="AA170" s="220"/>
      <c r="AB170" s="220"/>
      <c r="AC170" s="220"/>
      <c r="AD170" s="220"/>
      <c r="AE170" s="220"/>
      <c r="AF170" s="220"/>
      <c r="AG170" s="220"/>
      <c r="AH170" s="220"/>
      <c r="AI170" s="220"/>
      <c r="AJ170" s="220"/>
      <c r="AK170" s="220"/>
      <c r="AL170" s="220"/>
    </row>
    <row r="171" ht="15.75" customHeight="1">
      <c r="A171" s="220"/>
      <c r="B171" s="220"/>
      <c r="C171" s="220"/>
      <c r="D171" s="220"/>
      <c r="E171" s="220"/>
      <c r="F171" s="220"/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0"/>
      <c r="AA171" s="220"/>
      <c r="AB171" s="220"/>
      <c r="AC171" s="220"/>
      <c r="AD171" s="220"/>
      <c r="AE171" s="220"/>
      <c r="AF171" s="220"/>
      <c r="AG171" s="220"/>
      <c r="AH171" s="220"/>
      <c r="AI171" s="220"/>
      <c r="AJ171" s="220"/>
      <c r="AK171" s="220"/>
      <c r="AL171" s="220"/>
    </row>
    <row r="172" ht="15.75" customHeight="1">
      <c r="A172" s="220"/>
      <c r="B172" s="220"/>
      <c r="C172" s="220"/>
      <c r="D172" s="220"/>
      <c r="E172" s="220"/>
      <c r="F172" s="220"/>
      <c r="G172" s="220"/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0"/>
      <c r="AA172" s="220"/>
      <c r="AB172" s="220"/>
      <c r="AC172" s="220"/>
      <c r="AD172" s="220"/>
      <c r="AE172" s="220"/>
      <c r="AF172" s="220"/>
      <c r="AG172" s="220"/>
      <c r="AH172" s="220"/>
      <c r="AI172" s="220"/>
      <c r="AJ172" s="220"/>
      <c r="AK172" s="220"/>
      <c r="AL172" s="220"/>
    </row>
    <row r="173" ht="15.75" customHeight="1">
      <c r="A173" s="220"/>
      <c r="B173" s="220"/>
      <c r="C173" s="220"/>
      <c r="D173" s="220"/>
      <c r="E173" s="220"/>
      <c r="F173" s="220"/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0"/>
      <c r="AA173" s="220"/>
      <c r="AB173" s="220"/>
      <c r="AC173" s="220"/>
      <c r="AD173" s="220"/>
      <c r="AE173" s="220"/>
      <c r="AF173" s="220"/>
      <c r="AG173" s="220"/>
      <c r="AH173" s="220"/>
      <c r="AI173" s="220"/>
      <c r="AJ173" s="220"/>
      <c r="AK173" s="220"/>
      <c r="AL173" s="220"/>
    </row>
    <row r="174" ht="15.75" customHeight="1">
      <c r="A174" s="220"/>
      <c r="B174" s="220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0"/>
      <c r="AA174" s="220"/>
      <c r="AB174" s="220"/>
      <c r="AC174" s="220"/>
      <c r="AD174" s="220"/>
      <c r="AE174" s="220"/>
      <c r="AF174" s="220"/>
      <c r="AG174" s="220"/>
      <c r="AH174" s="220"/>
      <c r="AI174" s="220"/>
      <c r="AJ174" s="220"/>
      <c r="AK174" s="220"/>
      <c r="AL174" s="220"/>
    </row>
    <row r="175" ht="15.75" customHeight="1">
      <c r="A175" s="22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0"/>
      <c r="AA175" s="220"/>
      <c r="AB175" s="220"/>
      <c r="AC175" s="220"/>
      <c r="AD175" s="220"/>
      <c r="AE175" s="220"/>
      <c r="AF175" s="220"/>
      <c r="AG175" s="220"/>
      <c r="AH175" s="220"/>
      <c r="AI175" s="220"/>
      <c r="AJ175" s="220"/>
      <c r="AK175" s="220"/>
      <c r="AL175" s="220"/>
    </row>
    <row r="176" ht="15.75" customHeight="1">
      <c r="A176" s="220"/>
      <c r="B176" s="220"/>
      <c r="C176" s="220"/>
      <c r="D176" s="220"/>
      <c r="E176" s="220"/>
      <c r="F176" s="220"/>
      <c r="G176" s="220"/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0"/>
      <c r="AA176" s="220"/>
      <c r="AB176" s="220"/>
      <c r="AC176" s="220"/>
      <c r="AD176" s="220"/>
      <c r="AE176" s="220"/>
      <c r="AF176" s="220"/>
      <c r="AG176" s="220"/>
      <c r="AH176" s="220"/>
      <c r="AI176" s="220"/>
      <c r="AJ176" s="220"/>
      <c r="AK176" s="220"/>
      <c r="AL176" s="220"/>
    </row>
    <row r="177" ht="15.75" customHeight="1">
      <c r="A177" s="220"/>
      <c r="B177" s="220"/>
      <c r="C177" s="220"/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0"/>
      <c r="AA177" s="220"/>
      <c r="AB177" s="220"/>
      <c r="AC177" s="220"/>
      <c r="AD177" s="220"/>
      <c r="AE177" s="220"/>
      <c r="AF177" s="220"/>
      <c r="AG177" s="220"/>
      <c r="AH177" s="220"/>
      <c r="AI177" s="220"/>
      <c r="AJ177" s="220"/>
      <c r="AK177" s="220"/>
      <c r="AL177" s="220"/>
    </row>
    <row r="178" ht="15.75" customHeight="1">
      <c r="A178" s="220"/>
      <c r="B178" s="220"/>
      <c r="C178" s="220"/>
      <c r="D178" s="220"/>
      <c r="E178" s="220"/>
      <c r="F178" s="220"/>
      <c r="G178" s="220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0"/>
      <c r="AA178" s="220"/>
      <c r="AB178" s="220"/>
      <c r="AC178" s="220"/>
      <c r="AD178" s="220"/>
      <c r="AE178" s="220"/>
      <c r="AF178" s="220"/>
      <c r="AG178" s="220"/>
      <c r="AH178" s="220"/>
      <c r="AI178" s="220"/>
      <c r="AJ178" s="220"/>
      <c r="AK178" s="220"/>
      <c r="AL178" s="220"/>
    </row>
    <row r="179" ht="15.75" customHeight="1">
      <c r="A179" s="220"/>
      <c r="B179" s="220"/>
      <c r="C179" s="220"/>
      <c r="D179" s="220"/>
      <c r="E179" s="220"/>
      <c r="F179" s="220"/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0"/>
      <c r="AA179" s="220"/>
      <c r="AB179" s="220"/>
      <c r="AC179" s="220"/>
      <c r="AD179" s="220"/>
      <c r="AE179" s="220"/>
      <c r="AF179" s="220"/>
      <c r="AG179" s="220"/>
      <c r="AH179" s="220"/>
      <c r="AI179" s="220"/>
      <c r="AJ179" s="220"/>
      <c r="AK179" s="220"/>
      <c r="AL179" s="220"/>
    </row>
    <row r="180" ht="15.75" customHeight="1">
      <c r="A180" s="220"/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0"/>
      <c r="AA180" s="220"/>
      <c r="AB180" s="220"/>
      <c r="AC180" s="220"/>
      <c r="AD180" s="220"/>
      <c r="AE180" s="220"/>
      <c r="AF180" s="220"/>
      <c r="AG180" s="220"/>
      <c r="AH180" s="220"/>
      <c r="AI180" s="220"/>
      <c r="AJ180" s="220"/>
      <c r="AK180" s="220"/>
      <c r="AL180" s="220"/>
    </row>
    <row r="181" ht="15.75" customHeight="1">
      <c r="A181" s="220"/>
      <c r="B181" s="220"/>
      <c r="C181" s="220"/>
      <c r="D181" s="220"/>
      <c r="E181" s="220"/>
      <c r="F181" s="220"/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0"/>
      <c r="AA181" s="220"/>
      <c r="AB181" s="220"/>
      <c r="AC181" s="220"/>
      <c r="AD181" s="220"/>
      <c r="AE181" s="220"/>
      <c r="AF181" s="220"/>
      <c r="AG181" s="220"/>
      <c r="AH181" s="220"/>
      <c r="AI181" s="220"/>
      <c r="AJ181" s="220"/>
      <c r="AK181" s="220"/>
      <c r="AL181" s="220"/>
    </row>
    <row r="182" ht="15.75" customHeight="1">
      <c r="A182" s="220"/>
      <c r="B182" s="220"/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0"/>
      <c r="AA182" s="220"/>
      <c r="AB182" s="220"/>
      <c r="AC182" s="220"/>
      <c r="AD182" s="220"/>
      <c r="AE182" s="220"/>
      <c r="AF182" s="220"/>
      <c r="AG182" s="220"/>
      <c r="AH182" s="220"/>
      <c r="AI182" s="220"/>
      <c r="AJ182" s="220"/>
      <c r="AK182" s="220"/>
      <c r="AL182" s="220"/>
    </row>
    <row r="183" ht="15.75" customHeight="1">
      <c r="A183" s="220"/>
      <c r="B183" s="220"/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0"/>
      <c r="AA183" s="220"/>
      <c r="AB183" s="220"/>
      <c r="AC183" s="220"/>
      <c r="AD183" s="220"/>
      <c r="AE183" s="220"/>
      <c r="AF183" s="220"/>
      <c r="AG183" s="220"/>
      <c r="AH183" s="220"/>
      <c r="AI183" s="220"/>
      <c r="AJ183" s="220"/>
      <c r="AK183" s="220"/>
      <c r="AL183" s="220"/>
    </row>
    <row r="184" ht="15.75" customHeight="1">
      <c r="A184" s="220"/>
      <c r="B184" s="220"/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0"/>
      <c r="AA184" s="220"/>
      <c r="AB184" s="220"/>
      <c r="AC184" s="220"/>
      <c r="AD184" s="220"/>
      <c r="AE184" s="220"/>
      <c r="AF184" s="220"/>
      <c r="AG184" s="220"/>
      <c r="AH184" s="220"/>
      <c r="AI184" s="220"/>
      <c r="AJ184" s="220"/>
      <c r="AK184" s="220"/>
      <c r="AL184" s="220"/>
    </row>
    <row r="185" ht="15.75" customHeight="1">
      <c r="A185" s="220"/>
      <c r="B185" s="220"/>
      <c r="C185" s="220"/>
      <c r="D185" s="220"/>
      <c r="E185" s="220"/>
      <c r="F185" s="220"/>
      <c r="G185" s="220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0"/>
      <c r="AA185" s="220"/>
      <c r="AB185" s="220"/>
      <c r="AC185" s="220"/>
      <c r="AD185" s="220"/>
      <c r="AE185" s="220"/>
      <c r="AF185" s="220"/>
      <c r="AG185" s="220"/>
      <c r="AH185" s="220"/>
      <c r="AI185" s="220"/>
      <c r="AJ185" s="220"/>
      <c r="AK185" s="220"/>
      <c r="AL185" s="220"/>
    </row>
    <row r="186" ht="15.75" customHeight="1">
      <c r="A186" s="220"/>
      <c r="B186" s="220"/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0"/>
      <c r="AA186" s="220"/>
      <c r="AB186" s="220"/>
      <c r="AC186" s="220"/>
      <c r="AD186" s="220"/>
      <c r="AE186" s="220"/>
      <c r="AF186" s="220"/>
      <c r="AG186" s="220"/>
      <c r="AH186" s="220"/>
      <c r="AI186" s="220"/>
      <c r="AJ186" s="220"/>
      <c r="AK186" s="220"/>
      <c r="AL186" s="220"/>
    </row>
    <row r="187" ht="15.75" customHeight="1">
      <c r="A187" s="220"/>
      <c r="B187" s="220"/>
      <c r="C187" s="220"/>
      <c r="D187" s="220"/>
      <c r="E187" s="220"/>
      <c r="F187" s="220"/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0"/>
      <c r="AA187" s="220"/>
      <c r="AB187" s="220"/>
      <c r="AC187" s="220"/>
      <c r="AD187" s="220"/>
      <c r="AE187" s="220"/>
      <c r="AF187" s="220"/>
      <c r="AG187" s="220"/>
      <c r="AH187" s="220"/>
      <c r="AI187" s="220"/>
      <c r="AJ187" s="220"/>
      <c r="AK187" s="220"/>
      <c r="AL187" s="220"/>
    </row>
    <row r="188" ht="15.75" customHeight="1">
      <c r="A188" s="220"/>
      <c r="B188" s="220"/>
      <c r="C188" s="220"/>
      <c r="D188" s="220"/>
      <c r="E188" s="220"/>
      <c r="F188" s="220"/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0"/>
      <c r="AA188" s="220"/>
      <c r="AB188" s="220"/>
      <c r="AC188" s="220"/>
      <c r="AD188" s="220"/>
      <c r="AE188" s="220"/>
      <c r="AF188" s="220"/>
      <c r="AG188" s="220"/>
      <c r="AH188" s="220"/>
      <c r="AI188" s="220"/>
      <c r="AJ188" s="220"/>
      <c r="AK188" s="220"/>
      <c r="AL188" s="220"/>
    </row>
    <row r="189" ht="15.75" customHeight="1">
      <c r="A189" s="220"/>
      <c r="B189" s="220"/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0"/>
      <c r="AA189" s="220"/>
      <c r="AB189" s="220"/>
      <c r="AC189" s="220"/>
      <c r="AD189" s="220"/>
      <c r="AE189" s="220"/>
      <c r="AF189" s="220"/>
      <c r="AG189" s="220"/>
      <c r="AH189" s="220"/>
      <c r="AI189" s="220"/>
      <c r="AJ189" s="220"/>
      <c r="AK189" s="220"/>
      <c r="AL189" s="220"/>
    </row>
    <row r="190" ht="15.75" customHeight="1">
      <c r="A190" s="220"/>
      <c r="B190" s="220"/>
      <c r="C190" s="220"/>
      <c r="D190" s="220"/>
      <c r="E190" s="220"/>
      <c r="F190" s="220"/>
      <c r="G190" s="220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0"/>
      <c r="AA190" s="220"/>
      <c r="AB190" s="220"/>
      <c r="AC190" s="220"/>
      <c r="AD190" s="220"/>
      <c r="AE190" s="220"/>
      <c r="AF190" s="220"/>
      <c r="AG190" s="220"/>
      <c r="AH190" s="220"/>
      <c r="AI190" s="220"/>
      <c r="AJ190" s="220"/>
      <c r="AK190" s="220"/>
      <c r="AL190" s="220"/>
    </row>
    <row r="191" ht="15.75" customHeight="1">
      <c r="A191" s="220"/>
      <c r="B191" s="220"/>
      <c r="C191" s="220"/>
      <c r="D191" s="220"/>
      <c r="E191" s="220"/>
      <c r="F191" s="220"/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0"/>
      <c r="AA191" s="220"/>
      <c r="AB191" s="220"/>
      <c r="AC191" s="220"/>
      <c r="AD191" s="220"/>
      <c r="AE191" s="220"/>
      <c r="AF191" s="220"/>
      <c r="AG191" s="220"/>
      <c r="AH191" s="220"/>
      <c r="AI191" s="220"/>
      <c r="AJ191" s="220"/>
      <c r="AK191" s="220"/>
      <c r="AL191" s="220"/>
    </row>
    <row r="192" ht="15.75" customHeight="1">
      <c r="A192" s="220"/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0"/>
      <c r="AA192" s="220"/>
      <c r="AB192" s="220"/>
      <c r="AC192" s="220"/>
      <c r="AD192" s="220"/>
      <c r="AE192" s="220"/>
      <c r="AF192" s="220"/>
      <c r="AG192" s="220"/>
      <c r="AH192" s="220"/>
      <c r="AI192" s="220"/>
      <c r="AJ192" s="220"/>
      <c r="AK192" s="220"/>
      <c r="AL192" s="220"/>
    </row>
    <row r="193" ht="15.75" customHeight="1">
      <c r="A193" s="220"/>
      <c r="B193" s="220"/>
      <c r="C193" s="220"/>
      <c r="D193" s="220"/>
      <c r="E193" s="220"/>
      <c r="F193" s="220"/>
      <c r="G193" s="220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0"/>
      <c r="AA193" s="220"/>
      <c r="AB193" s="220"/>
      <c r="AC193" s="220"/>
      <c r="AD193" s="220"/>
      <c r="AE193" s="220"/>
      <c r="AF193" s="220"/>
      <c r="AG193" s="220"/>
      <c r="AH193" s="220"/>
      <c r="AI193" s="220"/>
      <c r="AJ193" s="220"/>
      <c r="AK193" s="220"/>
      <c r="AL193" s="220"/>
    </row>
    <row r="194" ht="15.75" customHeight="1">
      <c r="A194" s="220"/>
      <c r="B194" s="220"/>
      <c r="C194" s="220"/>
      <c r="D194" s="220"/>
      <c r="E194" s="220"/>
      <c r="F194" s="220"/>
      <c r="G194" s="220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0"/>
      <c r="AA194" s="220"/>
      <c r="AB194" s="220"/>
      <c r="AC194" s="220"/>
      <c r="AD194" s="220"/>
      <c r="AE194" s="220"/>
      <c r="AF194" s="220"/>
      <c r="AG194" s="220"/>
      <c r="AH194" s="220"/>
      <c r="AI194" s="220"/>
      <c r="AJ194" s="220"/>
      <c r="AK194" s="220"/>
      <c r="AL194" s="220"/>
    </row>
    <row r="195" ht="15.75" customHeight="1">
      <c r="A195" s="220"/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0"/>
      <c r="AA195" s="220"/>
      <c r="AB195" s="220"/>
      <c r="AC195" s="220"/>
      <c r="AD195" s="220"/>
      <c r="AE195" s="220"/>
      <c r="AF195" s="220"/>
      <c r="AG195" s="220"/>
      <c r="AH195" s="220"/>
      <c r="AI195" s="220"/>
      <c r="AJ195" s="220"/>
      <c r="AK195" s="220"/>
      <c r="AL195" s="220"/>
    </row>
    <row r="196" ht="15.75" customHeight="1">
      <c r="A196" s="220"/>
      <c r="B196" s="220"/>
      <c r="C196" s="220"/>
      <c r="D196" s="220"/>
      <c r="E196" s="220"/>
      <c r="F196" s="220"/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0"/>
      <c r="AA196" s="220"/>
      <c r="AB196" s="220"/>
      <c r="AC196" s="220"/>
      <c r="AD196" s="220"/>
      <c r="AE196" s="220"/>
      <c r="AF196" s="220"/>
      <c r="AG196" s="220"/>
      <c r="AH196" s="220"/>
      <c r="AI196" s="220"/>
      <c r="AJ196" s="220"/>
      <c r="AK196" s="220"/>
      <c r="AL196" s="220"/>
    </row>
    <row r="197" ht="15.75" customHeight="1">
      <c r="A197" s="220"/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0"/>
      <c r="AA197" s="220"/>
      <c r="AB197" s="220"/>
      <c r="AC197" s="220"/>
      <c r="AD197" s="220"/>
      <c r="AE197" s="220"/>
      <c r="AF197" s="220"/>
      <c r="AG197" s="220"/>
      <c r="AH197" s="220"/>
      <c r="AI197" s="220"/>
      <c r="AJ197" s="220"/>
      <c r="AK197" s="220"/>
      <c r="AL197" s="220"/>
    </row>
    <row r="198" ht="15.75" customHeight="1">
      <c r="A198" s="220"/>
      <c r="B198" s="220"/>
      <c r="C198" s="220"/>
      <c r="D198" s="220"/>
      <c r="E198" s="220"/>
      <c r="F198" s="220"/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0"/>
      <c r="AA198" s="220"/>
      <c r="AB198" s="220"/>
      <c r="AC198" s="220"/>
      <c r="AD198" s="220"/>
      <c r="AE198" s="220"/>
      <c r="AF198" s="220"/>
      <c r="AG198" s="220"/>
      <c r="AH198" s="220"/>
      <c r="AI198" s="220"/>
      <c r="AJ198" s="220"/>
      <c r="AK198" s="220"/>
      <c r="AL198" s="220"/>
    </row>
    <row r="199" ht="15.75" customHeight="1">
      <c r="A199" s="220"/>
      <c r="B199" s="220"/>
      <c r="C199" s="220"/>
      <c r="D199" s="220"/>
      <c r="E199" s="220"/>
      <c r="F199" s="220"/>
      <c r="G199" s="220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0"/>
      <c r="AA199" s="220"/>
      <c r="AB199" s="220"/>
      <c r="AC199" s="220"/>
      <c r="AD199" s="220"/>
      <c r="AE199" s="220"/>
      <c r="AF199" s="220"/>
      <c r="AG199" s="220"/>
      <c r="AH199" s="220"/>
      <c r="AI199" s="220"/>
      <c r="AJ199" s="220"/>
      <c r="AK199" s="220"/>
      <c r="AL199" s="220"/>
    </row>
    <row r="200" ht="15.75" customHeight="1">
      <c r="A200" s="220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0"/>
      <c r="AA200" s="220"/>
      <c r="AB200" s="220"/>
      <c r="AC200" s="220"/>
      <c r="AD200" s="220"/>
      <c r="AE200" s="220"/>
      <c r="AF200" s="220"/>
      <c r="AG200" s="220"/>
      <c r="AH200" s="220"/>
      <c r="AI200" s="220"/>
      <c r="AJ200" s="220"/>
      <c r="AK200" s="220"/>
      <c r="AL200" s="220"/>
    </row>
    <row r="201" ht="15.75" customHeight="1">
      <c r="A201" s="220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0"/>
      <c r="AA201" s="220"/>
      <c r="AB201" s="220"/>
      <c r="AC201" s="220"/>
      <c r="AD201" s="220"/>
      <c r="AE201" s="220"/>
      <c r="AF201" s="220"/>
      <c r="AG201" s="220"/>
      <c r="AH201" s="220"/>
      <c r="AI201" s="220"/>
      <c r="AJ201" s="220"/>
      <c r="AK201" s="220"/>
      <c r="AL201" s="220"/>
    </row>
    <row r="202" ht="15.75" customHeight="1">
      <c r="A202" s="22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0"/>
      <c r="AA202" s="220"/>
      <c r="AB202" s="220"/>
      <c r="AC202" s="220"/>
      <c r="AD202" s="220"/>
      <c r="AE202" s="220"/>
      <c r="AF202" s="220"/>
      <c r="AG202" s="220"/>
      <c r="AH202" s="220"/>
      <c r="AI202" s="220"/>
      <c r="AJ202" s="220"/>
      <c r="AK202" s="220"/>
      <c r="AL202" s="220"/>
    </row>
    <row r="203" ht="15.75" customHeight="1">
      <c r="A203" s="220"/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0"/>
      <c r="AA203" s="220"/>
      <c r="AB203" s="220"/>
      <c r="AC203" s="220"/>
      <c r="AD203" s="220"/>
      <c r="AE203" s="220"/>
      <c r="AF203" s="220"/>
      <c r="AG203" s="220"/>
      <c r="AH203" s="220"/>
      <c r="AI203" s="220"/>
      <c r="AJ203" s="220"/>
      <c r="AK203" s="220"/>
      <c r="AL203" s="220"/>
    </row>
    <row r="204" ht="15.75" customHeight="1">
      <c r="A204" s="220"/>
      <c r="B204" s="220"/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0"/>
      <c r="AA204" s="220"/>
      <c r="AB204" s="220"/>
      <c r="AC204" s="220"/>
      <c r="AD204" s="220"/>
      <c r="AE204" s="220"/>
      <c r="AF204" s="220"/>
      <c r="AG204" s="220"/>
      <c r="AH204" s="220"/>
      <c r="AI204" s="220"/>
      <c r="AJ204" s="220"/>
      <c r="AK204" s="220"/>
      <c r="AL204" s="220"/>
    </row>
    <row r="205" ht="15.75" customHeight="1">
      <c r="A205" s="220"/>
      <c r="B205" s="220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0"/>
      <c r="AA205" s="220"/>
      <c r="AB205" s="220"/>
      <c r="AC205" s="220"/>
      <c r="AD205" s="220"/>
      <c r="AE205" s="220"/>
      <c r="AF205" s="220"/>
      <c r="AG205" s="220"/>
      <c r="AH205" s="220"/>
      <c r="AI205" s="220"/>
      <c r="AJ205" s="220"/>
      <c r="AK205" s="220"/>
      <c r="AL205" s="220"/>
    </row>
    <row r="206" ht="15.75" customHeight="1">
      <c r="A206" s="220"/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0"/>
      <c r="AA206" s="220"/>
      <c r="AB206" s="220"/>
      <c r="AC206" s="220"/>
      <c r="AD206" s="220"/>
      <c r="AE206" s="220"/>
      <c r="AF206" s="220"/>
      <c r="AG206" s="220"/>
      <c r="AH206" s="220"/>
      <c r="AI206" s="220"/>
      <c r="AJ206" s="220"/>
      <c r="AK206" s="220"/>
      <c r="AL206" s="220"/>
    </row>
    <row r="207" ht="15.75" customHeight="1">
      <c r="A207" s="22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0"/>
      <c r="AA207" s="220"/>
      <c r="AB207" s="220"/>
      <c r="AC207" s="220"/>
      <c r="AD207" s="220"/>
      <c r="AE207" s="220"/>
      <c r="AF207" s="220"/>
      <c r="AG207" s="220"/>
      <c r="AH207" s="220"/>
      <c r="AI207" s="220"/>
      <c r="AJ207" s="220"/>
      <c r="AK207" s="220"/>
      <c r="AL207" s="220"/>
    </row>
    <row r="208" ht="15.75" customHeight="1">
      <c r="A208" s="220"/>
      <c r="B208" s="220"/>
      <c r="C208" s="220"/>
      <c r="D208" s="220"/>
      <c r="E208" s="220"/>
      <c r="F208" s="220"/>
      <c r="G208" s="220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0"/>
      <c r="AA208" s="220"/>
      <c r="AB208" s="220"/>
      <c r="AC208" s="220"/>
      <c r="AD208" s="220"/>
      <c r="AE208" s="220"/>
      <c r="AF208" s="220"/>
      <c r="AG208" s="220"/>
      <c r="AH208" s="220"/>
      <c r="AI208" s="220"/>
      <c r="AJ208" s="220"/>
      <c r="AK208" s="220"/>
      <c r="AL208" s="220"/>
    </row>
    <row r="209" ht="15.75" customHeight="1">
      <c r="A209" s="220"/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0"/>
      <c r="AA209" s="220"/>
      <c r="AB209" s="220"/>
      <c r="AC209" s="220"/>
      <c r="AD209" s="220"/>
      <c r="AE209" s="220"/>
      <c r="AF209" s="220"/>
      <c r="AG209" s="220"/>
      <c r="AH209" s="220"/>
      <c r="AI209" s="220"/>
      <c r="AJ209" s="220"/>
      <c r="AK209" s="220"/>
      <c r="AL209" s="220"/>
    </row>
    <row r="210" ht="15.75" customHeight="1">
      <c r="A210" s="220"/>
      <c r="B210" s="220"/>
      <c r="C210" s="220"/>
      <c r="D210" s="220"/>
      <c r="E210" s="220"/>
      <c r="F210" s="220"/>
      <c r="G210" s="220"/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0"/>
      <c r="AA210" s="220"/>
      <c r="AB210" s="220"/>
      <c r="AC210" s="220"/>
      <c r="AD210" s="220"/>
      <c r="AE210" s="220"/>
      <c r="AF210" s="220"/>
      <c r="AG210" s="220"/>
      <c r="AH210" s="220"/>
      <c r="AI210" s="220"/>
      <c r="AJ210" s="220"/>
      <c r="AK210" s="220"/>
      <c r="AL210" s="220"/>
    </row>
    <row r="211" ht="15.75" customHeight="1">
      <c r="A211" s="220"/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0"/>
      <c r="AA211" s="220"/>
      <c r="AB211" s="220"/>
      <c r="AC211" s="220"/>
      <c r="AD211" s="220"/>
      <c r="AE211" s="220"/>
      <c r="AF211" s="220"/>
      <c r="AG211" s="220"/>
      <c r="AH211" s="220"/>
      <c r="AI211" s="220"/>
      <c r="AJ211" s="220"/>
      <c r="AK211" s="220"/>
      <c r="AL211" s="220"/>
    </row>
    <row r="212" ht="15.75" customHeight="1">
      <c r="A212" s="220"/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0"/>
      <c r="AA212" s="220"/>
      <c r="AB212" s="220"/>
      <c r="AC212" s="220"/>
      <c r="AD212" s="220"/>
      <c r="AE212" s="220"/>
      <c r="AF212" s="220"/>
      <c r="AG212" s="220"/>
      <c r="AH212" s="220"/>
      <c r="AI212" s="220"/>
      <c r="AJ212" s="220"/>
      <c r="AK212" s="220"/>
      <c r="AL212" s="220"/>
    </row>
    <row r="213" ht="15.75" customHeight="1">
      <c r="A213" s="220"/>
      <c r="B213" s="220"/>
      <c r="C213" s="220"/>
      <c r="D213" s="220"/>
      <c r="E213" s="220"/>
      <c r="F213" s="220"/>
      <c r="G213" s="220"/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0"/>
      <c r="AA213" s="220"/>
      <c r="AB213" s="220"/>
      <c r="AC213" s="220"/>
      <c r="AD213" s="220"/>
      <c r="AE213" s="220"/>
      <c r="AF213" s="220"/>
      <c r="AG213" s="220"/>
      <c r="AH213" s="220"/>
      <c r="AI213" s="220"/>
      <c r="AJ213" s="220"/>
      <c r="AK213" s="220"/>
      <c r="AL213" s="220"/>
    </row>
    <row r="214" ht="15.75" customHeight="1">
      <c r="A214" s="220"/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0"/>
      <c r="AA214" s="220"/>
      <c r="AB214" s="220"/>
      <c r="AC214" s="220"/>
      <c r="AD214" s="220"/>
      <c r="AE214" s="220"/>
      <c r="AF214" s="220"/>
      <c r="AG214" s="220"/>
      <c r="AH214" s="220"/>
      <c r="AI214" s="220"/>
      <c r="AJ214" s="220"/>
      <c r="AK214" s="220"/>
      <c r="AL214" s="220"/>
    </row>
    <row r="215" ht="15.75" customHeight="1">
      <c r="A215" s="220"/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0"/>
      <c r="AA215" s="220"/>
      <c r="AB215" s="220"/>
      <c r="AC215" s="220"/>
      <c r="AD215" s="220"/>
      <c r="AE215" s="220"/>
      <c r="AF215" s="220"/>
      <c r="AG215" s="220"/>
      <c r="AH215" s="220"/>
      <c r="AI215" s="220"/>
      <c r="AJ215" s="220"/>
      <c r="AK215" s="220"/>
      <c r="AL215" s="220"/>
    </row>
    <row r="216" ht="15.75" customHeight="1">
      <c r="A216" s="220"/>
      <c r="B216" s="220"/>
      <c r="C216" s="220"/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0"/>
      <c r="AA216" s="220"/>
      <c r="AB216" s="220"/>
      <c r="AC216" s="220"/>
      <c r="AD216" s="220"/>
      <c r="AE216" s="220"/>
      <c r="AF216" s="220"/>
      <c r="AG216" s="220"/>
      <c r="AH216" s="220"/>
      <c r="AI216" s="220"/>
      <c r="AJ216" s="220"/>
      <c r="AK216" s="220"/>
      <c r="AL216" s="220"/>
    </row>
    <row r="217" ht="15.75" customHeight="1">
      <c r="A217" s="220"/>
      <c r="B217" s="220"/>
      <c r="C217" s="220"/>
      <c r="D217" s="220"/>
      <c r="E217" s="220"/>
      <c r="F217" s="220"/>
      <c r="G217" s="220"/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0"/>
      <c r="AA217" s="220"/>
      <c r="AB217" s="220"/>
      <c r="AC217" s="220"/>
      <c r="AD217" s="220"/>
      <c r="AE217" s="220"/>
      <c r="AF217" s="220"/>
      <c r="AG217" s="220"/>
      <c r="AH217" s="220"/>
      <c r="AI217" s="220"/>
      <c r="AJ217" s="220"/>
      <c r="AK217" s="220"/>
      <c r="AL217" s="220"/>
    </row>
    <row r="218" ht="15.75" customHeight="1">
      <c r="A218" s="220"/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0"/>
      <c r="AA218" s="220"/>
      <c r="AB218" s="220"/>
      <c r="AC218" s="220"/>
      <c r="AD218" s="220"/>
      <c r="AE218" s="220"/>
      <c r="AF218" s="220"/>
      <c r="AG218" s="220"/>
      <c r="AH218" s="220"/>
      <c r="AI218" s="220"/>
      <c r="AJ218" s="220"/>
      <c r="AK218" s="220"/>
      <c r="AL218" s="220"/>
    </row>
    <row r="219" ht="15.75" customHeight="1">
      <c r="A219" s="220"/>
      <c r="B219" s="220"/>
      <c r="C219" s="220"/>
      <c r="D219" s="220"/>
      <c r="E219" s="220"/>
      <c r="F219" s="220"/>
      <c r="G219" s="220"/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0"/>
      <c r="AA219" s="220"/>
      <c r="AB219" s="220"/>
      <c r="AC219" s="220"/>
      <c r="AD219" s="220"/>
      <c r="AE219" s="220"/>
      <c r="AF219" s="220"/>
      <c r="AG219" s="220"/>
      <c r="AH219" s="220"/>
      <c r="AI219" s="220"/>
      <c r="AJ219" s="220"/>
      <c r="AK219" s="220"/>
      <c r="AL219" s="220"/>
    </row>
    <row r="220" ht="15.75" customHeight="1">
      <c r="A220" s="22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0"/>
      <c r="AA220" s="220"/>
      <c r="AB220" s="220"/>
      <c r="AC220" s="220"/>
      <c r="AD220" s="220"/>
      <c r="AE220" s="220"/>
      <c r="AF220" s="220"/>
      <c r="AG220" s="220"/>
      <c r="AH220" s="220"/>
      <c r="AI220" s="220"/>
      <c r="AJ220" s="220"/>
      <c r="AK220" s="220"/>
      <c r="AL220" s="220"/>
    </row>
    <row r="221" ht="15.75" customHeight="1">
      <c r="A221" s="220"/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0"/>
      <c r="AA221" s="220"/>
      <c r="AB221" s="220"/>
      <c r="AC221" s="220"/>
      <c r="AD221" s="220"/>
      <c r="AE221" s="220"/>
      <c r="AF221" s="220"/>
      <c r="AG221" s="220"/>
      <c r="AH221" s="220"/>
      <c r="AI221" s="220"/>
      <c r="AJ221" s="220"/>
      <c r="AK221" s="220"/>
      <c r="AL221" s="220"/>
    </row>
    <row r="222" ht="15.75" customHeight="1">
      <c r="A222" s="220"/>
      <c r="B222" s="220"/>
      <c r="C222" s="220"/>
      <c r="D222" s="220"/>
      <c r="E222" s="220"/>
      <c r="F222" s="220"/>
      <c r="G222" s="220"/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0"/>
      <c r="AA222" s="220"/>
      <c r="AB222" s="220"/>
      <c r="AC222" s="220"/>
      <c r="AD222" s="220"/>
      <c r="AE222" s="220"/>
      <c r="AF222" s="220"/>
      <c r="AG222" s="220"/>
      <c r="AH222" s="220"/>
      <c r="AI222" s="220"/>
      <c r="AJ222" s="220"/>
      <c r="AK222" s="220"/>
      <c r="AL222" s="220"/>
    </row>
    <row r="223" ht="15.75" customHeight="1">
      <c r="A223" s="220"/>
      <c r="B223" s="220"/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0"/>
      <c r="AA223" s="220"/>
      <c r="AB223" s="220"/>
      <c r="AC223" s="220"/>
      <c r="AD223" s="220"/>
      <c r="AE223" s="220"/>
      <c r="AF223" s="220"/>
      <c r="AG223" s="220"/>
      <c r="AH223" s="220"/>
      <c r="AI223" s="220"/>
      <c r="AJ223" s="220"/>
      <c r="AK223" s="220"/>
      <c r="AL223" s="220"/>
    </row>
    <row r="224" ht="15.75" customHeight="1">
      <c r="A224" s="220"/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0"/>
      <c r="AA224" s="220"/>
      <c r="AB224" s="220"/>
      <c r="AC224" s="220"/>
      <c r="AD224" s="220"/>
      <c r="AE224" s="220"/>
      <c r="AF224" s="220"/>
      <c r="AG224" s="220"/>
      <c r="AH224" s="220"/>
      <c r="AI224" s="220"/>
      <c r="AJ224" s="220"/>
      <c r="AK224" s="220"/>
      <c r="AL224" s="220"/>
    </row>
    <row r="225" ht="15.75" customHeight="1">
      <c r="A225" s="220"/>
      <c r="B225" s="220"/>
      <c r="C225" s="220"/>
      <c r="D225" s="220"/>
      <c r="E225" s="220"/>
      <c r="F225" s="220"/>
      <c r="G225" s="220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0"/>
      <c r="AA225" s="220"/>
      <c r="AB225" s="220"/>
      <c r="AC225" s="220"/>
      <c r="AD225" s="220"/>
      <c r="AE225" s="220"/>
      <c r="AF225" s="220"/>
      <c r="AG225" s="220"/>
      <c r="AH225" s="220"/>
      <c r="AI225" s="220"/>
      <c r="AJ225" s="220"/>
      <c r="AK225" s="220"/>
      <c r="AL225" s="220"/>
    </row>
    <row r="226" ht="15.75" customHeight="1">
      <c r="A226" s="220"/>
      <c r="B226" s="220"/>
      <c r="C226" s="220"/>
      <c r="D226" s="220"/>
      <c r="E226" s="220"/>
      <c r="F226" s="220"/>
      <c r="G226" s="220"/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0"/>
      <c r="AA226" s="220"/>
      <c r="AB226" s="220"/>
      <c r="AC226" s="220"/>
      <c r="AD226" s="220"/>
      <c r="AE226" s="220"/>
      <c r="AF226" s="220"/>
      <c r="AG226" s="220"/>
      <c r="AH226" s="220"/>
      <c r="AI226" s="220"/>
      <c r="AJ226" s="220"/>
      <c r="AK226" s="220"/>
      <c r="AL226" s="220"/>
    </row>
    <row r="227" ht="15.75" customHeight="1">
      <c r="A227" s="220"/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0"/>
      <c r="AA227" s="220"/>
      <c r="AB227" s="220"/>
      <c r="AC227" s="220"/>
      <c r="AD227" s="220"/>
      <c r="AE227" s="220"/>
      <c r="AF227" s="220"/>
      <c r="AG227" s="220"/>
      <c r="AH227" s="220"/>
      <c r="AI227" s="220"/>
      <c r="AJ227" s="220"/>
      <c r="AK227" s="220"/>
      <c r="AL227" s="220"/>
    </row>
    <row r="228" ht="15.75" customHeight="1">
      <c r="A228" s="220"/>
      <c r="B228" s="220"/>
      <c r="C228" s="220"/>
      <c r="D228" s="220"/>
      <c r="E228" s="220"/>
      <c r="F228" s="220"/>
      <c r="G228" s="220"/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0"/>
      <c r="AA228" s="220"/>
      <c r="AB228" s="220"/>
      <c r="AC228" s="220"/>
      <c r="AD228" s="220"/>
      <c r="AE228" s="220"/>
      <c r="AF228" s="220"/>
      <c r="AG228" s="220"/>
      <c r="AH228" s="220"/>
      <c r="AI228" s="220"/>
      <c r="AJ228" s="220"/>
      <c r="AK228" s="220"/>
      <c r="AL228" s="220"/>
    </row>
    <row r="229" ht="15.75" customHeight="1">
      <c r="A229" s="220"/>
      <c r="B229" s="220"/>
      <c r="C229" s="220"/>
      <c r="D229" s="220"/>
      <c r="E229" s="220"/>
      <c r="F229" s="220"/>
      <c r="G229" s="220"/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0"/>
      <c r="AA229" s="220"/>
      <c r="AB229" s="220"/>
      <c r="AC229" s="220"/>
      <c r="AD229" s="220"/>
      <c r="AE229" s="220"/>
      <c r="AF229" s="220"/>
      <c r="AG229" s="220"/>
      <c r="AH229" s="220"/>
      <c r="AI229" s="220"/>
      <c r="AJ229" s="220"/>
      <c r="AK229" s="220"/>
      <c r="AL229" s="220"/>
    </row>
    <row r="230" ht="15.75" customHeight="1">
      <c r="A230" s="220"/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0"/>
      <c r="AA230" s="220"/>
      <c r="AB230" s="220"/>
      <c r="AC230" s="220"/>
      <c r="AD230" s="220"/>
      <c r="AE230" s="220"/>
      <c r="AF230" s="220"/>
      <c r="AG230" s="220"/>
      <c r="AH230" s="220"/>
      <c r="AI230" s="220"/>
      <c r="AJ230" s="220"/>
      <c r="AK230" s="220"/>
      <c r="AL230" s="220"/>
    </row>
    <row r="231" ht="15.75" customHeight="1">
      <c r="A231" s="220"/>
      <c r="B231" s="220"/>
      <c r="C231" s="220"/>
      <c r="D231" s="220"/>
      <c r="E231" s="220"/>
      <c r="F231" s="220"/>
      <c r="G231" s="220"/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0"/>
      <c r="AA231" s="220"/>
      <c r="AB231" s="220"/>
      <c r="AC231" s="220"/>
      <c r="AD231" s="220"/>
      <c r="AE231" s="220"/>
      <c r="AF231" s="220"/>
      <c r="AG231" s="220"/>
      <c r="AH231" s="220"/>
      <c r="AI231" s="220"/>
      <c r="AJ231" s="220"/>
      <c r="AK231" s="220"/>
      <c r="AL231" s="220"/>
    </row>
    <row r="232" ht="15.75" customHeight="1">
      <c r="A232" s="220"/>
      <c r="B232" s="220"/>
      <c r="C232" s="220"/>
      <c r="D232" s="220"/>
      <c r="E232" s="220"/>
      <c r="F232" s="220"/>
      <c r="G232" s="220"/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0"/>
      <c r="AA232" s="220"/>
      <c r="AB232" s="220"/>
      <c r="AC232" s="220"/>
      <c r="AD232" s="220"/>
      <c r="AE232" s="220"/>
      <c r="AF232" s="220"/>
      <c r="AG232" s="220"/>
      <c r="AH232" s="220"/>
      <c r="AI232" s="220"/>
      <c r="AJ232" s="220"/>
      <c r="AK232" s="220"/>
      <c r="AL232" s="220"/>
    </row>
    <row r="233" ht="15.75" customHeight="1">
      <c r="A233" s="220"/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0"/>
      <c r="AA233" s="220"/>
      <c r="AB233" s="220"/>
      <c r="AC233" s="220"/>
      <c r="AD233" s="220"/>
      <c r="AE233" s="220"/>
      <c r="AF233" s="220"/>
      <c r="AG233" s="220"/>
      <c r="AH233" s="220"/>
      <c r="AI233" s="220"/>
      <c r="AJ233" s="220"/>
      <c r="AK233" s="220"/>
      <c r="AL233" s="220"/>
    </row>
    <row r="234" ht="15.75" customHeight="1">
      <c r="A234" s="220"/>
      <c r="B234" s="220"/>
      <c r="C234" s="220"/>
      <c r="D234" s="220"/>
      <c r="E234" s="220"/>
      <c r="F234" s="220"/>
      <c r="G234" s="220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0"/>
      <c r="AA234" s="220"/>
      <c r="AB234" s="220"/>
      <c r="AC234" s="220"/>
      <c r="AD234" s="220"/>
      <c r="AE234" s="220"/>
      <c r="AF234" s="220"/>
      <c r="AG234" s="220"/>
      <c r="AH234" s="220"/>
      <c r="AI234" s="220"/>
      <c r="AJ234" s="220"/>
      <c r="AK234" s="220"/>
      <c r="AL234" s="220"/>
    </row>
    <row r="235" ht="15.75" customHeight="1">
      <c r="A235" s="220"/>
      <c r="B235" s="220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0"/>
      <c r="AA235" s="220"/>
      <c r="AB235" s="220"/>
      <c r="AC235" s="220"/>
      <c r="AD235" s="220"/>
      <c r="AE235" s="220"/>
      <c r="AF235" s="220"/>
      <c r="AG235" s="220"/>
      <c r="AH235" s="220"/>
      <c r="AI235" s="220"/>
      <c r="AJ235" s="220"/>
      <c r="AK235" s="220"/>
      <c r="AL235" s="220"/>
    </row>
    <row r="236" ht="15.75" customHeight="1">
      <c r="A236" s="220"/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0"/>
      <c r="AA236" s="220"/>
      <c r="AB236" s="220"/>
      <c r="AC236" s="220"/>
      <c r="AD236" s="220"/>
      <c r="AE236" s="220"/>
      <c r="AF236" s="220"/>
      <c r="AG236" s="220"/>
      <c r="AH236" s="220"/>
      <c r="AI236" s="220"/>
      <c r="AJ236" s="220"/>
      <c r="AK236" s="220"/>
      <c r="AL236" s="220"/>
    </row>
    <row r="237" ht="15.75" customHeight="1">
      <c r="A237" s="220"/>
      <c r="B237" s="220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0"/>
      <c r="AA237" s="220"/>
      <c r="AB237" s="220"/>
      <c r="AC237" s="220"/>
      <c r="AD237" s="220"/>
      <c r="AE237" s="220"/>
      <c r="AF237" s="220"/>
      <c r="AG237" s="220"/>
      <c r="AH237" s="220"/>
      <c r="AI237" s="220"/>
      <c r="AJ237" s="220"/>
      <c r="AK237" s="220"/>
      <c r="AL237" s="220"/>
    </row>
    <row r="238" ht="15.75" customHeight="1">
      <c r="A238" s="22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0"/>
      <c r="AA238" s="220"/>
      <c r="AB238" s="220"/>
      <c r="AC238" s="220"/>
      <c r="AD238" s="220"/>
      <c r="AE238" s="220"/>
      <c r="AF238" s="220"/>
      <c r="AG238" s="220"/>
      <c r="AH238" s="220"/>
      <c r="AI238" s="220"/>
      <c r="AJ238" s="220"/>
      <c r="AK238" s="220"/>
      <c r="AL238" s="220"/>
    </row>
    <row r="239" ht="15.75" customHeight="1">
      <c r="A239" s="220"/>
      <c r="B239" s="220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0"/>
      <c r="AA239" s="220"/>
      <c r="AB239" s="220"/>
      <c r="AC239" s="220"/>
      <c r="AD239" s="220"/>
      <c r="AE239" s="220"/>
      <c r="AF239" s="220"/>
      <c r="AG239" s="220"/>
      <c r="AH239" s="220"/>
      <c r="AI239" s="220"/>
      <c r="AJ239" s="220"/>
      <c r="AK239" s="220"/>
      <c r="AL239" s="220"/>
    </row>
    <row r="240" ht="15.75" customHeight="1">
      <c r="A240" s="220"/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0"/>
      <c r="AA240" s="220"/>
      <c r="AB240" s="220"/>
      <c r="AC240" s="220"/>
      <c r="AD240" s="220"/>
      <c r="AE240" s="220"/>
      <c r="AF240" s="220"/>
      <c r="AG240" s="220"/>
      <c r="AH240" s="220"/>
      <c r="AI240" s="220"/>
      <c r="AJ240" s="220"/>
      <c r="AK240" s="220"/>
      <c r="AL240" s="220"/>
    </row>
    <row r="241" ht="15.75" customHeight="1">
      <c r="A241" s="220"/>
      <c r="B241" s="220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0"/>
      <c r="AA241" s="220"/>
      <c r="AB241" s="220"/>
      <c r="AC241" s="220"/>
      <c r="AD241" s="220"/>
      <c r="AE241" s="220"/>
      <c r="AF241" s="220"/>
      <c r="AG241" s="220"/>
      <c r="AH241" s="220"/>
      <c r="AI241" s="220"/>
      <c r="AJ241" s="220"/>
      <c r="AK241" s="220"/>
      <c r="AL241" s="220"/>
    </row>
    <row r="242" ht="15.75" customHeight="1">
      <c r="A242" s="22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0"/>
      <c r="AA242" s="220"/>
      <c r="AB242" s="220"/>
      <c r="AC242" s="220"/>
      <c r="AD242" s="220"/>
      <c r="AE242" s="220"/>
      <c r="AF242" s="220"/>
      <c r="AG242" s="220"/>
      <c r="AH242" s="220"/>
      <c r="AI242" s="220"/>
      <c r="AJ242" s="220"/>
      <c r="AK242" s="220"/>
      <c r="AL242" s="220"/>
    </row>
    <row r="243" ht="15.75" customHeight="1">
      <c r="A243" s="220"/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0"/>
      <c r="AA243" s="220"/>
      <c r="AB243" s="220"/>
      <c r="AC243" s="220"/>
      <c r="AD243" s="220"/>
      <c r="AE243" s="220"/>
      <c r="AF243" s="220"/>
      <c r="AG243" s="220"/>
      <c r="AH243" s="220"/>
      <c r="AI243" s="220"/>
      <c r="AJ243" s="220"/>
      <c r="AK243" s="220"/>
      <c r="AL243" s="220"/>
    </row>
    <row r="244" ht="15.75" customHeight="1">
      <c r="A244" s="220"/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0"/>
      <c r="AA244" s="220"/>
      <c r="AB244" s="220"/>
      <c r="AC244" s="220"/>
      <c r="AD244" s="220"/>
      <c r="AE244" s="220"/>
      <c r="AF244" s="220"/>
      <c r="AG244" s="220"/>
      <c r="AH244" s="220"/>
      <c r="AI244" s="220"/>
      <c r="AJ244" s="220"/>
      <c r="AK244" s="220"/>
      <c r="AL244" s="220"/>
    </row>
    <row r="245" ht="15.75" customHeight="1">
      <c r="A245" s="220"/>
      <c r="B245" s="220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0"/>
      <c r="AA245" s="220"/>
      <c r="AB245" s="220"/>
      <c r="AC245" s="220"/>
      <c r="AD245" s="220"/>
      <c r="AE245" s="220"/>
      <c r="AF245" s="220"/>
      <c r="AG245" s="220"/>
      <c r="AH245" s="220"/>
      <c r="AI245" s="220"/>
      <c r="AJ245" s="220"/>
      <c r="AK245" s="220"/>
      <c r="AL245" s="220"/>
    </row>
    <row r="246" ht="15.75" customHeight="1">
      <c r="A246" s="22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0"/>
      <c r="AA246" s="220"/>
      <c r="AB246" s="220"/>
      <c r="AC246" s="220"/>
      <c r="AD246" s="220"/>
      <c r="AE246" s="220"/>
      <c r="AF246" s="220"/>
      <c r="AG246" s="220"/>
      <c r="AH246" s="220"/>
      <c r="AI246" s="220"/>
      <c r="AJ246" s="220"/>
      <c r="AK246" s="220"/>
      <c r="AL246" s="220"/>
    </row>
    <row r="247" ht="15.75" customHeight="1">
      <c r="A247" s="220"/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0"/>
      <c r="AA247" s="220"/>
      <c r="AB247" s="220"/>
      <c r="AC247" s="220"/>
      <c r="AD247" s="220"/>
      <c r="AE247" s="220"/>
      <c r="AF247" s="220"/>
      <c r="AG247" s="220"/>
      <c r="AH247" s="220"/>
      <c r="AI247" s="220"/>
      <c r="AJ247" s="220"/>
      <c r="AK247" s="220"/>
      <c r="AL247" s="220"/>
    </row>
    <row r="248" ht="15.75" customHeight="1">
      <c r="A248" s="220"/>
      <c r="B248" s="220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0"/>
      <c r="AA248" s="220"/>
      <c r="AB248" s="220"/>
      <c r="AC248" s="220"/>
      <c r="AD248" s="220"/>
      <c r="AE248" s="220"/>
      <c r="AF248" s="220"/>
      <c r="AG248" s="220"/>
      <c r="AH248" s="220"/>
      <c r="AI248" s="220"/>
      <c r="AJ248" s="220"/>
      <c r="AK248" s="220"/>
      <c r="AL248" s="220"/>
    </row>
    <row r="249" ht="15.75" customHeight="1">
      <c r="A249" s="220"/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0"/>
      <c r="AA249" s="220"/>
      <c r="AB249" s="220"/>
      <c r="AC249" s="220"/>
      <c r="AD249" s="220"/>
      <c r="AE249" s="220"/>
      <c r="AF249" s="220"/>
      <c r="AG249" s="220"/>
      <c r="AH249" s="220"/>
      <c r="AI249" s="220"/>
      <c r="AJ249" s="220"/>
      <c r="AK249" s="220"/>
      <c r="AL249" s="220"/>
    </row>
    <row r="250" ht="15.75" customHeight="1">
      <c r="A250" s="22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0"/>
      <c r="AA250" s="220"/>
      <c r="AB250" s="220"/>
      <c r="AC250" s="220"/>
      <c r="AD250" s="220"/>
      <c r="AE250" s="220"/>
      <c r="AF250" s="220"/>
      <c r="AG250" s="220"/>
      <c r="AH250" s="220"/>
      <c r="AI250" s="220"/>
      <c r="AJ250" s="220"/>
      <c r="AK250" s="220"/>
      <c r="AL250" s="220"/>
    </row>
    <row r="251" ht="15.75" customHeight="1">
      <c r="A251" s="220"/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0"/>
      <c r="AA251" s="220"/>
      <c r="AB251" s="220"/>
      <c r="AC251" s="220"/>
      <c r="AD251" s="220"/>
      <c r="AE251" s="220"/>
      <c r="AF251" s="220"/>
      <c r="AG251" s="220"/>
      <c r="AH251" s="220"/>
      <c r="AI251" s="220"/>
      <c r="AJ251" s="220"/>
      <c r="AK251" s="220"/>
      <c r="AL251" s="220"/>
    </row>
    <row r="252" ht="15.75" customHeight="1">
      <c r="A252" s="220"/>
      <c r="B252" s="220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0"/>
      <c r="AA252" s="220"/>
      <c r="AB252" s="220"/>
      <c r="AC252" s="220"/>
      <c r="AD252" s="220"/>
      <c r="AE252" s="220"/>
      <c r="AF252" s="220"/>
      <c r="AG252" s="220"/>
      <c r="AH252" s="220"/>
      <c r="AI252" s="220"/>
      <c r="AJ252" s="220"/>
      <c r="AK252" s="220"/>
      <c r="AL252" s="220"/>
    </row>
    <row r="253" ht="15.75" customHeight="1">
      <c r="A253" s="220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0"/>
      <c r="AA253" s="220"/>
      <c r="AB253" s="220"/>
      <c r="AC253" s="220"/>
      <c r="AD253" s="220"/>
      <c r="AE253" s="220"/>
      <c r="AF253" s="220"/>
      <c r="AG253" s="220"/>
      <c r="AH253" s="220"/>
      <c r="AI253" s="220"/>
      <c r="AJ253" s="220"/>
      <c r="AK253" s="220"/>
      <c r="AL253" s="220"/>
    </row>
    <row r="254" ht="15.75" customHeight="1">
      <c r="A254" s="22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0"/>
      <c r="AA254" s="220"/>
      <c r="AB254" s="220"/>
      <c r="AC254" s="220"/>
      <c r="AD254" s="220"/>
      <c r="AE254" s="220"/>
      <c r="AF254" s="220"/>
      <c r="AG254" s="220"/>
      <c r="AH254" s="220"/>
      <c r="AI254" s="220"/>
      <c r="AJ254" s="220"/>
      <c r="AK254" s="220"/>
      <c r="AL254" s="220"/>
    </row>
    <row r="255" ht="15.75" customHeight="1">
      <c r="A255" s="220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0"/>
      <c r="AA255" s="220"/>
      <c r="AB255" s="220"/>
      <c r="AC255" s="220"/>
      <c r="AD255" s="220"/>
      <c r="AE255" s="220"/>
      <c r="AF255" s="220"/>
      <c r="AG255" s="220"/>
      <c r="AH255" s="220"/>
      <c r="AI255" s="220"/>
      <c r="AJ255" s="220"/>
      <c r="AK255" s="220"/>
      <c r="AL255" s="220"/>
    </row>
    <row r="256" ht="15.75" customHeight="1">
      <c r="A256" s="220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0"/>
      <c r="AA256" s="220"/>
      <c r="AB256" s="220"/>
      <c r="AC256" s="220"/>
      <c r="AD256" s="220"/>
      <c r="AE256" s="220"/>
      <c r="AF256" s="220"/>
      <c r="AG256" s="220"/>
      <c r="AH256" s="220"/>
      <c r="AI256" s="220"/>
      <c r="AJ256" s="220"/>
      <c r="AK256" s="220"/>
      <c r="AL256" s="220"/>
    </row>
    <row r="257" ht="15.75" customHeight="1">
      <c r="A257" s="220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0"/>
      <c r="AA257" s="220"/>
      <c r="AB257" s="220"/>
      <c r="AC257" s="220"/>
      <c r="AD257" s="220"/>
      <c r="AE257" s="220"/>
      <c r="AF257" s="220"/>
      <c r="AG257" s="220"/>
      <c r="AH257" s="220"/>
      <c r="AI257" s="220"/>
      <c r="AJ257" s="220"/>
      <c r="AK257" s="220"/>
      <c r="AL257" s="220"/>
    </row>
    <row r="258" ht="15.75" customHeight="1">
      <c r="A258" s="22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0"/>
      <c r="AA258" s="220"/>
      <c r="AB258" s="220"/>
      <c r="AC258" s="220"/>
      <c r="AD258" s="220"/>
      <c r="AE258" s="220"/>
      <c r="AF258" s="220"/>
      <c r="AG258" s="220"/>
      <c r="AH258" s="220"/>
      <c r="AI258" s="220"/>
      <c r="AJ258" s="220"/>
      <c r="AK258" s="220"/>
      <c r="AL258" s="220"/>
    </row>
    <row r="259" ht="15.75" customHeight="1">
      <c r="A259" s="220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0"/>
      <c r="AA259" s="220"/>
      <c r="AB259" s="220"/>
      <c r="AC259" s="220"/>
      <c r="AD259" s="220"/>
      <c r="AE259" s="220"/>
      <c r="AF259" s="220"/>
      <c r="AG259" s="220"/>
      <c r="AH259" s="220"/>
      <c r="AI259" s="220"/>
      <c r="AJ259" s="220"/>
      <c r="AK259" s="220"/>
      <c r="AL259" s="220"/>
    </row>
    <row r="260" ht="15.75" customHeight="1">
      <c r="A260" s="220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0"/>
      <c r="AA260" s="220"/>
      <c r="AB260" s="220"/>
      <c r="AC260" s="220"/>
      <c r="AD260" s="220"/>
      <c r="AE260" s="220"/>
      <c r="AF260" s="220"/>
      <c r="AG260" s="220"/>
      <c r="AH260" s="220"/>
      <c r="AI260" s="220"/>
      <c r="AJ260" s="220"/>
      <c r="AK260" s="220"/>
      <c r="AL260" s="220"/>
    </row>
    <row r="261" ht="15.75" customHeight="1">
      <c r="A261" s="220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0"/>
      <c r="AA261" s="220"/>
      <c r="AB261" s="220"/>
      <c r="AC261" s="220"/>
      <c r="AD261" s="220"/>
      <c r="AE261" s="220"/>
      <c r="AF261" s="220"/>
      <c r="AG261" s="220"/>
      <c r="AH261" s="220"/>
      <c r="AI261" s="220"/>
      <c r="AJ261" s="220"/>
      <c r="AK261" s="220"/>
      <c r="AL261" s="220"/>
    </row>
    <row r="262" ht="15.75" customHeight="1">
      <c r="A262" s="22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0"/>
      <c r="AA262" s="220"/>
      <c r="AB262" s="220"/>
      <c r="AC262" s="220"/>
      <c r="AD262" s="220"/>
      <c r="AE262" s="220"/>
      <c r="AF262" s="220"/>
      <c r="AG262" s="220"/>
      <c r="AH262" s="220"/>
      <c r="AI262" s="220"/>
      <c r="AJ262" s="220"/>
      <c r="AK262" s="220"/>
      <c r="AL262" s="220"/>
    </row>
    <row r="263" ht="15.75" customHeight="1">
      <c r="A263" s="220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0"/>
      <c r="AA263" s="220"/>
      <c r="AB263" s="220"/>
      <c r="AC263" s="220"/>
      <c r="AD263" s="220"/>
      <c r="AE263" s="220"/>
      <c r="AF263" s="220"/>
      <c r="AG263" s="220"/>
      <c r="AH263" s="220"/>
      <c r="AI263" s="220"/>
      <c r="AJ263" s="220"/>
      <c r="AK263" s="220"/>
      <c r="AL263" s="220"/>
    </row>
    <row r="264" ht="15.75" customHeight="1">
      <c r="A264" s="220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0"/>
      <c r="AA264" s="220"/>
      <c r="AB264" s="220"/>
      <c r="AC264" s="220"/>
      <c r="AD264" s="220"/>
      <c r="AE264" s="220"/>
      <c r="AF264" s="220"/>
      <c r="AG264" s="220"/>
      <c r="AH264" s="220"/>
      <c r="AI264" s="220"/>
      <c r="AJ264" s="220"/>
      <c r="AK264" s="220"/>
      <c r="AL264" s="220"/>
    </row>
    <row r="265" ht="15.75" customHeight="1">
      <c r="A265" s="220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0"/>
      <c r="AA265" s="220"/>
      <c r="AB265" s="220"/>
      <c r="AC265" s="220"/>
      <c r="AD265" s="220"/>
      <c r="AE265" s="220"/>
      <c r="AF265" s="220"/>
      <c r="AG265" s="220"/>
      <c r="AH265" s="220"/>
      <c r="AI265" s="220"/>
      <c r="AJ265" s="220"/>
      <c r="AK265" s="220"/>
      <c r="AL265" s="220"/>
    </row>
    <row r="266" ht="15.75" customHeight="1">
      <c r="A266" s="22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0"/>
      <c r="AA266" s="220"/>
      <c r="AB266" s="220"/>
      <c r="AC266" s="220"/>
      <c r="AD266" s="220"/>
      <c r="AE266" s="220"/>
      <c r="AF266" s="220"/>
      <c r="AG266" s="220"/>
      <c r="AH266" s="220"/>
      <c r="AI266" s="220"/>
      <c r="AJ266" s="220"/>
      <c r="AK266" s="220"/>
      <c r="AL266" s="220"/>
    </row>
    <row r="267" ht="15.75" customHeight="1">
      <c r="A267" s="220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0"/>
      <c r="AA267" s="220"/>
      <c r="AB267" s="220"/>
      <c r="AC267" s="220"/>
      <c r="AD267" s="220"/>
      <c r="AE267" s="220"/>
      <c r="AF267" s="220"/>
      <c r="AG267" s="220"/>
      <c r="AH267" s="220"/>
      <c r="AI267" s="220"/>
      <c r="AJ267" s="220"/>
      <c r="AK267" s="220"/>
      <c r="AL267" s="220"/>
    </row>
    <row r="268" ht="15.75" customHeight="1">
      <c r="A268" s="220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0"/>
      <c r="AA268" s="220"/>
      <c r="AB268" s="220"/>
      <c r="AC268" s="220"/>
      <c r="AD268" s="220"/>
      <c r="AE268" s="220"/>
      <c r="AF268" s="220"/>
      <c r="AG268" s="220"/>
      <c r="AH268" s="220"/>
      <c r="AI268" s="220"/>
      <c r="AJ268" s="220"/>
      <c r="AK268" s="220"/>
      <c r="AL268" s="220"/>
    </row>
    <row r="269" ht="15.75" customHeight="1">
      <c r="A269" s="220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0"/>
      <c r="AA269" s="220"/>
      <c r="AB269" s="220"/>
      <c r="AC269" s="220"/>
      <c r="AD269" s="220"/>
      <c r="AE269" s="220"/>
      <c r="AF269" s="220"/>
      <c r="AG269" s="220"/>
      <c r="AH269" s="220"/>
      <c r="AI269" s="220"/>
      <c r="AJ269" s="220"/>
      <c r="AK269" s="220"/>
      <c r="AL269" s="220"/>
    </row>
    <row r="270" ht="15.75" customHeight="1">
      <c r="A270" s="22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0"/>
      <c r="AA270" s="220"/>
      <c r="AB270" s="220"/>
      <c r="AC270" s="220"/>
      <c r="AD270" s="220"/>
      <c r="AE270" s="220"/>
      <c r="AF270" s="220"/>
      <c r="AG270" s="220"/>
      <c r="AH270" s="220"/>
      <c r="AI270" s="220"/>
      <c r="AJ270" s="220"/>
      <c r="AK270" s="220"/>
      <c r="AL270" s="220"/>
    </row>
    <row r="271" ht="15.75" customHeight="1">
      <c r="A271" s="220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0"/>
      <c r="AA271" s="220"/>
      <c r="AB271" s="220"/>
      <c r="AC271" s="220"/>
      <c r="AD271" s="220"/>
      <c r="AE271" s="220"/>
      <c r="AF271" s="220"/>
      <c r="AG271" s="220"/>
      <c r="AH271" s="220"/>
      <c r="AI271" s="220"/>
      <c r="AJ271" s="220"/>
      <c r="AK271" s="220"/>
      <c r="AL271" s="220"/>
    </row>
    <row r="272" ht="15.75" customHeight="1">
      <c r="A272" s="220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0"/>
      <c r="AA272" s="220"/>
      <c r="AB272" s="220"/>
      <c r="AC272" s="220"/>
      <c r="AD272" s="220"/>
      <c r="AE272" s="220"/>
      <c r="AF272" s="220"/>
      <c r="AG272" s="220"/>
      <c r="AH272" s="220"/>
      <c r="AI272" s="220"/>
      <c r="AJ272" s="220"/>
      <c r="AK272" s="220"/>
      <c r="AL272" s="220"/>
    </row>
    <row r="273" ht="15.75" customHeight="1">
      <c r="A273" s="220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0"/>
      <c r="AA273" s="220"/>
      <c r="AB273" s="220"/>
      <c r="AC273" s="220"/>
      <c r="AD273" s="220"/>
      <c r="AE273" s="220"/>
      <c r="AF273" s="220"/>
      <c r="AG273" s="220"/>
      <c r="AH273" s="220"/>
      <c r="AI273" s="220"/>
      <c r="AJ273" s="220"/>
      <c r="AK273" s="220"/>
      <c r="AL273" s="220"/>
    </row>
    <row r="274" ht="15.75" customHeight="1">
      <c r="A274" s="220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0"/>
      <c r="AA274" s="220"/>
      <c r="AB274" s="220"/>
      <c r="AC274" s="220"/>
      <c r="AD274" s="220"/>
      <c r="AE274" s="220"/>
      <c r="AF274" s="220"/>
      <c r="AG274" s="220"/>
      <c r="AH274" s="220"/>
      <c r="AI274" s="220"/>
      <c r="AJ274" s="220"/>
      <c r="AK274" s="220"/>
      <c r="AL274" s="220"/>
    </row>
    <row r="275" ht="15.75" customHeight="1">
      <c r="A275" s="220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0"/>
      <c r="AA275" s="220"/>
      <c r="AB275" s="220"/>
      <c r="AC275" s="220"/>
      <c r="AD275" s="220"/>
      <c r="AE275" s="220"/>
      <c r="AF275" s="220"/>
      <c r="AG275" s="220"/>
      <c r="AH275" s="220"/>
      <c r="AI275" s="220"/>
      <c r="AJ275" s="220"/>
      <c r="AK275" s="220"/>
      <c r="AL275" s="220"/>
    </row>
    <row r="276" ht="15.75" customHeight="1">
      <c r="A276" s="220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  <c r="AA276" s="220"/>
      <c r="AB276" s="220"/>
      <c r="AC276" s="220"/>
      <c r="AD276" s="220"/>
      <c r="AE276" s="220"/>
      <c r="AF276" s="220"/>
      <c r="AG276" s="220"/>
      <c r="AH276" s="220"/>
      <c r="AI276" s="220"/>
      <c r="AJ276" s="220"/>
      <c r="AK276" s="220"/>
      <c r="AL276" s="220"/>
    </row>
    <row r="277" ht="15.75" customHeight="1">
      <c r="A277" s="220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0"/>
      <c r="AA277" s="220"/>
      <c r="AB277" s="220"/>
      <c r="AC277" s="220"/>
      <c r="AD277" s="220"/>
      <c r="AE277" s="220"/>
      <c r="AF277" s="220"/>
      <c r="AG277" s="220"/>
      <c r="AH277" s="220"/>
      <c r="AI277" s="220"/>
      <c r="AJ277" s="220"/>
      <c r="AK277" s="220"/>
      <c r="AL277" s="220"/>
    </row>
    <row r="278" ht="15.75" customHeight="1">
      <c r="A278" s="220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0"/>
      <c r="AA278" s="220"/>
      <c r="AB278" s="220"/>
      <c r="AC278" s="220"/>
      <c r="AD278" s="220"/>
      <c r="AE278" s="220"/>
      <c r="AF278" s="220"/>
      <c r="AG278" s="220"/>
      <c r="AH278" s="220"/>
      <c r="AI278" s="220"/>
      <c r="AJ278" s="220"/>
      <c r="AK278" s="220"/>
      <c r="AL278" s="220"/>
    </row>
    <row r="279" ht="15.75" customHeight="1">
      <c r="A279" s="220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0"/>
      <c r="AA279" s="220"/>
      <c r="AB279" s="220"/>
      <c r="AC279" s="220"/>
      <c r="AD279" s="220"/>
      <c r="AE279" s="220"/>
      <c r="AF279" s="220"/>
      <c r="AG279" s="220"/>
      <c r="AH279" s="220"/>
      <c r="AI279" s="220"/>
      <c r="AJ279" s="220"/>
      <c r="AK279" s="220"/>
      <c r="AL279" s="220"/>
    </row>
    <row r="280" ht="15.75" customHeight="1">
      <c r="A280" s="220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0"/>
      <c r="AA280" s="220"/>
      <c r="AB280" s="220"/>
      <c r="AC280" s="220"/>
      <c r="AD280" s="220"/>
      <c r="AE280" s="220"/>
      <c r="AF280" s="220"/>
      <c r="AG280" s="220"/>
      <c r="AH280" s="220"/>
      <c r="AI280" s="220"/>
      <c r="AJ280" s="220"/>
      <c r="AK280" s="220"/>
      <c r="AL280" s="220"/>
    </row>
    <row r="281" ht="15.75" customHeight="1">
      <c r="A281" s="220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0"/>
      <c r="AA281" s="220"/>
      <c r="AB281" s="220"/>
      <c r="AC281" s="220"/>
      <c r="AD281" s="220"/>
      <c r="AE281" s="220"/>
      <c r="AF281" s="220"/>
      <c r="AG281" s="220"/>
      <c r="AH281" s="220"/>
      <c r="AI281" s="220"/>
      <c r="AJ281" s="220"/>
      <c r="AK281" s="220"/>
      <c r="AL281" s="220"/>
    </row>
    <row r="282" ht="15.75" customHeight="1">
      <c r="A282" s="220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0"/>
      <c r="AA282" s="220"/>
      <c r="AB282" s="220"/>
      <c r="AC282" s="220"/>
      <c r="AD282" s="220"/>
      <c r="AE282" s="220"/>
      <c r="AF282" s="220"/>
      <c r="AG282" s="220"/>
      <c r="AH282" s="220"/>
      <c r="AI282" s="220"/>
      <c r="AJ282" s="220"/>
      <c r="AK282" s="220"/>
      <c r="AL282" s="220"/>
    </row>
    <row r="283" ht="15.75" customHeight="1">
      <c r="A283" s="220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0"/>
      <c r="AA283" s="220"/>
      <c r="AB283" s="220"/>
      <c r="AC283" s="220"/>
      <c r="AD283" s="220"/>
      <c r="AE283" s="220"/>
      <c r="AF283" s="220"/>
      <c r="AG283" s="220"/>
      <c r="AH283" s="220"/>
      <c r="AI283" s="220"/>
      <c r="AJ283" s="220"/>
      <c r="AK283" s="220"/>
      <c r="AL283" s="220"/>
    </row>
    <row r="284" ht="15.75" customHeight="1">
      <c r="A284" s="220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0"/>
      <c r="AA284" s="220"/>
      <c r="AB284" s="220"/>
      <c r="AC284" s="220"/>
      <c r="AD284" s="220"/>
      <c r="AE284" s="220"/>
      <c r="AF284" s="220"/>
      <c r="AG284" s="220"/>
      <c r="AH284" s="220"/>
      <c r="AI284" s="220"/>
      <c r="AJ284" s="220"/>
      <c r="AK284" s="220"/>
      <c r="AL284" s="220"/>
    </row>
    <row r="285" ht="15.75" customHeight="1">
      <c r="A285" s="22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0"/>
      <c r="AA285" s="220"/>
      <c r="AB285" s="220"/>
      <c r="AC285" s="220"/>
      <c r="AD285" s="220"/>
      <c r="AE285" s="220"/>
      <c r="AF285" s="220"/>
      <c r="AG285" s="220"/>
      <c r="AH285" s="220"/>
      <c r="AI285" s="220"/>
      <c r="AJ285" s="220"/>
      <c r="AK285" s="220"/>
      <c r="AL285" s="220"/>
    </row>
    <row r="286" ht="15.75" customHeight="1">
      <c r="A286" s="220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0"/>
      <c r="AA286" s="220"/>
      <c r="AB286" s="220"/>
      <c r="AC286" s="220"/>
      <c r="AD286" s="220"/>
      <c r="AE286" s="220"/>
      <c r="AF286" s="220"/>
      <c r="AG286" s="220"/>
      <c r="AH286" s="220"/>
      <c r="AI286" s="220"/>
      <c r="AJ286" s="220"/>
      <c r="AK286" s="220"/>
      <c r="AL286" s="220"/>
    </row>
    <row r="287" ht="15.75" customHeight="1">
      <c r="A287" s="22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0"/>
      <c r="AA287" s="220"/>
      <c r="AB287" s="220"/>
      <c r="AC287" s="220"/>
      <c r="AD287" s="220"/>
      <c r="AE287" s="220"/>
      <c r="AF287" s="220"/>
      <c r="AG287" s="220"/>
      <c r="AH287" s="220"/>
      <c r="AI287" s="220"/>
      <c r="AJ287" s="220"/>
      <c r="AK287" s="220"/>
      <c r="AL287" s="220"/>
    </row>
    <row r="288" ht="15.75" customHeight="1">
      <c r="A288" s="220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0"/>
      <c r="AA288" s="220"/>
      <c r="AB288" s="220"/>
      <c r="AC288" s="220"/>
      <c r="AD288" s="220"/>
      <c r="AE288" s="220"/>
      <c r="AF288" s="220"/>
      <c r="AG288" s="220"/>
      <c r="AH288" s="220"/>
      <c r="AI288" s="220"/>
      <c r="AJ288" s="220"/>
      <c r="AK288" s="220"/>
      <c r="AL288" s="220"/>
    </row>
    <row r="289" ht="15.75" customHeight="1">
      <c r="A289" s="220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0"/>
      <c r="AA289" s="220"/>
      <c r="AB289" s="220"/>
      <c r="AC289" s="220"/>
      <c r="AD289" s="220"/>
      <c r="AE289" s="220"/>
      <c r="AF289" s="220"/>
      <c r="AG289" s="220"/>
      <c r="AH289" s="220"/>
      <c r="AI289" s="220"/>
      <c r="AJ289" s="220"/>
      <c r="AK289" s="220"/>
      <c r="AL289" s="220"/>
    </row>
    <row r="290" ht="15.75" customHeight="1">
      <c r="A290" s="220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0"/>
      <c r="AA290" s="220"/>
      <c r="AB290" s="220"/>
      <c r="AC290" s="220"/>
      <c r="AD290" s="220"/>
      <c r="AE290" s="220"/>
      <c r="AF290" s="220"/>
      <c r="AG290" s="220"/>
      <c r="AH290" s="220"/>
      <c r="AI290" s="220"/>
      <c r="AJ290" s="220"/>
      <c r="AK290" s="220"/>
      <c r="AL290" s="220"/>
    </row>
    <row r="291" ht="15.75" customHeight="1">
      <c r="A291" s="22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0"/>
      <c r="AA291" s="220"/>
      <c r="AB291" s="220"/>
      <c r="AC291" s="220"/>
      <c r="AD291" s="220"/>
      <c r="AE291" s="220"/>
      <c r="AF291" s="220"/>
      <c r="AG291" s="220"/>
      <c r="AH291" s="220"/>
      <c r="AI291" s="220"/>
      <c r="AJ291" s="220"/>
      <c r="AK291" s="220"/>
      <c r="AL291" s="220"/>
    </row>
    <row r="292" ht="15.75" customHeight="1">
      <c r="A292" s="220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0"/>
      <c r="AA292" s="220"/>
      <c r="AB292" s="220"/>
      <c r="AC292" s="220"/>
      <c r="AD292" s="220"/>
      <c r="AE292" s="220"/>
      <c r="AF292" s="220"/>
      <c r="AG292" s="220"/>
      <c r="AH292" s="220"/>
      <c r="AI292" s="220"/>
      <c r="AJ292" s="220"/>
      <c r="AK292" s="220"/>
      <c r="AL292" s="220"/>
    </row>
    <row r="293" ht="15.75" customHeight="1">
      <c r="A293" s="220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0"/>
      <c r="AA293" s="220"/>
      <c r="AB293" s="220"/>
      <c r="AC293" s="220"/>
      <c r="AD293" s="220"/>
      <c r="AE293" s="220"/>
      <c r="AF293" s="220"/>
      <c r="AG293" s="220"/>
      <c r="AH293" s="220"/>
      <c r="AI293" s="220"/>
      <c r="AJ293" s="220"/>
      <c r="AK293" s="220"/>
      <c r="AL293" s="220"/>
    </row>
    <row r="294" ht="15.75" customHeight="1">
      <c r="A294" s="220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0"/>
      <c r="AA294" s="220"/>
      <c r="AB294" s="220"/>
      <c r="AC294" s="220"/>
      <c r="AD294" s="220"/>
      <c r="AE294" s="220"/>
      <c r="AF294" s="220"/>
      <c r="AG294" s="220"/>
      <c r="AH294" s="220"/>
      <c r="AI294" s="220"/>
      <c r="AJ294" s="220"/>
      <c r="AK294" s="220"/>
      <c r="AL294" s="220"/>
    </row>
    <row r="295" ht="15.75" customHeight="1">
      <c r="A295" s="220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0"/>
      <c r="AA295" s="220"/>
      <c r="AB295" s="220"/>
      <c r="AC295" s="220"/>
      <c r="AD295" s="220"/>
      <c r="AE295" s="220"/>
      <c r="AF295" s="220"/>
      <c r="AG295" s="220"/>
      <c r="AH295" s="220"/>
      <c r="AI295" s="220"/>
      <c r="AJ295" s="220"/>
      <c r="AK295" s="220"/>
      <c r="AL295" s="220"/>
    </row>
    <row r="296" ht="15.75" customHeight="1">
      <c r="A296" s="220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0"/>
      <c r="AA296" s="220"/>
      <c r="AB296" s="220"/>
      <c r="AC296" s="220"/>
      <c r="AD296" s="220"/>
      <c r="AE296" s="220"/>
      <c r="AF296" s="220"/>
      <c r="AG296" s="220"/>
      <c r="AH296" s="220"/>
      <c r="AI296" s="220"/>
      <c r="AJ296" s="220"/>
      <c r="AK296" s="220"/>
      <c r="AL296" s="220"/>
    </row>
    <row r="297" ht="15.75" customHeight="1">
      <c r="A297" s="22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0"/>
      <c r="AA297" s="220"/>
      <c r="AB297" s="220"/>
      <c r="AC297" s="220"/>
      <c r="AD297" s="220"/>
      <c r="AE297" s="220"/>
      <c r="AF297" s="220"/>
      <c r="AG297" s="220"/>
      <c r="AH297" s="220"/>
      <c r="AI297" s="220"/>
      <c r="AJ297" s="220"/>
      <c r="AK297" s="220"/>
      <c r="AL297" s="220"/>
    </row>
    <row r="298" ht="15.75" customHeight="1">
      <c r="A298" s="220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0"/>
      <c r="AA298" s="220"/>
      <c r="AB298" s="220"/>
      <c r="AC298" s="220"/>
      <c r="AD298" s="220"/>
      <c r="AE298" s="220"/>
      <c r="AF298" s="220"/>
      <c r="AG298" s="220"/>
      <c r="AH298" s="220"/>
      <c r="AI298" s="220"/>
      <c r="AJ298" s="220"/>
      <c r="AK298" s="220"/>
      <c r="AL298" s="220"/>
    </row>
    <row r="299" ht="15.75" customHeight="1">
      <c r="A299" s="220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0"/>
      <c r="AA299" s="220"/>
      <c r="AB299" s="220"/>
      <c r="AC299" s="220"/>
      <c r="AD299" s="220"/>
      <c r="AE299" s="220"/>
      <c r="AF299" s="220"/>
      <c r="AG299" s="220"/>
      <c r="AH299" s="220"/>
      <c r="AI299" s="220"/>
      <c r="AJ299" s="220"/>
      <c r="AK299" s="220"/>
      <c r="AL299" s="220"/>
    </row>
    <row r="300" ht="15.75" customHeight="1">
      <c r="A300" s="220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0"/>
      <c r="AA300" s="220"/>
      <c r="AB300" s="220"/>
      <c r="AC300" s="220"/>
      <c r="AD300" s="220"/>
      <c r="AE300" s="220"/>
      <c r="AF300" s="220"/>
      <c r="AG300" s="220"/>
      <c r="AH300" s="220"/>
      <c r="AI300" s="220"/>
      <c r="AJ300" s="220"/>
      <c r="AK300" s="220"/>
      <c r="AL300" s="220"/>
    </row>
    <row r="301" ht="15.75" customHeight="1">
      <c r="A301" s="220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  <c r="AA301" s="220"/>
      <c r="AB301" s="220"/>
      <c r="AC301" s="220"/>
      <c r="AD301" s="220"/>
      <c r="AE301" s="220"/>
      <c r="AF301" s="220"/>
      <c r="AG301" s="220"/>
      <c r="AH301" s="220"/>
      <c r="AI301" s="220"/>
      <c r="AJ301" s="220"/>
      <c r="AK301" s="220"/>
      <c r="AL301" s="220"/>
    </row>
    <row r="302" ht="15.75" customHeight="1">
      <c r="A302" s="220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  <c r="AA302" s="220"/>
      <c r="AB302" s="220"/>
      <c r="AC302" s="220"/>
      <c r="AD302" s="220"/>
      <c r="AE302" s="220"/>
      <c r="AF302" s="220"/>
      <c r="AG302" s="220"/>
      <c r="AH302" s="220"/>
      <c r="AI302" s="220"/>
      <c r="AJ302" s="220"/>
      <c r="AK302" s="220"/>
      <c r="AL302" s="220"/>
    </row>
    <row r="303" ht="15.75" customHeight="1">
      <c r="A303" s="220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  <c r="AA303" s="220"/>
      <c r="AB303" s="220"/>
      <c r="AC303" s="220"/>
      <c r="AD303" s="220"/>
      <c r="AE303" s="220"/>
      <c r="AF303" s="220"/>
      <c r="AG303" s="220"/>
      <c r="AH303" s="220"/>
      <c r="AI303" s="220"/>
      <c r="AJ303" s="220"/>
      <c r="AK303" s="220"/>
      <c r="AL303" s="220"/>
    </row>
    <row r="304" ht="15.75" customHeight="1">
      <c r="A304" s="220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0"/>
      <c r="AA304" s="220"/>
      <c r="AB304" s="220"/>
      <c r="AC304" s="220"/>
      <c r="AD304" s="220"/>
      <c r="AE304" s="220"/>
      <c r="AF304" s="220"/>
      <c r="AG304" s="220"/>
      <c r="AH304" s="220"/>
      <c r="AI304" s="220"/>
      <c r="AJ304" s="220"/>
      <c r="AK304" s="220"/>
      <c r="AL304" s="220"/>
    </row>
    <row r="305" ht="15.75" customHeight="1">
      <c r="A305" s="220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0"/>
      <c r="AA305" s="220"/>
      <c r="AB305" s="220"/>
      <c r="AC305" s="220"/>
      <c r="AD305" s="220"/>
      <c r="AE305" s="220"/>
      <c r="AF305" s="220"/>
      <c r="AG305" s="220"/>
      <c r="AH305" s="220"/>
      <c r="AI305" s="220"/>
      <c r="AJ305" s="220"/>
      <c r="AK305" s="220"/>
      <c r="AL305" s="220"/>
    </row>
    <row r="306" ht="15.75" customHeight="1">
      <c r="A306" s="220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0"/>
      <c r="AA306" s="220"/>
      <c r="AB306" s="220"/>
      <c r="AC306" s="220"/>
      <c r="AD306" s="220"/>
      <c r="AE306" s="220"/>
      <c r="AF306" s="220"/>
      <c r="AG306" s="220"/>
      <c r="AH306" s="220"/>
      <c r="AI306" s="220"/>
      <c r="AJ306" s="220"/>
      <c r="AK306" s="220"/>
      <c r="AL306" s="220"/>
    </row>
    <row r="307" ht="15.75" customHeight="1">
      <c r="A307" s="220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  <c r="AA307" s="220"/>
      <c r="AB307" s="220"/>
      <c r="AC307" s="220"/>
      <c r="AD307" s="220"/>
      <c r="AE307" s="220"/>
      <c r="AF307" s="220"/>
      <c r="AG307" s="220"/>
      <c r="AH307" s="220"/>
      <c r="AI307" s="220"/>
      <c r="AJ307" s="220"/>
      <c r="AK307" s="220"/>
      <c r="AL307" s="220"/>
    </row>
    <row r="308" ht="15.75" customHeight="1">
      <c r="A308" s="220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0"/>
      <c r="AA308" s="220"/>
      <c r="AB308" s="220"/>
      <c r="AC308" s="220"/>
      <c r="AD308" s="220"/>
      <c r="AE308" s="220"/>
      <c r="AF308" s="220"/>
      <c r="AG308" s="220"/>
      <c r="AH308" s="220"/>
      <c r="AI308" s="220"/>
      <c r="AJ308" s="220"/>
      <c r="AK308" s="220"/>
      <c r="AL308" s="220"/>
    </row>
    <row r="309" ht="15.75" customHeight="1">
      <c r="A309" s="220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  <c r="AA309" s="220"/>
      <c r="AB309" s="220"/>
      <c r="AC309" s="220"/>
      <c r="AD309" s="220"/>
      <c r="AE309" s="220"/>
      <c r="AF309" s="220"/>
      <c r="AG309" s="220"/>
      <c r="AH309" s="220"/>
      <c r="AI309" s="220"/>
      <c r="AJ309" s="220"/>
      <c r="AK309" s="220"/>
      <c r="AL309" s="220"/>
    </row>
    <row r="310" ht="15.75" customHeight="1">
      <c r="A310" s="220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  <c r="AA310" s="220"/>
      <c r="AB310" s="220"/>
      <c r="AC310" s="220"/>
      <c r="AD310" s="220"/>
      <c r="AE310" s="220"/>
      <c r="AF310" s="220"/>
      <c r="AG310" s="220"/>
      <c r="AH310" s="220"/>
      <c r="AI310" s="220"/>
      <c r="AJ310" s="220"/>
      <c r="AK310" s="220"/>
      <c r="AL310" s="220"/>
    </row>
    <row r="311" ht="15.75" customHeight="1">
      <c r="A311" s="220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  <c r="AA311" s="220"/>
      <c r="AB311" s="220"/>
      <c r="AC311" s="220"/>
      <c r="AD311" s="220"/>
      <c r="AE311" s="220"/>
      <c r="AF311" s="220"/>
      <c r="AG311" s="220"/>
      <c r="AH311" s="220"/>
      <c r="AI311" s="220"/>
      <c r="AJ311" s="220"/>
      <c r="AK311" s="220"/>
      <c r="AL311" s="220"/>
    </row>
    <row r="312" ht="15.75" customHeight="1">
      <c r="A312" s="220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0"/>
      <c r="AA312" s="220"/>
      <c r="AB312" s="220"/>
      <c r="AC312" s="220"/>
      <c r="AD312" s="220"/>
      <c r="AE312" s="220"/>
      <c r="AF312" s="220"/>
      <c r="AG312" s="220"/>
      <c r="AH312" s="220"/>
      <c r="AI312" s="220"/>
      <c r="AJ312" s="220"/>
      <c r="AK312" s="220"/>
      <c r="AL312" s="220"/>
    </row>
    <row r="313" ht="15.75" customHeight="1">
      <c r="A313" s="220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  <c r="AA313" s="220"/>
      <c r="AB313" s="220"/>
      <c r="AC313" s="220"/>
      <c r="AD313" s="220"/>
      <c r="AE313" s="220"/>
      <c r="AF313" s="220"/>
      <c r="AG313" s="220"/>
      <c r="AH313" s="220"/>
      <c r="AI313" s="220"/>
      <c r="AJ313" s="220"/>
      <c r="AK313" s="220"/>
      <c r="AL313" s="220"/>
    </row>
    <row r="314" ht="15.75" customHeight="1">
      <c r="A314" s="220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  <c r="AA314" s="220"/>
      <c r="AB314" s="220"/>
      <c r="AC314" s="220"/>
      <c r="AD314" s="220"/>
      <c r="AE314" s="220"/>
      <c r="AF314" s="220"/>
      <c r="AG314" s="220"/>
      <c r="AH314" s="220"/>
      <c r="AI314" s="220"/>
      <c r="AJ314" s="220"/>
      <c r="AK314" s="220"/>
      <c r="AL314" s="220"/>
    </row>
    <row r="315" ht="15.75" customHeight="1">
      <c r="A315" s="220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0"/>
      <c r="AA315" s="220"/>
      <c r="AB315" s="220"/>
      <c r="AC315" s="220"/>
      <c r="AD315" s="220"/>
      <c r="AE315" s="220"/>
      <c r="AF315" s="220"/>
      <c r="AG315" s="220"/>
      <c r="AH315" s="220"/>
      <c r="AI315" s="220"/>
      <c r="AJ315" s="220"/>
      <c r="AK315" s="220"/>
      <c r="AL315" s="220"/>
    </row>
    <row r="316" ht="15.75" customHeight="1">
      <c r="A316" s="220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0"/>
      <c r="AA316" s="220"/>
      <c r="AB316" s="220"/>
      <c r="AC316" s="220"/>
      <c r="AD316" s="220"/>
      <c r="AE316" s="220"/>
      <c r="AF316" s="220"/>
      <c r="AG316" s="220"/>
      <c r="AH316" s="220"/>
      <c r="AI316" s="220"/>
      <c r="AJ316" s="220"/>
      <c r="AK316" s="220"/>
      <c r="AL316" s="220"/>
    </row>
    <row r="317" ht="15.75" customHeight="1">
      <c r="A317" s="220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0"/>
      <c r="AA317" s="220"/>
      <c r="AB317" s="220"/>
      <c r="AC317" s="220"/>
      <c r="AD317" s="220"/>
      <c r="AE317" s="220"/>
      <c r="AF317" s="220"/>
      <c r="AG317" s="220"/>
      <c r="AH317" s="220"/>
      <c r="AI317" s="220"/>
      <c r="AJ317" s="220"/>
      <c r="AK317" s="220"/>
      <c r="AL317" s="220"/>
    </row>
    <row r="318" ht="15.75" customHeight="1">
      <c r="A318" s="220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0"/>
      <c r="AA318" s="220"/>
      <c r="AB318" s="220"/>
      <c r="AC318" s="220"/>
      <c r="AD318" s="220"/>
      <c r="AE318" s="220"/>
      <c r="AF318" s="220"/>
      <c r="AG318" s="220"/>
      <c r="AH318" s="220"/>
      <c r="AI318" s="220"/>
      <c r="AJ318" s="220"/>
      <c r="AK318" s="220"/>
      <c r="AL318" s="220"/>
    </row>
    <row r="319" ht="15.75" customHeight="1">
      <c r="A319" s="220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0"/>
      <c r="AA319" s="220"/>
      <c r="AB319" s="220"/>
      <c r="AC319" s="220"/>
      <c r="AD319" s="220"/>
      <c r="AE319" s="220"/>
      <c r="AF319" s="220"/>
      <c r="AG319" s="220"/>
      <c r="AH319" s="220"/>
      <c r="AI319" s="220"/>
      <c r="AJ319" s="220"/>
      <c r="AK319" s="220"/>
      <c r="AL319" s="220"/>
    </row>
    <row r="320" ht="15.75" customHeight="1">
      <c r="A320" s="220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0"/>
      <c r="AA320" s="220"/>
      <c r="AB320" s="220"/>
      <c r="AC320" s="220"/>
      <c r="AD320" s="220"/>
      <c r="AE320" s="220"/>
      <c r="AF320" s="220"/>
      <c r="AG320" s="220"/>
      <c r="AH320" s="220"/>
      <c r="AI320" s="220"/>
      <c r="AJ320" s="220"/>
      <c r="AK320" s="220"/>
      <c r="AL320" s="220"/>
    </row>
    <row r="321" ht="15.75" customHeight="1">
      <c r="A321" s="220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0"/>
      <c r="AA321" s="220"/>
      <c r="AB321" s="220"/>
      <c r="AC321" s="220"/>
      <c r="AD321" s="220"/>
      <c r="AE321" s="220"/>
      <c r="AF321" s="220"/>
      <c r="AG321" s="220"/>
      <c r="AH321" s="220"/>
      <c r="AI321" s="220"/>
      <c r="AJ321" s="220"/>
      <c r="AK321" s="220"/>
      <c r="AL321" s="220"/>
    </row>
    <row r="322" ht="15.75" customHeight="1">
      <c r="A322" s="220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0"/>
      <c r="AA322" s="220"/>
      <c r="AB322" s="220"/>
      <c r="AC322" s="220"/>
      <c r="AD322" s="220"/>
      <c r="AE322" s="220"/>
      <c r="AF322" s="220"/>
      <c r="AG322" s="220"/>
      <c r="AH322" s="220"/>
      <c r="AI322" s="220"/>
      <c r="AJ322" s="220"/>
      <c r="AK322" s="220"/>
      <c r="AL322" s="220"/>
    </row>
    <row r="323" ht="15.75" customHeight="1">
      <c r="A323" s="220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0"/>
      <c r="AA323" s="220"/>
      <c r="AB323" s="220"/>
      <c r="AC323" s="220"/>
      <c r="AD323" s="220"/>
      <c r="AE323" s="220"/>
      <c r="AF323" s="220"/>
      <c r="AG323" s="220"/>
      <c r="AH323" s="220"/>
      <c r="AI323" s="220"/>
      <c r="AJ323" s="220"/>
      <c r="AK323" s="220"/>
      <c r="AL323" s="220"/>
    </row>
    <row r="324" ht="15.75" customHeight="1">
      <c r="A324" s="220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0"/>
      <c r="AA324" s="220"/>
      <c r="AB324" s="220"/>
      <c r="AC324" s="220"/>
      <c r="AD324" s="220"/>
      <c r="AE324" s="220"/>
      <c r="AF324" s="220"/>
      <c r="AG324" s="220"/>
      <c r="AH324" s="220"/>
      <c r="AI324" s="220"/>
      <c r="AJ324" s="220"/>
      <c r="AK324" s="220"/>
      <c r="AL324" s="220"/>
    </row>
    <row r="325" ht="15.75" customHeight="1">
      <c r="A325" s="220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0"/>
      <c r="AA325" s="220"/>
      <c r="AB325" s="220"/>
      <c r="AC325" s="220"/>
      <c r="AD325" s="220"/>
      <c r="AE325" s="220"/>
      <c r="AF325" s="220"/>
      <c r="AG325" s="220"/>
      <c r="AH325" s="220"/>
      <c r="AI325" s="220"/>
      <c r="AJ325" s="220"/>
      <c r="AK325" s="220"/>
      <c r="AL325" s="220"/>
    </row>
    <row r="326" ht="15.75" customHeight="1">
      <c r="A326" s="220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0"/>
      <c r="AA326" s="220"/>
      <c r="AB326" s="220"/>
      <c r="AC326" s="220"/>
      <c r="AD326" s="220"/>
      <c r="AE326" s="220"/>
      <c r="AF326" s="220"/>
      <c r="AG326" s="220"/>
      <c r="AH326" s="220"/>
      <c r="AI326" s="220"/>
      <c r="AJ326" s="220"/>
      <c r="AK326" s="220"/>
      <c r="AL326" s="220"/>
    </row>
    <row r="327" ht="15.75" customHeight="1">
      <c r="A327" s="220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0"/>
      <c r="AA327" s="220"/>
      <c r="AB327" s="220"/>
      <c r="AC327" s="220"/>
      <c r="AD327" s="220"/>
      <c r="AE327" s="220"/>
      <c r="AF327" s="220"/>
      <c r="AG327" s="220"/>
      <c r="AH327" s="220"/>
      <c r="AI327" s="220"/>
      <c r="AJ327" s="220"/>
      <c r="AK327" s="220"/>
      <c r="AL327" s="220"/>
    </row>
    <row r="328" ht="15.75" customHeight="1">
      <c r="A328" s="220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0"/>
      <c r="AA328" s="220"/>
      <c r="AB328" s="220"/>
      <c r="AC328" s="220"/>
      <c r="AD328" s="220"/>
      <c r="AE328" s="220"/>
      <c r="AF328" s="220"/>
      <c r="AG328" s="220"/>
      <c r="AH328" s="220"/>
      <c r="AI328" s="220"/>
      <c r="AJ328" s="220"/>
      <c r="AK328" s="220"/>
      <c r="AL328" s="220"/>
    </row>
    <row r="329" ht="15.75" customHeight="1">
      <c r="A329" s="220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0"/>
      <c r="AA329" s="220"/>
      <c r="AB329" s="220"/>
      <c r="AC329" s="220"/>
      <c r="AD329" s="220"/>
      <c r="AE329" s="220"/>
      <c r="AF329" s="220"/>
      <c r="AG329" s="220"/>
      <c r="AH329" s="220"/>
      <c r="AI329" s="220"/>
      <c r="AJ329" s="220"/>
      <c r="AK329" s="220"/>
      <c r="AL329" s="220"/>
    </row>
    <row r="330" ht="15.75" customHeight="1">
      <c r="A330" s="220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0"/>
      <c r="AA330" s="220"/>
      <c r="AB330" s="220"/>
      <c r="AC330" s="220"/>
      <c r="AD330" s="220"/>
      <c r="AE330" s="220"/>
      <c r="AF330" s="220"/>
      <c r="AG330" s="220"/>
      <c r="AH330" s="220"/>
      <c r="AI330" s="220"/>
      <c r="AJ330" s="220"/>
      <c r="AK330" s="220"/>
      <c r="AL330" s="220"/>
    </row>
    <row r="331" ht="15.75" customHeight="1">
      <c r="A331" s="220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0"/>
      <c r="AA331" s="220"/>
      <c r="AB331" s="220"/>
      <c r="AC331" s="220"/>
      <c r="AD331" s="220"/>
      <c r="AE331" s="220"/>
      <c r="AF331" s="220"/>
      <c r="AG331" s="220"/>
      <c r="AH331" s="220"/>
      <c r="AI331" s="220"/>
      <c r="AJ331" s="220"/>
      <c r="AK331" s="220"/>
      <c r="AL331" s="220"/>
    </row>
    <row r="332" ht="15.75" customHeight="1">
      <c r="A332" s="220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0"/>
      <c r="AA332" s="220"/>
      <c r="AB332" s="220"/>
      <c r="AC332" s="220"/>
      <c r="AD332" s="220"/>
      <c r="AE332" s="220"/>
      <c r="AF332" s="220"/>
      <c r="AG332" s="220"/>
      <c r="AH332" s="220"/>
      <c r="AI332" s="220"/>
      <c r="AJ332" s="220"/>
      <c r="AK332" s="220"/>
      <c r="AL332" s="220"/>
    </row>
    <row r="333" ht="15.75" customHeight="1">
      <c r="A333" s="220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0"/>
      <c r="AA333" s="220"/>
      <c r="AB333" s="220"/>
      <c r="AC333" s="220"/>
      <c r="AD333" s="220"/>
      <c r="AE333" s="220"/>
      <c r="AF333" s="220"/>
      <c r="AG333" s="220"/>
      <c r="AH333" s="220"/>
      <c r="AI333" s="220"/>
      <c r="AJ333" s="220"/>
      <c r="AK333" s="220"/>
      <c r="AL333" s="220"/>
    </row>
    <row r="334" ht="15.75" customHeight="1">
      <c r="A334" s="220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0"/>
      <c r="AA334" s="220"/>
      <c r="AB334" s="220"/>
      <c r="AC334" s="220"/>
      <c r="AD334" s="220"/>
      <c r="AE334" s="220"/>
      <c r="AF334" s="220"/>
      <c r="AG334" s="220"/>
      <c r="AH334" s="220"/>
      <c r="AI334" s="220"/>
      <c r="AJ334" s="220"/>
      <c r="AK334" s="220"/>
      <c r="AL334" s="220"/>
    </row>
    <row r="335" ht="15.75" customHeight="1">
      <c r="A335" s="220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0"/>
      <c r="AA335" s="220"/>
      <c r="AB335" s="220"/>
      <c r="AC335" s="220"/>
      <c r="AD335" s="220"/>
      <c r="AE335" s="220"/>
      <c r="AF335" s="220"/>
      <c r="AG335" s="220"/>
      <c r="AH335" s="220"/>
      <c r="AI335" s="220"/>
      <c r="AJ335" s="220"/>
      <c r="AK335" s="220"/>
      <c r="AL335" s="220"/>
    </row>
    <row r="336" ht="15.75" customHeight="1">
      <c r="A336" s="220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0"/>
      <c r="AA336" s="220"/>
      <c r="AB336" s="220"/>
      <c r="AC336" s="220"/>
      <c r="AD336" s="220"/>
      <c r="AE336" s="220"/>
      <c r="AF336" s="220"/>
      <c r="AG336" s="220"/>
      <c r="AH336" s="220"/>
      <c r="AI336" s="220"/>
      <c r="AJ336" s="220"/>
      <c r="AK336" s="220"/>
      <c r="AL336" s="220"/>
    </row>
    <row r="337" ht="15.75" customHeight="1">
      <c r="A337" s="220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0"/>
      <c r="AA337" s="220"/>
      <c r="AB337" s="220"/>
      <c r="AC337" s="220"/>
      <c r="AD337" s="220"/>
      <c r="AE337" s="220"/>
      <c r="AF337" s="220"/>
      <c r="AG337" s="220"/>
      <c r="AH337" s="220"/>
      <c r="AI337" s="220"/>
      <c r="AJ337" s="220"/>
      <c r="AK337" s="220"/>
      <c r="AL337" s="220"/>
    </row>
    <row r="338" ht="15.75" customHeight="1">
      <c r="A338" s="220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0"/>
      <c r="AA338" s="220"/>
      <c r="AB338" s="220"/>
      <c r="AC338" s="220"/>
      <c r="AD338" s="220"/>
      <c r="AE338" s="220"/>
      <c r="AF338" s="220"/>
      <c r="AG338" s="220"/>
      <c r="AH338" s="220"/>
      <c r="AI338" s="220"/>
      <c r="AJ338" s="220"/>
      <c r="AK338" s="220"/>
      <c r="AL338" s="220"/>
    </row>
    <row r="339" ht="15.75" customHeight="1">
      <c r="A339" s="220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0"/>
      <c r="AA339" s="220"/>
      <c r="AB339" s="220"/>
      <c r="AC339" s="220"/>
      <c r="AD339" s="220"/>
      <c r="AE339" s="220"/>
      <c r="AF339" s="220"/>
      <c r="AG339" s="220"/>
      <c r="AH339" s="220"/>
      <c r="AI339" s="220"/>
      <c r="AJ339" s="220"/>
      <c r="AK339" s="220"/>
      <c r="AL339" s="220"/>
    </row>
    <row r="340" ht="15.75" customHeight="1">
      <c r="A340" s="220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0"/>
      <c r="AA340" s="220"/>
      <c r="AB340" s="220"/>
      <c r="AC340" s="220"/>
      <c r="AD340" s="220"/>
      <c r="AE340" s="220"/>
      <c r="AF340" s="220"/>
      <c r="AG340" s="220"/>
      <c r="AH340" s="220"/>
      <c r="AI340" s="220"/>
      <c r="AJ340" s="220"/>
      <c r="AK340" s="220"/>
      <c r="AL340" s="220"/>
    </row>
    <row r="341" ht="15.75" customHeight="1">
      <c r="A341" s="220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0"/>
      <c r="AA341" s="220"/>
      <c r="AB341" s="220"/>
      <c r="AC341" s="220"/>
      <c r="AD341" s="220"/>
      <c r="AE341" s="220"/>
      <c r="AF341" s="220"/>
      <c r="AG341" s="220"/>
      <c r="AH341" s="220"/>
      <c r="AI341" s="220"/>
      <c r="AJ341" s="220"/>
      <c r="AK341" s="220"/>
      <c r="AL341" s="220"/>
    </row>
    <row r="342" ht="15.75" customHeight="1">
      <c r="A342" s="220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0"/>
      <c r="AA342" s="220"/>
      <c r="AB342" s="220"/>
      <c r="AC342" s="220"/>
      <c r="AD342" s="220"/>
      <c r="AE342" s="220"/>
      <c r="AF342" s="220"/>
      <c r="AG342" s="220"/>
      <c r="AH342" s="220"/>
      <c r="AI342" s="220"/>
      <c r="AJ342" s="220"/>
      <c r="AK342" s="220"/>
      <c r="AL342" s="220"/>
    </row>
    <row r="343" ht="15.75" customHeight="1">
      <c r="A343" s="220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0"/>
      <c r="AA343" s="220"/>
      <c r="AB343" s="220"/>
      <c r="AC343" s="220"/>
      <c r="AD343" s="220"/>
      <c r="AE343" s="220"/>
      <c r="AF343" s="220"/>
      <c r="AG343" s="220"/>
      <c r="AH343" s="220"/>
      <c r="AI343" s="220"/>
      <c r="AJ343" s="220"/>
      <c r="AK343" s="220"/>
      <c r="AL343" s="220"/>
    </row>
    <row r="344" ht="15.75" customHeight="1">
      <c r="A344" s="220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0"/>
      <c r="AA344" s="220"/>
      <c r="AB344" s="220"/>
      <c r="AC344" s="220"/>
      <c r="AD344" s="220"/>
      <c r="AE344" s="220"/>
      <c r="AF344" s="220"/>
      <c r="AG344" s="220"/>
      <c r="AH344" s="220"/>
      <c r="AI344" s="220"/>
      <c r="AJ344" s="220"/>
      <c r="AK344" s="220"/>
      <c r="AL344" s="220"/>
    </row>
    <row r="345" ht="15.75" customHeight="1">
      <c r="A345" s="220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0"/>
      <c r="AA345" s="220"/>
      <c r="AB345" s="220"/>
      <c r="AC345" s="220"/>
      <c r="AD345" s="220"/>
      <c r="AE345" s="220"/>
      <c r="AF345" s="220"/>
      <c r="AG345" s="220"/>
      <c r="AH345" s="220"/>
      <c r="AI345" s="220"/>
      <c r="AJ345" s="220"/>
      <c r="AK345" s="220"/>
      <c r="AL345" s="220"/>
    </row>
    <row r="346" ht="15.75" customHeight="1">
      <c r="A346" s="220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0"/>
      <c r="AA346" s="220"/>
      <c r="AB346" s="220"/>
      <c r="AC346" s="220"/>
      <c r="AD346" s="220"/>
      <c r="AE346" s="220"/>
      <c r="AF346" s="220"/>
      <c r="AG346" s="220"/>
      <c r="AH346" s="220"/>
      <c r="AI346" s="220"/>
      <c r="AJ346" s="220"/>
      <c r="AK346" s="220"/>
      <c r="AL346" s="220"/>
    </row>
    <row r="347" ht="15.75" customHeight="1">
      <c r="A347" s="220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0"/>
      <c r="AA347" s="220"/>
      <c r="AB347" s="220"/>
      <c r="AC347" s="220"/>
      <c r="AD347" s="220"/>
      <c r="AE347" s="220"/>
      <c r="AF347" s="220"/>
      <c r="AG347" s="220"/>
      <c r="AH347" s="220"/>
      <c r="AI347" s="220"/>
      <c r="AJ347" s="220"/>
      <c r="AK347" s="220"/>
      <c r="AL347" s="220"/>
    </row>
    <row r="348" ht="15.75" customHeight="1">
      <c r="A348" s="220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0"/>
      <c r="AA348" s="220"/>
      <c r="AB348" s="220"/>
      <c r="AC348" s="220"/>
      <c r="AD348" s="220"/>
      <c r="AE348" s="220"/>
      <c r="AF348" s="220"/>
      <c r="AG348" s="220"/>
      <c r="AH348" s="220"/>
      <c r="AI348" s="220"/>
      <c r="AJ348" s="220"/>
      <c r="AK348" s="220"/>
      <c r="AL348" s="220"/>
    </row>
    <row r="349" ht="15.75" customHeight="1">
      <c r="A349" s="220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0"/>
      <c r="AA349" s="220"/>
      <c r="AB349" s="220"/>
      <c r="AC349" s="220"/>
      <c r="AD349" s="220"/>
      <c r="AE349" s="220"/>
      <c r="AF349" s="220"/>
      <c r="AG349" s="220"/>
      <c r="AH349" s="220"/>
      <c r="AI349" s="220"/>
      <c r="AJ349" s="220"/>
      <c r="AK349" s="220"/>
      <c r="AL349" s="220"/>
    </row>
    <row r="350" ht="15.75" customHeight="1">
      <c r="A350" s="220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0"/>
      <c r="AA350" s="220"/>
      <c r="AB350" s="220"/>
      <c r="AC350" s="220"/>
      <c r="AD350" s="220"/>
      <c r="AE350" s="220"/>
      <c r="AF350" s="220"/>
      <c r="AG350" s="220"/>
      <c r="AH350" s="220"/>
      <c r="AI350" s="220"/>
      <c r="AJ350" s="220"/>
      <c r="AK350" s="220"/>
      <c r="AL350" s="220"/>
    </row>
    <row r="351" ht="15.75" customHeight="1">
      <c r="A351" s="220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0"/>
      <c r="AA351" s="220"/>
      <c r="AB351" s="220"/>
      <c r="AC351" s="220"/>
      <c r="AD351" s="220"/>
      <c r="AE351" s="220"/>
      <c r="AF351" s="220"/>
      <c r="AG351" s="220"/>
      <c r="AH351" s="220"/>
      <c r="AI351" s="220"/>
      <c r="AJ351" s="220"/>
      <c r="AK351" s="220"/>
      <c r="AL351" s="220"/>
    </row>
    <row r="352" ht="15.75" customHeight="1">
      <c r="A352" s="220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0"/>
      <c r="AA352" s="220"/>
      <c r="AB352" s="220"/>
      <c r="AC352" s="220"/>
      <c r="AD352" s="220"/>
      <c r="AE352" s="220"/>
      <c r="AF352" s="220"/>
      <c r="AG352" s="220"/>
      <c r="AH352" s="220"/>
      <c r="AI352" s="220"/>
      <c r="AJ352" s="220"/>
      <c r="AK352" s="220"/>
      <c r="AL352" s="220"/>
    </row>
    <row r="353" ht="15.75" customHeight="1">
      <c r="A353" s="220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0"/>
      <c r="AA353" s="220"/>
      <c r="AB353" s="220"/>
      <c r="AC353" s="220"/>
      <c r="AD353" s="220"/>
      <c r="AE353" s="220"/>
      <c r="AF353" s="220"/>
      <c r="AG353" s="220"/>
      <c r="AH353" s="220"/>
      <c r="AI353" s="220"/>
      <c r="AJ353" s="220"/>
      <c r="AK353" s="220"/>
      <c r="AL353" s="220"/>
    </row>
    <row r="354" ht="15.75" customHeight="1">
      <c r="A354" s="220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0"/>
      <c r="AA354" s="220"/>
      <c r="AB354" s="220"/>
      <c r="AC354" s="220"/>
      <c r="AD354" s="220"/>
      <c r="AE354" s="220"/>
      <c r="AF354" s="220"/>
      <c r="AG354" s="220"/>
      <c r="AH354" s="220"/>
      <c r="AI354" s="220"/>
      <c r="AJ354" s="220"/>
      <c r="AK354" s="220"/>
      <c r="AL354" s="220"/>
    </row>
    <row r="355" ht="15.75" customHeight="1">
      <c r="A355" s="220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0"/>
      <c r="AA355" s="220"/>
      <c r="AB355" s="220"/>
      <c r="AC355" s="220"/>
      <c r="AD355" s="220"/>
      <c r="AE355" s="220"/>
      <c r="AF355" s="220"/>
      <c r="AG355" s="220"/>
      <c r="AH355" s="220"/>
      <c r="AI355" s="220"/>
      <c r="AJ355" s="220"/>
      <c r="AK355" s="220"/>
      <c r="AL355" s="220"/>
    </row>
    <row r="356" ht="15.75" customHeight="1">
      <c r="A356" s="220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0"/>
      <c r="AA356" s="220"/>
      <c r="AB356" s="220"/>
      <c r="AC356" s="220"/>
      <c r="AD356" s="220"/>
      <c r="AE356" s="220"/>
      <c r="AF356" s="220"/>
      <c r="AG356" s="220"/>
      <c r="AH356" s="220"/>
      <c r="AI356" s="220"/>
      <c r="AJ356" s="220"/>
      <c r="AK356" s="220"/>
      <c r="AL356" s="220"/>
    </row>
    <row r="357" ht="15.75" customHeight="1">
      <c r="A357" s="220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0"/>
      <c r="AA357" s="220"/>
      <c r="AB357" s="220"/>
      <c r="AC357" s="220"/>
      <c r="AD357" s="220"/>
      <c r="AE357" s="220"/>
      <c r="AF357" s="220"/>
      <c r="AG357" s="220"/>
      <c r="AH357" s="220"/>
      <c r="AI357" s="220"/>
      <c r="AJ357" s="220"/>
      <c r="AK357" s="220"/>
      <c r="AL357" s="220"/>
    </row>
    <row r="358" ht="15.75" customHeight="1">
      <c r="A358" s="220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0"/>
      <c r="AA358" s="220"/>
      <c r="AB358" s="220"/>
      <c r="AC358" s="220"/>
      <c r="AD358" s="220"/>
      <c r="AE358" s="220"/>
      <c r="AF358" s="220"/>
      <c r="AG358" s="220"/>
      <c r="AH358" s="220"/>
      <c r="AI358" s="220"/>
      <c r="AJ358" s="220"/>
      <c r="AK358" s="220"/>
      <c r="AL358" s="220"/>
    </row>
    <row r="359" ht="15.75" customHeight="1">
      <c r="A359" s="220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0"/>
      <c r="AA359" s="220"/>
      <c r="AB359" s="220"/>
      <c r="AC359" s="220"/>
      <c r="AD359" s="220"/>
      <c r="AE359" s="220"/>
      <c r="AF359" s="220"/>
      <c r="AG359" s="220"/>
      <c r="AH359" s="220"/>
      <c r="AI359" s="220"/>
      <c r="AJ359" s="220"/>
      <c r="AK359" s="220"/>
      <c r="AL359" s="220"/>
    </row>
    <row r="360" ht="15.75" customHeight="1">
      <c r="A360" s="220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0"/>
      <c r="AA360" s="220"/>
      <c r="AB360" s="220"/>
      <c r="AC360" s="220"/>
      <c r="AD360" s="220"/>
      <c r="AE360" s="220"/>
      <c r="AF360" s="220"/>
      <c r="AG360" s="220"/>
      <c r="AH360" s="220"/>
      <c r="AI360" s="220"/>
      <c r="AJ360" s="220"/>
      <c r="AK360" s="220"/>
      <c r="AL360" s="220"/>
    </row>
    <row r="361" ht="15.75" customHeight="1">
      <c r="A361" s="220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0"/>
      <c r="AA361" s="220"/>
      <c r="AB361" s="220"/>
      <c r="AC361" s="220"/>
      <c r="AD361" s="220"/>
      <c r="AE361" s="220"/>
      <c r="AF361" s="220"/>
      <c r="AG361" s="220"/>
      <c r="AH361" s="220"/>
      <c r="AI361" s="220"/>
      <c r="AJ361" s="220"/>
      <c r="AK361" s="220"/>
      <c r="AL361" s="220"/>
    </row>
    <row r="362" ht="15.75" customHeight="1">
      <c r="A362" s="220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0"/>
      <c r="AA362" s="220"/>
      <c r="AB362" s="220"/>
      <c r="AC362" s="220"/>
      <c r="AD362" s="220"/>
      <c r="AE362" s="220"/>
      <c r="AF362" s="220"/>
      <c r="AG362" s="220"/>
      <c r="AH362" s="220"/>
      <c r="AI362" s="220"/>
      <c r="AJ362" s="220"/>
      <c r="AK362" s="220"/>
      <c r="AL362" s="220"/>
    </row>
    <row r="363" ht="15.75" customHeight="1">
      <c r="A363" s="220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0"/>
      <c r="AA363" s="220"/>
      <c r="AB363" s="220"/>
      <c r="AC363" s="220"/>
      <c r="AD363" s="220"/>
      <c r="AE363" s="220"/>
      <c r="AF363" s="220"/>
      <c r="AG363" s="220"/>
      <c r="AH363" s="220"/>
      <c r="AI363" s="220"/>
      <c r="AJ363" s="220"/>
      <c r="AK363" s="220"/>
      <c r="AL363" s="220"/>
    </row>
    <row r="364" ht="15.75" customHeight="1">
      <c r="A364" s="220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0"/>
      <c r="AA364" s="220"/>
      <c r="AB364" s="220"/>
      <c r="AC364" s="220"/>
      <c r="AD364" s="220"/>
      <c r="AE364" s="220"/>
      <c r="AF364" s="220"/>
      <c r="AG364" s="220"/>
      <c r="AH364" s="220"/>
      <c r="AI364" s="220"/>
      <c r="AJ364" s="220"/>
      <c r="AK364" s="220"/>
      <c r="AL364" s="220"/>
    </row>
    <row r="365" ht="15.75" customHeight="1">
      <c r="A365" s="220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0"/>
      <c r="AA365" s="220"/>
      <c r="AB365" s="220"/>
      <c r="AC365" s="220"/>
      <c r="AD365" s="220"/>
      <c r="AE365" s="220"/>
      <c r="AF365" s="220"/>
      <c r="AG365" s="220"/>
      <c r="AH365" s="220"/>
      <c r="AI365" s="220"/>
      <c r="AJ365" s="220"/>
      <c r="AK365" s="220"/>
      <c r="AL365" s="220"/>
    </row>
    <row r="366" ht="15.75" customHeight="1">
      <c r="A366" s="220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0"/>
      <c r="AA366" s="220"/>
      <c r="AB366" s="220"/>
      <c r="AC366" s="220"/>
      <c r="AD366" s="220"/>
      <c r="AE366" s="220"/>
      <c r="AF366" s="220"/>
      <c r="AG366" s="220"/>
      <c r="AH366" s="220"/>
      <c r="AI366" s="220"/>
      <c r="AJ366" s="220"/>
      <c r="AK366" s="220"/>
      <c r="AL366" s="220"/>
    </row>
    <row r="367" ht="15.75" customHeight="1">
      <c r="A367" s="220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0"/>
      <c r="AA367" s="220"/>
      <c r="AB367" s="220"/>
      <c r="AC367" s="220"/>
      <c r="AD367" s="220"/>
      <c r="AE367" s="220"/>
      <c r="AF367" s="220"/>
      <c r="AG367" s="220"/>
      <c r="AH367" s="220"/>
      <c r="AI367" s="220"/>
      <c r="AJ367" s="220"/>
      <c r="AK367" s="220"/>
      <c r="AL367" s="220"/>
    </row>
    <row r="368" ht="15.75" customHeight="1">
      <c r="A368" s="220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0"/>
      <c r="AA368" s="220"/>
      <c r="AB368" s="220"/>
      <c r="AC368" s="220"/>
      <c r="AD368" s="220"/>
      <c r="AE368" s="220"/>
      <c r="AF368" s="220"/>
      <c r="AG368" s="220"/>
      <c r="AH368" s="220"/>
      <c r="AI368" s="220"/>
      <c r="AJ368" s="220"/>
      <c r="AK368" s="220"/>
      <c r="AL368" s="220"/>
    </row>
    <row r="369" ht="15.75" customHeight="1">
      <c r="A369" s="220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0"/>
      <c r="AA369" s="220"/>
      <c r="AB369" s="220"/>
      <c r="AC369" s="220"/>
      <c r="AD369" s="220"/>
      <c r="AE369" s="220"/>
      <c r="AF369" s="220"/>
      <c r="AG369" s="220"/>
      <c r="AH369" s="220"/>
      <c r="AI369" s="220"/>
      <c r="AJ369" s="220"/>
      <c r="AK369" s="220"/>
      <c r="AL369" s="220"/>
    </row>
    <row r="370" ht="15.75" customHeight="1">
      <c r="A370" s="220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0"/>
      <c r="AA370" s="220"/>
      <c r="AB370" s="220"/>
      <c r="AC370" s="220"/>
      <c r="AD370" s="220"/>
      <c r="AE370" s="220"/>
      <c r="AF370" s="220"/>
      <c r="AG370" s="220"/>
      <c r="AH370" s="220"/>
      <c r="AI370" s="220"/>
      <c r="AJ370" s="220"/>
      <c r="AK370" s="220"/>
      <c r="AL370" s="220"/>
    </row>
    <row r="371" ht="15.75" customHeight="1">
      <c r="A371" s="220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0"/>
      <c r="AA371" s="220"/>
      <c r="AB371" s="220"/>
      <c r="AC371" s="220"/>
      <c r="AD371" s="220"/>
      <c r="AE371" s="220"/>
      <c r="AF371" s="220"/>
      <c r="AG371" s="220"/>
      <c r="AH371" s="220"/>
      <c r="AI371" s="220"/>
      <c r="AJ371" s="220"/>
      <c r="AK371" s="220"/>
      <c r="AL371" s="220"/>
    </row>
    <row r="372" ht="15.75" customHeight="1">
      <c r="A372" s="220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0"/>
      <c r="AA372" s="220"/>
      <c r="AB372" s="220"/>
      <c r="AC372" s="220"/>
      <c r="AD372" s="220"/>
      <c r="AE372" s="220"/>
      <c r="AF372" s="220"/>
      <c r="AG372" s="220"/>
      <c r="AH372" s="220"/>
      <c r="AI372" s="220"/>
      <c r="AJ372" s="220"/>
      <c r="AK372" s="220"/>
      <c r="AL372" s="220"/>
    </row>
    <row r="373" ht="15.75" customHeight="1">
      <c r="A373" s="220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0"/>
      <c r="AA373" s="220"/>
      <c r="AB373" s="220"/>
      <c r="AC373" s="220"/>
      <c r="AD373" s="220"/>
      <c r="AE373" s="220"/>
      <c r="AF373" s="220"/>
      <c r="AG373" s="220"/>
      <c r="AH373" s="220"/>
      <c r="AI373" s="220"/>
      <c r="AJ373" s="220"/>
      <c r="AK373" s="220"/>
      <c r="AL373" s="220"/>
    </row>
    <row r="374" ht="15.75" customHeight="1">
      <c r="A374" s="220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0"/>
      <c r="AA374" s="220"/>
      <c r="AB374" s="220"/>
      <c r="AC374" s="220"/>
      <c r="AD374" s="220"/>
      <c r="AE374" s="220"/>
      <c r="AF374" s="220"/>
      <c r="AG374" s="220"/>
      <c r="AH374" s="220"/>
      <c r="AI374" s="220"/>
      <c r="AJ374" s="220"/>
      <c r="AK374" s="220"/>
      <c r="AL374" s="220"/>
    </row>
    <row r="375" ht="15.75" customHeight="1">
      <c r="A375" s="220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0"/>
      <c r="AA375" s="220"/>
      <c r="AB375" s="220"/>
      <c r="AC375" s="220"/>
      <c r="AD375" s="220"/>
      <c r="AE375" s="220"/>
      <c r="AF375" s="220"/>
      <c r="AG375" s="220"/>
      <c r="AH375" s="220"/>
      <c r="AI375" s="220"/>
      <c r="AJ375" s="220"/>
      <c r="AK375" s="220"/>
      <c r="AL375" s="220"/>
    </row>
    <row r="376" ht="15.75" customHeight="1">
      <c r="A376" s="220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0"/>
      <c r="AA376" s="220"/>
      <c r="AB376" s="220"/>
      <c r="AC376" s="220"/>
      <c r="AD376" s="220"/>
      <c r="AE376" s="220"/>
      <c r="AF376" s="220"/>
      <c r="AG376" s="220"/>
      <c r="AH376" s="220"/>
      <c r="AI376" s="220"/>
      <c r="AJ376" s="220"/>
      <c r="AK376" s="220"/>
      <c r="AL376" s="220"/>
    </row>
    <row r="377" ht="15.75" customHeight="1">
      <c r="A377" s="220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0"/>
      <c r="AA377" s="220"/>
      <c r="AB377" s="220"/>
      <c r="AC377" s="220"/>
      <c r="AD377" s="220"/>
      <c r="AE377" s="220"/>
      <c r="AF377" s="220"/>
      <c r="AG377" s="220"/>
      <c r="AH377" s="220"/>
      <c r="AI377" s="220"/>
      <c r="AJ377" s="220"/>
      <c r="AK377" s="220"/>
      <c r="AL377" s="220"/>
    </row>
    <row r="378" ht="15.75" customHeight="1">
      <c r="A378" s="220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0"/>
      <c r="AA378" s="220"/>
      <c r="AB378" s="220"/>
      <c r="AC378" s="220"/>
      <c r="AD378" s="220"/>
      <c r="AE378" s="220"/>
      <c r="AF378" s="220"/>
      <c r="AG378" s="220"/>
      <c r="AH378" s="220"/>
      <c r="AI378" s="220"/>
      <c r="AJ378" s="220"/>
      <c r="AK378" s="220"/>
      <c r="AL378" s="220"/>
    </row>
    <row r="379" ht="15.75" customHeight="1">
      <c r="A379" s="220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0"/>
      <c r="AA379" s="220"/>
      <c r="AB379" s="220"/>
      <c r="AC379" s="220"/>
      <c r="AD379" s="220"/>
      <c r="AE379" s="220"/>
      <c r="AF379" s="220"/>
      <c r="AG379" s="220"/>
      <c r="AH379" s="220"/>
      <c r="AI379" s="220"/>
      <c r="AJ379" s="220"/>
      <c r="AK379" s="220"/>
      <c r="AL379" s="220"/>
    </row>
    <row r="380" ht="15.75" customHeight="1">
      <c r="A380" s="220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0"/>
      <c r="AA380" s="220"/>
      <c r="AB380" s="220"/>
      <c r="AC380" s="220"/>
      <c r="AD380" s="220"/>
      <c r="AE380" s="220"/>
      <c r="AF380" s="220"/>
      <c r="AG380" s="220"/>
      <c r="AH380" s="220"/>
      <c r="AI380" s="220"/>
      <c r="AJ380" s="220"/>
      <c r="AK380" s="220"/>
      <c r="AL380" s="220"/>
    </row>
    <row r="381" ht="15.75" customHeight="1">
      <c r="A381" s="220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0"/>
      <c r="AA381" s="220"/>
      <c r="AB381" s="220"/>
      <c r="AC381" s="220"/>
      <c r="AD381" s="220"/>
      <c r="AE381" s="220"/>
      <c r="AF381" s="220"/>
      <c r="AG381" s="220"/>
      <c r="AH381" s="220"/>
      <c r="AI381" s="220"/>
      <c r="AJ381" s="220"/>
      <c r="AK381" s="220"/>
      <c r="AL381" s="220"/>
    </row>
    <row r="382" ht="15.75" customHeight="1">
      <c r="A382" s="220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0"/>
      <c r="AA382" s="220"/>
      <c r="AB382" s="220"/>
      <c r="AC382" s="220"/>
      <c r="AD382" s="220"/>
      <c r="AE382" s="220"/>
      <c r="AF382" s="220"/>
      <c r="AG382" s="220"/>
      <c r="AH382" s="220"/>
      <c r="AI382" s="220"/>
      <c r="AJ382" s="220"/>
      <c r="AK382" s="220"/>
      <c r="AL382" s="220"/>
    </row>
    <row r="383" ht="15.75" customHeight="1">
      <c r="A383" s="220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0"/>
      <c r="AA383" s="220"/>
      <c r="AB383" s="220"/>
      <c r="AC383" s="220"/>
      <c r="AD383" s="220"/>
      <c r="AE383" s="220"/>
      <c r="AF383" s="220"/>
      <c r="AG383" s="220"/>
      <c r="AH383" s="220"/>
      <c r="AI383" s="220"/>
      <c r="AJ383" s="220"/>
      <c r="AK383" s="220"/>
      <c r="AL383" s="220"/>
    </row>
    <row r="384" ht="15.75" customHeight="1">
      <c r="A384" s="220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0"/>
      <c r="AA384" s="220"/>
      <c r="AB384" s="220"/>
      <c r="AC384" s="220"/>
      <c r="AD384" s="220"/>
      <c r="AE384" s="220"/>
      <c r="AF384" s="220"/>
      <c r="AG384" s="220"/>
      <c r="AH384" s="220"/>
      <c r="AI384" s="220"/>
      <c r="AJ384" s="220"/>
      <c r="AK384" s="220"/>
      <c r="AL384" s="220"/>
    </row>
    <row r="385" ht="15.75" customHeight="1">
      <c r="A385" s="220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0"/>
      <c r="AA385" s="220"/>
      <c r="AB385" s="220"/>
      <c r="AC385" s="220"/>
      <c r="AD385" s="220"/>
      <c r="AE385" s="220"/>
      <c r="AF385" s="220"/>
      <c r="AG385" s="220"/>
      <c r="AH385" s="220"/>
      <c r="AI385" s="220"/>
      <c r="AJ385" s="220"/>
      <c r="AK385" s="220"/>
      <c r="AL385" s="220"/>
    </row>
    <row r="386" ht="15.75" customHeight="1">
      <c r="A386" s="220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0"/>
      <c r="AA386" s="220"/>
      <c r="AB386" s="220"/>
      <c r="AC386" s="220"/>
      <c r="AD386" s="220"/>
      <c r="AE386" s="220"/>
      <c r="AF386" s="220"/>
      <c r="AG386" s="220"/>
      <c r="AH386" s="220"/>
      <c r="AI386" s="220"/>
      <c r="AJ386" s="220"/>
      <c r="AK386" s="220"/>
      <c r="AL386" s="220"/>
    </row>
    <row r="387" ht="15.75" customHeight="1">
      <c r="A387" s="220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0"/>
      <c r="AA387" s="220"/>
      <c r="AB387" s="220"/>
      <c r="AC387" s="220"/>
      <c r="AD387" s="220"/>
      <c r="AE387" s="220"/>
      <c r="AF387" s="220"/>
      <c r="AG387" s="220"/>
      <c r="AH387" s="220"/>
      <c r="AI387" s="220"/>
      <c r="AJ387" s="220"/>
      <c r="AK387" s="220"/>
      <c r="AL387" s="220"/>
    </row>
    <row r="388" ht="15.75" customHeight="1">
      <c r="A388" s="220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0"/>
      <c r="AA388" s="220"/>
      <c r="AB388" s="220"/>
      <c r="AC388" s="220"/>
      <c r="AD388" s="220"/>
      <c r="AE388" s="220"/>
      <c r="AF388" s="220"/>
      <c r="AG388" s="220"/>
      <c r="AH388" s="220"/>
      <c r="AI388" s="220"/>
      <c r="AJ388" s="220"/>
      <c r="AK388" s="220"/>
      <c r="AL388" s="220"/>
    </row>
    <row r="389" ht="15.75" customHeight="1">
      <c r="A389" s="220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0"/>
      <c r="AA389" s="220"/>
      <c r="AB389" s="220"/>
      <c r="AC389" s="220"/>
      <c r="AD389" s="220"/>
      <c r="AE389" s="220"/>
      <c r="AF389" s="220"/>
      <c r="AG389" s="220"/>
      <c r="AH389" s="220"/>
      <c r="AI389" s="220"/>
      <c r="AJ389" s="220"/>
      <c r="AK389" s="220"/>
      <c r="AL389" s="220"/>
    </row>
    <row r="390" ht="15.75" customHeight="1">
      <c r="A390" s="220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0"/>
      <c r="AA390" s="220"/>
      <c r="AB390" s="220"/>
      <c r="AC390" s="220"/>
      <c r="AD390" s="220"/>
      <c r="AE390" s="220"/>
      <c r="AF390" s="220"/>
      <c r="AG390" s="220"/>
      <c r="AH390" s="220"/>
      <c r="AI390" s="220"/>
      <c r="AJ390" s="220"/>
      <c r="AK390" s="220"/>
      <c r="AL390" s="220"/>
    </row>
    <row r="391" ht="15.75" customHeight="1">
      <c r="A391" s="220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0"/>
      <c r="AA391" s="220"/>
      <c r="AB391" s="220"/>
      <c r="AC391" s="220"/>
      <c r="AD391" s="220"/>
      <c r="AE391" s="220"/>
      <c r="AF391" s="220"/>
      <c r="AG391" s="220"/>
      <c r="AH391" s="220"/>
      <c r="AI391" s="220"/>
      <c r="AJ391" s="220"/>
      <c r="AK391" s="220"/>
      <c r="AL391" s="220"/>
    </row>
    <row r="392" ht="15.75" customHeight="1">
      <c r="A392" s="220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0"/>
      <c r="AA392" s="220"/>
      <c r="AB392" s="220"/>
      <c r="AC392" s="220"/>
      <c r="AD392" s="220"/>
      <c r="AE392" s="220"/>
      <c r="AF392" s="220"/>
      <c r="AG392" s="220"/>
      <c r="AH392" s="220"/>
      <c r="AI392" s="220"/>
      <c r="AJ392" s="220"/>
      <c r="AK392" s="220"/>
      <c r="AL392" s="220"/>
    </row>
    <row r="393" ht="15.75" customHeight="1">
      <c r="A393" s="220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0"/>
      <c r="AA393" s="220"/>
      <c r="AB393" s="220"/>
      <c r="AC393" s="220"/>
      <c r="AD393" s="220"/>
      <c r="AE393" s="220"/>
      <c r="AF393" s="220"/>
      <c r="AG393" s="220"/>
      <c r="AH393" s="220"/>
      <c r="AI393" s="220"/>
      <c r="AJ393" s="220"/>
      <c r="AK393" s="220"/>
      <c r="AL393" s="220"/>
    </row>
    <row r="394" ht="15.75" customHeight="1">
      <c r="A394" s="220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0"/>
      <c r="AA394" s="220"/>
      <c r="AB394" s="220"/>
      <c r="AC394" s="220"/>
      <c r="AD394" s="220"/>
      <c r="AE394" s="220"/>
      <c r="AF394" s="220"/>
      <c r="AG394" s="220"/>
      <c r="AH394" s="220"/>
      <c r="AI394" s="220"/>
      <c r="AJ394" s="220"/>
      <c r="AK394" s="220"/>
      <c r="AL394" s="220"/>
    </row>
    <row r="395" ht="15.75" customHeight="1">
      <c r="A395" s="220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0"/>
      <c r="AA395" s="220"/>
      <c r="AB395" s="220"/>
      <c r="AC395" s="220"/>
      <c r="AD395" s="220"/>
      <c r="AE395" s="220"/>
      <c r="AF395" s="220"/>
      <c r="AG395" s="220"/>
      <c r="AH395" s="220"/>
      <c r="AI395" s="220"/>
      <c r="AJ395" s="220"/>
      <c r="AK395" s="220"/>
      <c r="AL395" s="220"/>
    </row>
    <row r="396" ht="15.75" customHeight="1">
      <c r="A396" s="220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0"/>
      <c r="AA396" s="220"/>
      <c r="AB396" s="220"/>
      <c r="AC396" s="220"/>
      <c r="AD396" s="220"/>
      <c r="AE396" s="220"/>
      <c r="AF396" s="220"/>
      <c r="AG396" s="220"/>
      <c r="AH396" s="220"/>
      <c r="AI396" s="220"/>
      <c r="AJ396" s="220"/>
      <c r="AK396" s="220"/>
      <c r="AL396" s="220"/>
    </row>
    <row r="397" ht="15.75" customHeight="1">
      <c r="A397" s="220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0"/>
      <c r="AA397" s="220"/>
      <c r="AB397" s="220"/>
      <c r="AC397" s="220"/>
      <c r="AD397" s="220"/>
      <c r="AE397" s="220"/>
      <c r="AF397" s="220"/>
      <c r="AG397" s="220"/>
      <c r="AH397" s="220"/>
      <c r="AI397" s="220"/>
      <c r="AJ397" s="220"/>
      <c r="AK397" s="220"/>
      <c r="AL397" s="220"/>
    </row>
    <row r="398" ht="15.75" customHeight="1">
      <c r="A398" s="220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0"/>
      <c r="AA398" s="220"/>
      <c r="AB398" s="220"/>
      <c r="AC398" s="220"/>
      <c r="AD398" s="220"/>
      <c r="AE398" s="220"/>
      <c r="AF398" s="220"/>
      <c r="AG398" s="220"/>
      <c r="AH398" s="220"/>
      <c r="AI398" s="220"/>
      <c r="AJ398" s="220"/>
      <c r="AK398" s="220"/>
      <c r="AL398" s="220"/>
    </row>
    <row r="399" ht="15.75" customHeight="1">
      <c r="A399" s="220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0"/>
      <c r="AA399" s="220"/>
      <c r="AB399" s="220"/>
      <c r="AC399" s="220"/>
      <c r="AD399" s="220"/>
      <c r="AE399" s="220"/>
      <c r="AF399" s="220"/>
      <c r="AG399" s="220"/>
      <c r="AH399" s="220"/>
      <c r="AI399" s="220"/>
      <c r="AJ399" s="220"/>
      <c r="AK399" s="220"/>
      <c r="AL399" s="220"/>
    </row>
    <row r="400" ht="15.75" customHeight="1">
      <c r="A400" s="220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0"/>
      <c r="AA400" s="220"/>
      <c r="AB400" s="220"/>
      <c r="AC400" s="220"/>
      <c r="AD400" s="220"/>
      <c r="AE400" s="220"/>
      <c r="AF400" s="220"/>
      <c r="AG400" s="220"/>
      <c r="AH400" s="220"/>
      <c r="AI400" s="220"/>
      <c r="AJ400" s="220"/>
      <c r="AK400" s="220"/>
      <c r="AL400" s="220"/>
    </row>
    <row r="401" ht="15.75" customHeight="1">
      <c r="A401" s="220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0"/>
      <c r="AA401" s="220"/>
      <c r="AB401" s="220"/>
      <c r="AC401" s="220"/>
      <c r="AD401" s="220"/>
      <c r="AE401" s="220"/>
      <c r="AF401" s="220"/>
      <c r="AG401" s="220"/>
      <c r="AH401" s="220"/>
      <c r="AI401" s="220"/>
      <c r="AJ401" s="220"/>
      <c r="AK401" s="220"/>
      <c r="AL401" s="220"/>
    </row>
    <row r="402" ht="15.75" customHeight="1">
      <c r="A402" s="220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0"/>
      <c r="AA402" s="220"/>
      <c r="AB402" s="220"/>
      <c r="AC402" s="220"/>
      <c r="AD402" s="220"/>
      <c r="AE402" s="220"/>
      <c r="AF402" s="220"/>
      <c r="AG402" s="220"/>
      <c r="AH402" s="220"/>
      <c r="AI402" s="220"/>
      <c r="AJ402" s="220"/>
      <c r="AK402" s="220"/>
      <c r="AL402" s="220"/>
    </row>
    <row r="403" ht="15.75" customHeight="1">
      <c r="A403" s="220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0"/>
      <c r="AA403" s="220"/>
      <c r="AB403" s="220"/>
      <c r="AC403" s="220"/>
      <c r="AD403" s="220"/>
      <c r="AE403" s="220"/>
      <c r="AF403" s="220"/>
      <c r="AG403" s="220"/>
      <c r="AH403" s="220"/>
      <c r="AI403" s="220"/>
      <c r="AJ403" s="220"/>
      <c r="AK403" s="220"/>
      <c r="AL403" s="220"/>
    </row>
    <row r="404" ht="15.75" customHeight="1">
      <c r="A404" s="220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0"/>
      <c r="AA404" s="220"/>
      <c r="AB404" s="220"/>
      <c r="AC404" s="220"/>
      <c r="AD404" s="220"/>
      <c r="AE404" s="220"/>
      <c r="AF404" s="220"/>
      <c r="AG404" s="220"/>
      <c r="AH404" s="220"/>
      <c r="AI404" s="220"/>
      <c r="AJ404" s="220"/>
      <c r="AK404" s="220"/>
      <c r="AL404" s="220"/>
    </row>
    <row r="405" ht="15.75" customHeight="1">
      <c r="A405" s="220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0"/>
      <c r="AA405" s="220"/>
      <c r="AB405" s="220"/>
      <c r="AC405" s="220"/>
      <c r="AD405" s="220"/>
      <c r="AE405" s="220"/>
      <c r="AF405" s="220"/>
      <c r="AG405" s="220"/>
      <c r="AH405" s="220"/>
      <c r="AI405" s="220"/>
      <c r="AJ405" s="220"/>
      <c r="AK405" s="220"/>
      <c r="AL405" s="220"/>
    </row>
    <row r="406" ht="15.75" customHeight="1">
      <c r="A406" s="220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0"/>
      <c r="AA406" s="220"/>
      <c r="AB406" s="220"/>
      <c r="AC406" s="220"/>
      <c r="AD406" s="220"/>
      <c r="AE406" s="220"/>
      <c r="AF406" s="220"/>
      <c r="AG406" s="220"/>
      <c r="AH406" s="220"/>
      <c r="AI406" s="220"/>
      <c r="AJ406" s="220"/>
      <c r="AK406" s="220"/>
      <c r="AL406" s="220"/>
    </row>
    <row r="407" ht="15.75" customHeight="1">
      <c r="A407" s="220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0"/>
      <c r="AA407" s="220"/>
      <c r="AB407" s="220"/>
      <c r="AC407" s="220"/>
      <c r="AD407" s="220"/>
      <c r="AE407" s="220"/>
      <c r="AF407" s="220"/>
      <c r="AG407" s="220"/>
      <c r="AH407" s="220"/>
      <c r="AI407" s="220"/>
      <c r="AJ407" s="220"/>
      <c r="AK407" s="220"/>
      <c r="AL407" s="220"/>
    </row>
    <row r="408" ht="15.75" customHeight="1">
      <c r="A408" s="220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0"/>
      <c r="AA408" s="220"/>
      <c r="AB408" s="220"/>
      <c r="AC408" s="220"/>
      <c r="AD408" s="220"/>
      <c r="AE408" s="220"/>
      <c r="AF408" s="220"/>
      <c r="AG408" s="220"/>
      <c r="AH408" s="220"/>
      <c r="AI408" s="220"/>
      <c r="AJ408" s="220"/>
      <c r="AK408" s="220"/>
      <c r="AL408" s="220"/>
    </row>
    <row r="409" ht="15.75" customHeight="1">
      <c r="A409" s="220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0"/>
      <c r="AA409" s="220"/>
      <c r="AB409" s="220"/>
      <c r="AC409" s="220"/>
      <c r="AD409" s="220"/>
      <c r="AE409" s="220"/>
      <c r="AF409" s="220"/>
      <c r="AG409" s="220"/>
      <c r="AH409" s="220"/>
      <c r="AI409" s="220"/>
      <c r="AJ409" s="220"/>
      <c r="AK409" s="220"/>
      <c r="AL409" s="220"/>
    </row>
    <row r="410" ht="15.75" customHeight="1">
      <c r="A410" s="220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0"/>
      <c r="AA410" s="220"/>
      <c r="AB410" s="220"/>
      <c r="AC410" s="220"/>
      <c r="AD410" s="220"/>
      <c r="AE410" s="220"/>
      <c r="AF410" s="220"/>
      <c r="AG410" s="220"/>
      <c r="AH410" s="220"/>
      <c r="AI410" s="220"/>
      <c r="AJ410" s="220"/>
      <c r="AK410" s="220"/>
      <c r="AL410" s="220"/>
    </row>
    <row r="411" ht="15.75" customHeight="1">
      <c r="A411" s="220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0"/>
      <c r="AA411" s="220"/>
      <c r="AB411" s="220"/>
      <c r="AC411" s="220"/>
      <c r="AD411" s="220"/>
      <c r="AE411" s="220"/>
      <c r="AF411" s="220"/>
      <c r="AG411" s="220"/>
      <c r="AH411" s="220"/>
      <c r="AI411" s="220"/>
      <c r="AJ411" s="220"/>
      <c r="AK411" s="220"/>
      <c r="AL411" s="220"/>
    </row>
    <row r="412" ht="15.75" customHeight="1">
      <c r="A412" s="220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0"/>
      <c r="AA412" s="220"/>
      <c r="AB412" s="220"/>
      <c r="AC412" s="220"/>
      <c r="AD412" s="220"/>
      <c r="AE412" s="220"/>
      <c r="AF412" s="220"/>
      <c r="AG412" s="220"/>
      <c r="AH412" s="220"/>
      <c r="AI412" s="220"/>
      <c r="AJ412" s="220"/>
      <c r="AK412" s="220"/>
      <c r="AL412" s="220"/>
    </row>
    <row r="413" ht="15.75" customHeight="1">
      <c r="A413" s="220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0"/>
      <c r="AA413" s="220"/>
      <c r="AB413" s="220"/>
      <c r="AC413" s="220"/>
      <c r="AD413" s="220"/>
      <c r="AE413" s="220"/>
      <c r="AF413" s="220"/>
      <c r="AG413" s="220"/>
      <c r="AH413" s="220"/>
      <c r="AI413" s="220"/>
      <c r="AJ413" s="220"/>
      <c r="AK413" s="220"/>
      <c r="AL413" s="220"/>
    </row>
    <row r="414" ht="15.75" customHeight="1">
      <c r="A414" s="220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0"/>
      <c r="AA414" s="220"/>
      <c r="AB414" s="220"/>
      <c r="AC414" s="220"/>
      <c r="AD414" s="220"/>
      <c r="AE414" s="220"/>
      <c r="AF414" s="220"/>
      <c r="AG414" s="220"/>
      <c r="AH414" s="220"/>
      <c r="AI414" s="220"/>
      <c r="AJ414" s="220"/>
      <c r="AK414" s="220"/>
      <c r="AL414" s="220"/>
    </row>
    <row r="415" ht="15.75" customHeight="1">
      <c r="A415" s="220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0"/>
      <c r="AA415" s="220"/>
      <c r="AB415" s="220"/>
      <c r="AC415" s="220"/>
      <c r="AD415" s="220"/>
      <c r="AE415" s="220"/>
      <c r="AF415" s="220"/>
      <c r="AG415" s="220"/>
      <c r="AH415" s="220"/>
      <c r="AI415" s="220"/>
      <c r="AJ415" s="220"/>
      <c r="AK415" s="220"/>
      <c r="AL415" s="220"/>
    </row>
    <row r="416" ht="15.75" customHeight="1">
      <c r="A416" s="220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0"/>
      <c r="AA416" s="220"/>
      <c r="AB416" s="220"/>
      <c r="AC416" s="220"/>
      <c r="AD416" s="220"/>
      <c r="AE416" s="220"/>
      <c r="AF416" s="220"/>
      <c r="AG416" s="220"/>
      <c r="AH416" s="220"/>
      <c r="AI416" s="220"/>
      <c r="AJ416" s="220"/>
      <c r="AK416" s="220"/>
      <c r="AL416" s="220"/>
    </row>
    <row r="417" ht="15.75" customHeight="1">
      <c r="A417" s="220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0"/>
      <c r="AA417" s="220"/>
      <c r="AB417" s="220"/>
      <c r="AC417" s="220"/>
      <c r="AD417" s="220"/>
      <c r="AE417" s="220"/>
      <c r="AF417" s="220"/>
      <c r="AG417" s="220"/>
      <c r="AH417" s="220"/>
      <c r="AI417" s="220"/>
      <c r="AJ417" s="220"/>
      <c r="AK417" s="220"/>
      <c r="AL417" s="220"/>
    </row>
    <row r="418" ht="15.75" customHeight="1">
      <c r="A418" s="220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0"/>
      <c r="AA418" s="220"/>
      <c r="AB418" s="220"/>
      <c r="AC418" s="220"/>
      <c r="AD418" s="220"/>
      <c r="AE418" s="220"/>
      <c r="AF418" s="220"/>
      <c r="AG418" s="220"/>
      <c r="AH418" s="220"/>
      <c r="AI418" s="220"/>
      <c r="AJ418" s="220"/>
      <c r="AK418" s="220"/>
      <c r="AL418" s="220"/>
    </row>
    <row r="419" ht="15.75" customHeight="1">
      <c r="A419" s="220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0"/>
      <c r="AA419" s="220"/>
      <c r="AB419" s="220"/>
      <c r="AC419" s="220"/>
      <c r="AD419" s="220"/>
      <c r="AE419" s="220"/>
      <c r="AF419" s="220"/>
      <c r="AG419" s="220"/>
      <c r="AH419" s="220"/>
      <c r="AI419" s="220"/>
      <c r="AJ419" s="220"/>
      <c r="AK419" s="220"/>
      <c r="AL419" s="220"/>
    </row>
    <row r="420" ht="15.75" customHeight="1">
      <c r="A420" s="220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0"/>
      <c r="AA420" s="220"/>
      <c r="AB420" s="220"/>
      <c r="AC420" s="220"/>
      <c r="AD420" s="220"/>
      <c r="AE420" s="220"/>
      <c r="AF420" s="220"/>
      <c r="AG420" s="220"/>
      <c r="AH420" s="220"/>
      <c r="AI420" s="220"/>
      <c r="AJ420" s="220"/>
      <c r="AK420" s="220"/>
      <c r="AL420" s="220"/>
    </row>
    <row r="421" ht="15.75" customHeight="1">
      <c r="A421" s="220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0"/>
      <c r="AA421" s="220"/>
      <c r="AB421" s="220"/>
      <c r="AC421" s="220"/>
      <c r="AD421" s="220"/>
      <c r="AE421" s="220"/>
      <c r="AF421" s="220"/>
      <c r="AG421" s="220"/>
      <c r="AH421" s="220"/>
      <c r="AI421" s="220"/>
      <c r="AJ421" s="220"/>
      <c r="AK421" s="220"/>
      <c r="AL421" s="220"/>
    </row>
    <row r="422" ht="15.75" customHeight="1">
      <c r="A422" s="220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0"/>
      <c r="AA422" s="220"/>
      <c r="AB422" s="220"/>
      <c r="AC422" s="220"/>
      <c r="AD422" s="220"/>
      <c r="AE422" s="220"/>
      <c r="AF422" s="220"/>
      <c r="AG422" s="220"/>
      <c r="AH422" s="220"/>
      <c r="AI422" s="220"/>
      <c r="AJ422" s="220"/>
      <c r="AK422" s="220"/>
      <c r="AL422" s="220"/>
    </row>
    <row r="423" ht="15.75" customHeight="1">
      <c r="A423" s="220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0"/>
      <c r="AA423" s="220"/>
      <c r="AB423" s="220"/>
      <c r="AC423" s="220"/>
      <c r="AD423" s="220"/>
      <c r="AE423" s="220"/>
      <c r="AF423" s="220"/>
      <c r="AG423" s="220"/>
      <c r="AH423" s="220"/>
      <c r="AI423" s="220"/>
      <c r="AJ423" s="220"/>
      <c r="AK423" s="220"/>
      <c r="AL423" s="220"/>
    </row>
    <row r="424" ht="15.75" customHeight="1">
      <c r="A424" s="220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0"/>
      <c r="AA424" s="220"/>
      <c r="AB424" s="220"/>
      <c r="AC424" s="220"/>
      <c r="AD424" s="220"/>
      <c r="AE424" s="220"/>
      <c r="AF424" s="220"/>
      <c r="AG424" s="220"/>
      <c r="AH424" s="220"/>
      <c r="AI424" s="220"/>
      <c r="AJ424" s="220"/>
      <c r="AK424" s="220"/>
      <c r="AL424" s="220"/>
    </row>
    <row r="425" ht="15.75" customHeight="1">
      <c r="A425" s="220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0"/>
      <c r="AA425" s="220"/>
      <c r="AB425" s="220"/>
      <c r="AC425" s="220"/>
      <c r="AD425" s="220"/>
      <c r="AE425" s="220"/>
      <c r="AF425" s="220"/>
      <c r="AG425" s="220"/>
      <c r="AH425" s="220"/>
      <c r="AI425" s="220"/>
      <c r="AJ425" s="220"/>
      <c r="AK425" s="220"/>
      <c r="AL425" s="220"/>
    </row>
    <row r="426" ht="15.75" customHeight="1">
      <c r="A426" s="220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0"/>
      <c r="AA426" s="220"/>
      <c r="AB426" s="220"/>
      <c r="AC426" s="220"/>
      <c r="AD426" s="220"/>
      <c r="AE426" s="220"/>
      <c r="AF426" s="220"/>
      <c r="AG426" s="220"/>
      <c r="AH426" s="220"/>
      <c r="AI426" s="220"/>
      <c r="AJ426" s="220"/>
      <c r="AK426" s="220"/>
      <c r="AL426" s="220"/>
    </row>
    <row r="427" ht="15.75" customHeight="1">
      <c r="A427" s="220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0"/>
      <c r="AA427" s="220"/>
      <c r="AB427" s="220"/>
      <c r="AC427" s="220"/>
      <c r="AD427" s="220"/>
      <c r="AE427" s="220"/>
      <c r="AF427" s="220"/>
      <c r="AG427" s="220"/>
      <c r="AH427" s="220"/>
      <c r="AI427" s="220"/>
      <c r="AJ427" s="220"/>
      <c r="AK427" s="220"/>
      <c r="AL427" s="220"/>
    </row>
    <row r="428" ht="15.75" customHeight="1">
      <c r="A428" s="220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0"/>
      <c r="AA428" s="220"/>
      <c r="AB428" s="220"/>
      <c r="AC428" s="220"/>
      <c r="AD428" s="220"/>
      <c r="AE428" s="220"/>
      <c r="AF428" s="220"/>
      <c r="AG428" s="220"/>
      <c r="AH428" s="220"/>
      <c r="AI428" s="220"/>
      <c r="AJ428" s="220"/>
      <c r="AK428" s="220"/>
      <c r="AL428" s="220"/>
    </row>
    <row r="429" ht="15.75" customHeight="1">
      <c r="A429" s="220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0"/>
      <c r="AA429" s="220"/>
      <c r="AB429" s="220"/>
      <c r="AC429" s="220"/>
      <c r="AD429" s="220"/>
      <c r="AE429" s="220"/>
      <c r="AF429" s="220"/>
      <c r="AG429" s="220"/>
      <c r="AH429" s="220"/>
      <c r="AI429" s="220"/>
      <c r="AJ429" s="220"/>
      <c r="AK429" s="220"/>
      <c r="AL429" s="220"/>
    </row>
    <row r="430" ht="15.75" customHeight="1">
      <c r="A430" s="220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0"/>
      <c r="AA430" s="220"/>
      <c r="AB430" s="220"/>
      <c r="AC430" s="220"/>
      <c r="AD430" s="220"/>
      <c r="AE430" s="220"/>
      <c r="AF430" s="220"/>
      <c r="AG430" s="220"/>
      <c r="AH430" s="220"/>
      <c r="AI430" s="220"/>
      <c r="AJ430" s="220"/>
      <c r="AK430" s="220"/>
      <c r="AL430" s="220"/>
    </row>
    <row r="431" ht="15.75" customHeight="1">
      <c r="A431" s="220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0"/>
      <c r="AA431" s="220"/>
      <c r="AB431" s="220"/>
      <c r="AC431" s="220"/>
      <c r="AD431" s="220"/>
      <c r="AE431" s="220"/>
      <c r="AF431" s="220"/>
      <c r="AG431" s="220"/>
      <c r="AH431" s="220"/>
      <c r="AI431" s="220"/>
      <c r="AJ431" s="220"/>
      <c r="AK431" s="220"/>
      <c r="AL431" s="220"/>
    </row>
    <row r="432" ht="15.75" customHeight="1">
      <c r="A432" s="220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0"/>
      <c r="AA432" s="220"/>
      <c r="AB432" s="220"/>
      <c r="AC432" s="220"/>
      <c r="AD432" s="220"/>
      <c r="AE432" s="220"/>
      <c r="AF432" s="220"/>
      <c r="AG432" s="220"/>
      <c r="AH432" s="220"/>
      <c r="AI432" s="220"/>
      <c r="AJ432" s="220"/>
      <c r="AK432" s="220"/>
      <c r="AL432" s="220"/>
    </row>
    <row r="433" ht="15.75" customHeight="1">
      <c r="A433" s="220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0"/>
      <c r="AA433" s="220"/>
      <c r="AB433" s="220"/>
      <c r="AC433" s="220"/>
      <c r="AD433" s="220"/>
      <c r="AE433" s="220"/>
      <c r="AF433" s="220"/>
      <c r="AG433" s="220"/>
      <c r="AH433" s="220"/>
      <c r="AI433" s="220"/>
      <c r="AJ433" s="220"/>
      <c r="AK433" s="220"/>
      <c r="AL433" s="220"/>
    </row>
    <row r="434" ht="15.75" customHeight="1">
      <c r="A434" s="220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0"/>
      <c r="AA434" s="220"/>
      <c r="AB434" s="220"/>
      <c r="AC434" s="220"/>
      <c r="AD434" s="220"/>
      <c r="AE434" s="220"/>
      <c r="AF434" s="220"/>
      <c r="AG434" s="220"/>
      <c r="AH434" s="220"/>
      <c r="AI434" s="220"/>
      <c r="AJ434" s="220"/>
      <c r="AK434" s="220"/>
      <c r="AL434" s="220"/>
    </row>
    <row r="435" ht="15.75" customHeight="1">
      <c r="A435" s="220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0"/>
      <c r="AA435" s="220"/>
      <c r="AB435" s="220"/>
      <c r="AC435" s="220"/>
      <c r="AD435" s="220"/>
      <c r="AE435" s="220"/>
      <c r="AF435" s="220"/>
      <c r="AG435" s="220"/>
      <c r="AH435" s="220"/>
      <c r="AI435" s="220"/>
      <c r="AJ435" s="220"/>
      <c r="AK435" s="220"/>
      <c r="AL435" s="220"/>
    </row>
    <row r="436" ht="15.75" customHeight="1">
      <c r="A436" s="220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0"/>
      <c r="AA436" s="220"/>
      <c r="AB436" s="220"/>
      <c r="AC436" s="220"/>
      <c r="AD436" s="220"/>
      <c r="AE436" s="220"/>
      <c r="AF436" s="220"/>
      <c r="AG436" s="220"/>
      <c r="AH436" s="220"/>
      <c r="AI436" s="220"/>
      <c r="AJ436" s="220"/>
      <c r="AK436" s="220"/>
      <c r="AL436" s="220"/>
    </row>
    <row r="437" ht="15.75" customHeight="1">
      <c r="A437" s="220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0"/>
      <c r="AA437" s="220"/>
      <c r="AB437" s="220"/>
      <c r="AC437" s="220"/>
      <c r="AD437" s="220"/>
      <c r="AE437" s="220"/>
      <c r="AF437" s="220"/>
      <c r="AG437" s="220"/>
      <c r="AH437" s="220"/>
      <c r="AI437" s="220"/>
      <c r="AJ437" s="220"/>
      <c r="AK437" s="220"/>
      <c r="AL437" s="220"/>
    </row>
    <row r="438" ht="15.75" customHeight="1">
      <c r="A438" s="220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0"/>
      <c r="AA438" s="220"/>
      <c r="AB438" s="220"/>
      <c r="AC438" s="220"/>
      <c r="AD438" s="220"/>
      <c r="AE438" s="220"/>
      <c r="AF438" s="220"/>
      <c r="AG438" s="220"/>
      <c r="AH438" s="220"/>
      <c r="AI438" s="220"/>
      <c r="AJ438" s="220"/>
      <c r="AK438" s="220"/>
      <c r="AL438" s="220"/>
    </row>
    <row r="439" ht="15.75" customHeight="1">
      <c r="A439" s="220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0"/>
      <c r="AA439" s="220"/>
      <c r="AB439" s="220"/>
      <c r="AC439" s="220"/>
      <c r="AD439" s="220"/>
      <c r="AE439" s="220"/>
      <c r="AF439" s="220"/>
      <c r="AG439" s="220"/>
      <c r="AH439" s="220"/>
      <c r="AI439" s="220"/>
      <c r="AJ439" s="220"/>
      <c r="AK439" s="220"/>
      <c r="AL439" s="220"/>
    </row>
    <row r="440" ht="15.75" customHeight="1">
      <c r="A440" s="220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0"/>
      <c r="AA440" s="220"/>
      <c r="AB440" s="220"/>
      <c r="AC440" s="220"/>
      <c r="AD440" s="220"/>
      <c r="AE440" s="220"/>
      <c r="AF440" s="220"/>
      <c r="AG440" s="220"/>
      <c r="AH440" s="220"/>
      <c r="AI440" s="220"/>
      <c r="AJ440" s="220"/>
      <c r="AK440" s="220"/>
      <c r="AL440" s="220"/>
    </row>
    <row r="441" ht="15.75" customHeight="1">
      <c r="A441" s="220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0"/>
      <c r="AA441" s="220"/>
      <c r="AB441" s="220"/>
      <c r="AC441" s="220"/>
      <c r="AD441" s="220"/>
      <c r="AE441" s="220"/>
      <c r="AF441" s="220"/>
      <c r="AG441" s="220"/>
      <c r="AH441" s="220"/>
      <c r="AI441" s="220"/>
      <c r="AJ441" s="220"/>
      <c r="AK441" s="220"/>
      <c r="AL441" s="220"/>
    </row>
    <row r="442" ht="15.75" customHeight="1">
      <c r="A442" s="220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0"/>
      <c r="AA442" s="220"/>
      <c r="AB442" s="220"/>
      <c r="AC442" s="220"/>
      <c r="AD442" s="220"/>
      <c r="AE442" s="220"/>
      <c r="AF442" s="220"/>
      <c r="AG442" s="220"/>
      <c r="AH442" s="220"/>
      <c r="AI442" s="220"/>
      <c r="AJ442" s="220"/>
      <c r="AK442" s="220"/>
      <c r="AL442" s="220"/>
    </row>
    <row r="443" ht="15.75" customHeight="1">
      <c r="A443" s="220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0"/>
      <c r="AA443" s="220"/>
      <c r="AB443" s="220"/>
      <c r="AC443" s="220"/>
      <c r="AD443" s="220"/>
      <c r="AE443" s="220"/>
      <c r="AF443" s="220"/>
      <c r="AG443" s="220"/>
      <c r="AH443" s="220"/>
      <c r="AI443" s="220"/>
      <c r="AJ443" s="220"/>
      <c r="AK443" s="220"/>
      <c r="AL443" s="220"/>
    </row>
    <row r="444" ht="15.75" customHeight="1">
      <c r="A444" s="220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0"/>
      <c r="AA444" s="220"/>
      <c r="AB444" s="220"/>
      <c r="AC444" s="220"/>
      <c r="AD444" s="220"/>
      <c r="AE444" s="220"/>
      <c r="AF444" s="220"/>
      <c r="AG444" s="220"/>
      <c r="AH444" s="220"/>
      <c r="AI444" s="220"/>
      <c r="AJ444" s="220"/>
      <c r="AK444" s="220"/>
      <c r="AL444" s="220"/>
    </row>
    <row r="445" ht="15.75" customHeight="1">
      <c r="A445" s="220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0"/>
      <c r="AA445" s="220"/>
      <c r="AB445" s="220"/>
      <c r="AC445" s="220"/>
      <c r="AD445" s="220"/>
      <c r="AE445" s="220"/>
      <c r="AF445" s="220"/>
      <c r="AG445" s="220"/>
      <c r="AH445" s="220"/>
      <c r="AI445" s="220"/>
      <c r="AJ445" s="220"/>
      <c r="AK445" s="220"/>
      <c r="AL445" s="220"/>
    </row>
    <row r="446" ht="15.75" customHeight="1">
      <c r="A446" s="220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0"/>
      <c r="AA446" s="220"/>
      <c r="AB446" s="220"/>
      <c r="AC446" s="220"/>
      <c r="AD446" s="220"/>
      <c r="AE446" s="220"/>
      <c r="AF446" s="220"/>
      <c r="AG446" s="220"/>
      <c r="AH446" s="220"/>
      <c r="AI446" s="220"/>
      <c r="AJ446" s="220"/>
      <c r="AK446" s="220"/>
      <c r="AL446" s="220"/>
    </row>
    <row r="447" ht="15.75" customHeight="1">
      <c r="A447" s="220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0"/>
      <c r="AA447" s="220"/>
      <c r="AB447" s="220"/>
      <c r="AC447" s="220"/>
      <c r="AD447" s="220"/>
      <c r="AE447" s="220"/>
      <c r="AF447" s="220"/>
      <c r="AG447" s="220"/>
      <c r="AH447" s="220"/>
      <c r="AI447" s="220"/>
      <c r="AJ447" s="220"/>
      <c r="AK447" s="220"/>
      <c r="AL447" s="220"/>
    </row>
    <row r="448" ht="15.75" customHeight="1">
      <c r="A448" s="220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0"/>
      <c r="AA448" s="220"/>
      <c r="AB448" s="220"/>
      <c r="AC448" s="220"/>
      <c r="AD448" s="220"/>
      <c r="AE448" s="220"/>
      <c r="AF448" s="220"/>
      <c r="AG448" s="220"/>
      <c r="AH448" s="220"/>
      <c r="AI448" s="220"/>
      <c r="AJ448" s="220"/>
      <c r="AK448" s="220"/>
      <c r="AL448" s="220"/>
    </row>
    <row r="449" ht="15.75" customHeight="1">
      <c r="A449" s="220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0"/>
      <c r="AA449" s="220"/>
      <c r="AB449" s="220"/>
      <c r="AC449" s="220"/>
      <c r="AD449" s="220"/>
      <c r="AE449" s="220"/>
      <c r="AF449" s="220"/>
      <c r="AG449" s="220"/>
      <c r="AH449" s="220"/>
      <c r="AI449" s="220"/>
      <c r="AJ449" s="220"/>
      <c r="AK449" s="220"/>
      <c r="AL449" s="220"/>
    </row>
    <row r="450" ht="15.75" customHeight="1">
      <c r="A450" s="220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0"/>
      <c r="AA450" s="220"/>
      <c r="AB450" s="220"/>
      <c r="AC450" s="220"/>
      <c r="AD450" s="220"/>
      <c r="AE450" s="220"/>
      <c r="AF450" s="220"/>
      <c r="AG450" s="220"/>
      <c r="AH450" s="220"/>
      <c r="AI450" s="220"/>
      <c r="AJ450" s="220"/>
      <c r="AK450" s="220"/>
      <c r="AL450" s="220"/>
    </row>
    <row r="451" ht="15.75" customHeight="1">
      <c r="A451" s="220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0"/>
      <c r="AA451" s="220"/>
      <c r="AB451" s="220"/>
      <c r="AC451" s="220"/>
      <c r="AD451" s="220"/>
      <c r="AE451" s="220"/>
      <c r="AF451" s="220"/>
      <c r="AG451" s="220"/>
      <c r="AH451" s="220"/>
      <c r="AI451" s="220"/>
      <c r="AJ451" s="220"/>
      <c r="AK451" s="220"/>
      <c r="AL451" s="220"/>
    </row>
    <row r="452" ht="15.75" customHeight="1">
      <c r="A452" s="220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0"/>
      <c r="AA452" s="220"/>
      <c r="AB452" s="220"/>
      <c r="AC452" s="220"/>
      <c r="AD452" s="220"/>
      <c r="AE452" s="220"/>
      <c r="AF452" s="220"/>
      <c r="AG452" s="220"/>
      <c r="AH452" s="220"/>
      <c r="AI452" s="220"/>
      <c r="AJ452" s="220"/>
      <c r="AK452" s="220"/>
      <c r="AL452" s="220"/>
    </row>
    <row r="453" ht="15.75" customHeight="1">
      <c r="A453" s="220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0"/>
      <c r="AA453" s="220"/>
      <c r="AB453" s="220"/>
      <c r="AC453" s="220"/>
      <c r="AD453" s="220"/>
      <c r="AE453" s="220"/>
      <c r="AF453" s="220"/>
      <c r="AG453" s="220"/>
      <c r="AH453" s="220"/>
      <c r="AI453" s="220"/>
      <c r="AJ453" s="220"/>
      <c r="AK453" s="220"/>
      <c r="AL453" s="220"/>
    </row>
    <row r="454" ht="15.75" customHeight="1">
      <c r="A454" s="220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0"/>
      <c r="AA454" s="220"/>
      <c r="AB454" s="220"/>
      <c r="AC454" s="220"/>
      <c r="AD454" s="220"/>
      <c r="AE454" s="220"/>
      <c r="AF454" s="220"/>
      <c r="AG454" s="220"/>
      <c r="AH454" s="220"/>
      <c r="AI454" s="220"/>
      <c r="AJ454" s="220"/>
      <c r="AK454" s="220"/>
      <c r="AL454" s="220"/>
    </row>
    <row r="455" ht="15.75" customHeight="1">
      <c r="A455" s="220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0"/>
      <c r="AA455" s="220"/>
      <c r="AB455" s="220"/>
      <c r="AC455" s="220"/>
      <c r="AD455" s="220"/>
      <c r="AE455" s="220"/>
      <c r="AF455" s="220"/>
      <c r="AG455" s="220"/>
      <c r="AH455" s="220"/>
      <c r="AI455" s="220"/>
      <c r="AJ455" s="220"/>
      <c r="AK455" s="220"/>
      <c r="AL455" s="220"/>
    </row>
    <row r="456" ht="15.75" customHeight="1">
      <c r="A456" s="220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0"/>
      <c r="AA456" s="220"/>
      <c r="AB456" s="220"/>
      <c r="AC456" s="220"/>
      <c r="AD456" s="220"/>
      <c r="AE456" s="220"/>
      <c r="AF456" s="220"/>
      <c r="AG456" s="220"/>
      <c r="AH456" s="220"/>
      <c r="AI456" s="220"/>
      <c r="AJ456" s="220"/>
      <c r="AK456" s="220"/>
      <c r="AL456" s="220"/>
    </row>
    <row r="457" ht="15.75" customHeight="1">
      <c r="A457" s="220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0"/>
      <c r="AA457" s="220"/>
      <c r="AB457" s="220"/>
      <c r="AC457" s="220"/>
      <c r="AD457" s="220"/>
      <c r="AE457" s="220"/>
      <c r="AF457" s="220"/>
      <c r="AG457" s="220"/>
      <c r="AH457" s="220"/>
      <c r="AI457" s="220"/>
      <c r="AJ457" s="220"/>
      <c r="AK457" s="220"/>
      <c r="AL457" s="220"/>
    </row>
    <row r="458" ht="15.75" customHeight="1">
      <c r="A458" s="220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0"/>
      <c r="AA458" s="220"/>
      <c r="AB458" s="220"/>
      <c r="AC458" s="220"/>
      <c r="AD458" s="220"/>
      <c r="AE458" s="220"/>
      <c r="AF458" s="220"/>
      <c r="AG458" s="220"/>
      <c r="AH458" s="220"/>
      <c r="AI458" s="220"/>
      <c r="AJ458" s="220"/>
      <c r="AK458" s="220"/>
      <c r="AL458" s="220"/>
    </row>
    <row r="459" ht="15.75" customHeight="1">
      <c r="A459" s="220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0"/>
      <c r="AA459" s="220"/>
      <c r="AB459" s="220"/>
      <c r="AC459" s="220"/>
      <c r="AD459" s="220"/>
      <c r="AE459" s="220"/>
      <c r="AF459" s="220"/>
      <c r="AG459" s="220"/>
      <c r="AH459" s="220"/>
      <c r="AI459" s="220"/>
      <c r="AJ459" s="220"/>
      <c r="AK459" s="220"/>
      <c r="AL459" s="220"/>
    </row>
    <row r="460" ht="15.75" customHeight="1">
      <c r="A460" s="220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0"/>
      <c r="AA460" s="220"/>
      <c r="AB460" s="220"/>
      <c r="AC460" s="220"/>
      <c r="AD460" s="220"/>
      <c r="AE460" s="220"/>
      <c r="AF460" s="220"/>
      <c r="AG460" s="220"/>
      <c r="AH460" s="220"/>
      <c r="AI460" s="220"/>
      <c r="AJ460" s="220"/>
      <c r="AK460" s="220"/>
      <c r="AL460" s="220"/>
    </row>
    <row r="461" ht="15.75" customHeight="1">
      <c r="A461" s="220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0"/>
      <c r="AA461" s="220"/>
      <c r="AB461" s="220"/>
      <c r="AC461" s="220"/>
      <c r="AD461" s="220"/>
      <c r="AE461" s="220"/>
      <c r="AF461" s="220"/>
      <c r="AG461" s="220"/>
      <c r="AH461" s="220"/>
      <c r="AI461" s="220"/>
      <c r="AJ461" s="220"/>
      <c r="AK461" s="220"/>
      <c r="AL461" s="220"/>
    </row>
    <row r="462" ht="15.75" customHeight="1">
      <c r="A462" s="220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0"/>
      <c r="AA462" s="220"/>
      <c r="AB462" s="220"/>
      <c r="AC462" s="220"/>
      <c r="AD462" s="220"/>
      <c r="AE462" s="220"/>
      <c r="AF462" s="220"/>
      <c r="AG462" s="220"/>
      <c r="AH462" s="220"/>
      <c r="AI462" s="220"/>
      <c r="AJ462" s="220"/>
      <c r="AK462" s="220"/>
      <c r="AL462" s="220"/>
    </row>
    <row r="463" ht="15.75" customHeight="1">
      <c r="A463" s="220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0"/>
      <c r="AA463" s="220"/>
      <c r="AB463" s="220"/>
      <c r="AC463" s="220"/>
      <c r="AD463" s="220"/>
      <c r="AE463" s="220"/>
      <c r="AF463" s="220"/>
      <c r="AG463" s="220"/>
      <c r="AH463" s="220"/>
      <c r="AI463" s="220"/>
      <c r="AJ463" s="220"/>
      <c r="AK463" s="220"/>
      <c r="AL463" s="220"/>
    </row>
    <row r="464" ht="15.75" customHeight="1">
      <c r="A464" s="220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0"/>
      <c r="AA464" s="220"/>
      <c r="AB464" s="220"/>
      <c r="AC464" s="220"/>
      <c r="AD464" s="220"/>
      <c r="AE464" s="220"/>
      <c r="AF464" s="220"/>
      <c r="AG464" s="220"/>
      <c r="AH464" s="220"/>
      <c r="AI464" s="220"/>
      <c r="AJ464" s="220"/>
      <c r="AK464" s="220"/>
      <c r="AL464" s="220"/>
    </row>
    <row r="465" ht="15.75" customHeight="1">
      <c r="A465" s="220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0"/>
      <c r="AA465" s="220"/>
      <c r="AB465" s="220"/>
      <c r="AC465" s="220"/>
      <c r="AD465" s="220"/>
      <c r="AE465" s="220"/>
      <c r="AF465" s="220"/>
      <c r="AG465" s="220"/>
      <c r="AH465" s="220"/>
      <c r="AI465" s="220"/>
      <c r="AJ465" s="220"/>
      <c r="AK465" s="220"/>
      <c r="AL465" s="220"/>
    </row>
    <row r="466" ht="15.75" customHeight="1">
      <c r="A466" s="220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0"/>
      <c r="AA466" s="220"/>
      <c r="AB466" s="220"/>
      <c r="AC466" s="220"/>
      <c r="AD466" s="220"/>
      <c r="AE466" s="220"/>
      <c r="AF466" s="220"/>
      <c r="AG466" s="220"/>
      <c r="AH466" s="220"/>
      <c r="AI466" s="220"/>
      <c r="AJ466" s="220"/>
      <c r="AK466" s="220"/>
      <c r="AL466" s="220"/>
    </row>
    <row r="467" ht="15.75" customHeight="1">
      <c r="A467" s="220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0"/>
      <c r="AA467" s="220"/>
      <c r="AB467" s="220"/>
      <c r="AC467" s="220"/>
      <c r="AD467" s="220"/>
      <c r="AE467" s="220"/>
      <c r="AF467" s="220"/>
      <c r="AG467" s="220"/>
      <c r="AH467" s="220"/>
      <c r="AI467" s="220"/>
      <c r="AJ467" s="220"/>
      <c r="AK467" s="220"/>
      <c r="AL467" s="220"/>
    </row>
    <row r="468" ht="15.75" customHeight="1">
      <c r="A468" s="220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0"/>
      <c r="AA468" s="220"/>
      <c r="AB468" s="220"/>
      <c r="AC468" s="220"/>
      <c r="AD468" s="220"/>
      <c r="AE468" s="220"/>
      <c r="AF468" s="220"/>
      <c r="AG468" s="220"/>
      <c r="AH468" s="220"/>
      <c r="AI468" s="220"/>
      <c r="AJ468" s="220"/>
      <c r="AK468" s="220"/>
      <c r="AL468" s="220"/>
    </row>
    <row r="469" ht="15.75" customHeight="1">
      <c r="A469" s="220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0"/>
      <c r="AA469" s="220"/>
      <c r="AB469" s="220"/>
      <c r="AC469" s="220"/>
      <c r="AD469" s="220"/>
      <c r="AE469" s="220"/>
      <c r="AF469" s="220"/>
      <c r="AG469" s="220"/>
      <c r="AH469" s="220"/>
      <c r="AI469" s="220"/>
      <c r="AJ469" s="220"/>
      <c r="AK469" s="220"/>
      <c r="AL469" s="220"/>
    </row>
    <row r="470" ht="15.75" customHeight="1">
      <c r="A470" s="220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0"/>
      <c r="AA470" s="220"/>
      <c r="AB470" s="220"/>
      <c r="AC470" s="220"/>
      <c r="AD470" s="220"/>
      <c r="AE470" s="220"/>
      <c r="AF470" s="220"/>
      <c r="AG470" s="220"/>
      <c r="AH470" s="220"/>
      <c r="AI470" s="220"/>
      <c r="AJ470" s="220"/>
      <c r="AK470" s="220"/>
      <c r="AL470" s="220"/>
    </row>
    <row r="471" ht="15.75" customHeight="1">
      <c r="A471" s="220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0"/>
      <c r="AA471" s="220"/>
      <c r="AB471" s="220"/>
      <c r="AC471" s="220"/>
      <c r="AD471" s="220"/>
      <c r="AE471" s="220"/>
      <c r="AF471" s="220"/>
      <c r="AG471" s="220"/>
      <c r="AH471" s="220"/>
      <c r="AI471" s="220"/>
      <c r="AJ471" s="220"/>
      <c r="AK471" s="220"/>
      <c r="AL471" s="220"/>
    </row>
    <row r="472" ht="15.75" customHeight="1">
      <c r="A472" s="220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0"/>
      <c r="AA472" s="220"/>
      <c r="AB472" s="220"/>
      <c r="AC472" s="220"/>
      <c r="AD472" s="220"/>
      <c r="AE472" s="220"/>
      <c r="AF472" s="220"/>
      <c r="AG472" s="220"/>
      <c r="AH472" s="220"/>
      <c r="AI472" s="220"/>
      <c r="AJ472" s="220"/>
      <c r="AK472" s="220"/>
      <c r="AL472" s="220"/>
    </row>
    <row r="473" ht="15.75" customHeight="1">
      <c r="A473" s="220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0"/>
      <c r="AA473" s="220"/>
      <c r="AB473" s="220"/>
      <c r="AC473" s="220"/>
      <c r="AD473" s="220"/>
      <c r="AE473" s="220"/>
      <c r="AF473" s="220"/>
      <c r="AG473" s="220"/>
      <c r="AH473" s="220"/>
      <c r="AI473" s="220"/>
      <c r="AJ473" s="220"/>
      <c r="AK473" s="220"/>
      <c r="AL473" s="220"/>
    </row>
    <row r="474" ht="15.75" customHeight="1">
      <c r="A474" s="220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0"/>
      <c r="AA474" s="220"/>
      <c r="AB474" s="220"/>
      <c r="AC474" s="220"/>
      <c r="AD474" s="220"/>
      <c r="AE474" s="220"/>
      <c r="AF474" s="220"/>
      <c r="AG474" s="220"/>
      <c r="AH474" s="220"/>
      <c r="AI474" s="220"/>
      <c r="AJ474" s="220"/>
      <c r="AK474" s="220"/>
      <c r="AL474" s="220"/>
    </row>
    <row r="475" ht="15.75" customHeight="1">
      <c r="A475" s="220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0"/>
      <c r="AA475" s="220"/>
      <c r="AB475" s="220"/>
      <c r="AC475" s="220"/>
      <c r="AD475" s="220"/>
      <c r="AE475" s="220"/>
      <c r="AF475" s="220"/>
      <c r="AG475" s="220"/>
      <c r="AH475" s="220"/>
      <c r="AI475" s="220"/>
      <c r="AJ475" s="220"/>
      <c r="AK475" s="220"/>
      <c r="AL475" s="220"/>
    </row>
    <row r="476" ht="15.75" customHeight="1">
      <c r="A476" s="220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0"/>
      <c r="AA476" s="220"/>
      <c r="AB476" s="220"/>
      <c r="AC476" s="220"/>
      <c r="AD476" s="220"/>
      <c r="AE476" s="220"/>
      <c r="AF476" s="220"/>
      <c r="AG476" s="220"/>
      <c r="AH476" s="220"/>
      <c r="AI476" s="220"/>
      <c r="AJ476" s="220"/>
      <c r="AK476" s="220"/>
      <c r="AL476" s="220"/>
    </row>
    <row r="477" ht="15.75" customHeight="1">
      <c r="A477" s="220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0"/>
      <c r="AA477" s="220"/>
      <c r="AB477" s="220"/>
      <c r="AC477" s="220"/>
      <c r="AD477" s="220"/>
      <c r="AE477" s="220"/>
      <c r="AF477" s="220"/>
      <c r="AG477" s="220"/>
      <c r="AH477" s="220"/>
      <c r="AI477" s="220"/>
      <c r="AJ477" s="220"/>
      <c r="AK477" s="220"/>
      <c r="AL477" s="220"/>
    </row>
    <row r="478" ht="15.75" customHeight="1">
      <c r="A478" s="220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0"/>
      <c r="AA478" s="220"/>
      <c r="AB478" s="220"/>
      <c r="AC478" s="220"/>
      <c r="AD478" s="220"/>
      <c r="AE478" s="220"/>
      <c r="AF478" s="220"/>
      <c r="AG478" s="220"/>
      <c r="AH478" s="220"/>
      <c r="AI478" s="220"/>
      <c r="AJ478" s="220"/>
      <c r="AK478" s="220"/>
      <c r="AL478" s="220"/>
    </row>
    <row r="479" ht="15.75" customHeight="1">
      <c r="A479" s="220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0"/>
      <c r="AA479" s="220"/>
      <c r="AB479" s="220"/>
      <c r="AC479" s="220"/>
      <c r="AD479" s="220"/>
      <c r="AE479" s="220"/>
      <c r="AF479" s="220"/>
      <c r="AG479" s="220"/>
      <c r="AH479" s="220"/>
      <c r="AI479" s="220"/>
      <c r="AJ479" s="220"/>
      <c r="AK479" s="220"/>
      <c r="AL479" s="220"/>
    </row>
    <row r="480" ht="15.75" customHeight="1">
      <c r="A480" s="220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0"/>
      <c r="AA480" s="220"/>
      <c r="AB480" s="220"/>
      <c r="AC480" s="220"/>
      <c r="AD480" s="220"/>
      <c r="AE480" s="220"/>
      <c r="AF480" s="220"/>
      <c r="AG480" s="220"/>
      <c r="AH480" s="220"/>
      <c r="AI480" s="220"/>
      <c r="AJ480" s="220"/>
      <c r="AK480" s="220"/>
      <c r="AL480" s="220"/>
    </row>
    <row r="481" ht="15.75" customHeight="1">
      <c r="A481" s="220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0"/>
      <c r="AA481" s="220"/>
      <c r="AB481" s="220"/>
      <c r="AC481" s="220"/>
      <c r="AD481" s="220"/>
      <c r="AE481" s="220"/>
      <c r="AF481" s="220"/>
      <c r="AG481" s="220"/>
      <c r="AH481" s="220"/>
      <c r="AI481" s="220"/>
      <c r="AJ481" s="220"/>
      <c r="AK481" s="220"/>
      <c r="AL481" s="220"/>
    </row>
    <row r="482" ht="15.75" customHeight="1">
      <c r="A482" s="220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0"/>
      <c r="AA482" s="220"/>
      <c r="AB482" s="220"/>
      <c r="AC482" s="220"/>
      <c r="AD482" s="220"/>
      <c r="AE482" s="220"/>
      <c r="AF482" s="220"/>
      <c r="AG482" s="220"/>
      <c r="AH482" s="220"/>
      <c r="AI482" s="220"/>
      <c r="AJ482" s="220"/>
      <c r="AK482" s="220"/>
      <c r="AL482" s="220"/>
    </row>
    <row r="483" ht="15.75" customHeight="1">
      <c r="A483" s="220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0"/>
      <c r="AA483" s="220"/>
      <c r="AB483" s="220"/>
      <c r="AC483" s="220"/>
      <c r="AD483" s="220"/>
      <c r="AE483" s="220"/>
      <c r="AF483" s="220"/>
      <c r="AG483" s="220"/>
      <c r="AH483" s="220"/>
      <c r="AI483" s="220"/>
      <c r="AJ483" s="220"/>
      <c r="AK483" s="220"/>
      <c r="AL483" s="220"/>
    </row>
    <row r="484" ht="15.75" customHeight="1">
      <c r="A484" s="220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0"/>
      <c r="AA484" s="220"/>
      <c r="AB484" s="220"/>
      <c r="AC484" s="220"/>
      <c r="AD484" s="220"/>
      <c r="AE484" s="220"/>
      <c r="AF484" s="220"/>
      <c r="AG484" s="220"/>
      <c r="AH484" s="220"/>
      <c r="AI484" s="220"/>
      <c r="AJ484" s="220"/>
      <c r="AK484" s="220"/>
      <c r="AL484" s="220"/>
    </row>
    <row r="485" ht="15.75" customHeight="1">
      <c r="A485" s="220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0"/>
      <c r="AA485" s="220"/>
      <c r="AB485" s="220"/>
      <c r="AC485" s="220"/>
      <c r="AD485" s="220"/>
      <c r="AE485" s="220"/>
      <c r="AF485" s="220"/>
      <c r="AG485" s="220"/>
      <c r="AH485" s="220"/>
      <c r="AI485" s="220"/>
      <c r="AJ485" s="220"/>
      <c r="AK485" s="220"/>
      <c r="AL485" s="220"/>
    </row>
    <row r="486" ht="15.75" customHeight="1">
      <c r="A486" s="220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0"/>
      <c r="AA486" s="220"/>
      <c r="AB486" s="220"/>
      <c r="AC486" s="220"/>
      <c r="AD486" s="220"/>
      <c r="AE486" s="220"/>
      <c r="AF486" s="220"/>
      <c r="AG486" s="220"/>
      <c r="AH486" s="220"/>
      <c r="AI486" s="220"/>
      <c r="AJ486" s="220"/>
      <c r="AK486" s="220"/>
      <c r="AL486" s="220"/>
    </row>
    <row r="487" ht="15.75" customHeight="1">
      <c r="A487" s="220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0"/>
      <c r="AA487" s="220"/>
      <c r="AB487" s="220"/>
      <c r="AC487" s="220"/>
      <c r="AD487" s="220"/>
      <c r="AE487" s="220"/>
      <c r="AF487" s="220"/>
      <c r="AG487" s="220"/>
      <c r="AH487" s="220"/>
      <c r="AI487" s="220"/>
      <c r="AJ487" s="220"/>
      <c r="AK487" s="220"/>
      <c r="AL487" s="220"/>
    </row>
    <row r="488" ht="15.75" customHeight="1">
      <c r="A488" s="220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0"/>
      <c r="AA488" s="220"/>
      <c r="AB488" s="220"/>
      <c r="AC488" s="220"/>
      <c r="AD488" s="220"/>
      <c r="AE488" s="220"/>
      <c r="AF488" s="220"/>
      <c r="AG488" s="220"/>
      <c r="AH488" s="220"/>
      <c r="AI488" s="220"/>
      <c r="AJ488" s="220"/>
      <c r="AK488" s="220"/>
      <c r="AL488" s="220"/>
    </row>
    <row r="489" ht="15.75" customHeight="1">
      <c r="A489" s="220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0"/>
      <c r="AA489" s="220"/>
      <c r="AB489" s="220"/>
      <c r="AC489" s="220"/>
      <c r="AD489" s="220"/>
      <c r="AE489" s="220"/>
      <c r="AF489" s="220"/>
      <c r="AG489" s="220"/>
      <c r="AH489" s="220"/>
      <c r="AI489" s="220"/>
      <c r="AJ489" s="220"/>
      <c r="AK489" s="220"/>
      <c r="AL489" s="220"/>
    </row>
    <row r="490" ht="15.75" customHeight="1">
      <c r="A490" s="220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0"/>
      <c r="AA490" s="220"/>
      <c r="AB490" s="220"/>
      <c r="AC490" s="220"/>
      <c r="AD490" s="220"/>
      <c r="AE490" s="220"/>
      <c r="AF490" s="220"/>
      <c r="AG490" s="220"/>
      <c r="AH490" s="220"/>
      <c r="AI490" s="220"/>
      <c r="AJ490" s="220"/>
      <c r="AK490" s="220"/>
      <c r="AL490" s="220"/>
    </row>
    <row r="491" ht="15.75" customHeight="1">
      <c r="A491" s="220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0"/>
      <c r="AA491" s="220"/>
      <c r="AB491" s="220"/>
      <c r="AC491" s="220"/>
      <c r="AD491" s="220"/>
      <c r="AE491" s="220"/>
      <c r="AF491" s="220"/>
      <c r="AG491" s="220"/>
      <c r="AH491" s="220"/>
      <c r="AI491" s="220"/>
      <c r="AJ491" s="220"/>
      <c r="AK491" s="220"/>
      <c r="AL491" s="220"/>
    </row>
    <row r="492" ht="15.75" customHeight="1">
      <c r="A492" s="220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0"/>
      <c r="AA492" s="220"/>
      <c r="AB492" s="220"/>
      <c r="AC492" s="220"/>
      <c r="AD492" s="220"/>
      <c r="AE492" s="220"/>
      <c r="AF492" s="220"/>
      <c r="AG492" s="220"/>
      <c r="AH492" s="220"/>
      <c r="AI492" s="220"/>
      <c r="AJ492" s="220"/>
      <c r="AK492" s="220"/>
      <c r="AL492" s="220"/>
    </row>
    <row r="493" ht="15.75" customHeight="1">
      <c r="A493" s="220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0"/>
      <c r="AA493" s="220"/>
      <c r="AB493" s="220"/>
      <c r="AC493" s="220"/>
      <c r="AD493" s="220"/>
      <c r="AE493" s="220"/>
      <c r="AF493" s="220"/>
      <c r="AG493" s="220"/>
      <c r="AH493" s="220"/>
      <c r="AI493" s="220"/>
      <c r="AJ493" s="220"/>
      <c r="AK493" s="220"/>
      <c r="AL493" s="220"/>
    </row>
    <row r="494" ht="15.75" customHeight="1">
      <c r="A494" s="220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0"/>
      <c r="AA494" s="220"/>
      <c r="AB494" s="220"/>
      <c r="AC494" s="220"/>
      <c r="AD494" s="220"/>
      <c r="AE494" s="220"/>
      <c r="AF494" s="220"/>
      <c r="AG494" s="220"/>
      <c r="AH494" s="220"/>
      <c r="AI494" s="220"/>
      <c r="AJ494" s="220"/>
      <c r="AK494" s="220"/>
      <c r="AL494" s="220"/>
    </row>
    <row r="495" ht="15.75" customHeight="1">
      <c r="A495" s="220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0"/>
      <c r="AA495" s="220"/>
      <c r="AB495" s="220"/>
      <c r="AC495" s="220"/>
      <c r="AD495" s="220"/>
      <c r="AE495" s="220"/>
      <c r="AF495" s="220"/>
      <c r="AG495" s="220"/>
      <c r="AH495" s="220"/>
      <c r="AI495" s="220"/>
      <c r="AJ495" s="220"/>
      <c r="AK495" s="220"/>
      <c r="AL495" s="220"/>
    </row>
    <row r="496" ht="15.75" customHeight="1">
      <c r="A496" s="220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0"/>
      <c r="AA496" s="220"/>
      <c r="AB496" s="220"/>
      <c r="AC496" s="220"/>
      <c r="AD496" s="220"/>
      <c r="AE496" s="220"/>
      <c r="AF496" s="220"/>
      <c r="AG496" s="220"/>
      <c r="AH496" s="220"/>
      <c r="AI496" s="220"/>
      <c r="AJ496" s="220"/>
      <c r="AK496" s="220"/>
      <c r="AL496" s="220"/>
    </row>
    <row r="497" ht="15.75" customHeight="1">
      <c r="A497" s="220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0"/>
      <c r="AA497" s="220"/>
      <c r="AB497" s="220"/>
      <c r="AC497" s="220"/>
      <c r="AD497" s="220"/>
      <c r="AE497" s="220"/>
      <c r="AF497" s="220"/>
      <c r="AG497" s="220"/>
      <c r="AH497" s="220"/>
      <c r="AI497" s="220"/>
      <c r="AJ497" s="220"/>
      <c r="AK497" s="220"/>
      <c r="AL497" s="220"/>
    </row>
    <row r="498" ht="15.75" customHeight="1">
      <c r="A498" s="220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0"/>
      <c r="AA498" s="220"/>
      <c r="AB498" s="220"/>
      <c r="AC498" s="220"/>
      <c r="AD498" s="220"/>
      <c r="AE498" s="220"/>
      <c r="AF498" s="220"/>
      <c r="AG498" s="220"/>
      <c r="AH498" s="220"/>
      <c r="AI498" s="220"/>
      <c r="AJ498" s="220"/>
      <c r="AK498" s="220"/>
      <c r="AL498" s="220"/>
    </row>
    <row r="499" ht="15.75" customHeight="1">
      <c r="A499" s="220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0"/>
      <c r="AA499" s="220"/>
      <c r="AB499" s="220"/>
      <c r="AC499" s="220"/>
      <c r="AD499" s="220"/>
      <c r="AE499" s="220"/>
      <c r="AF499" s="220"/>
      <c r="AG499" s="220"/>
      <c r="AH499" s="220"/>
      <c r="AI499" s="220"/>
      <c r="AJ499" s="220"/>
      <c r="AK499" s="220"/>
      <c r="AL499" s="220"/>
    </row>
    <row r="500" ht="15.75" customHeight="1">
      <c r="A500" s="220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0"/>
      <c r="AA500" s="220"/>
      <c r="AB500" s="220"/>
      <c r="AC500" s="220"/>
      <c r="AD500" s="220"/>
      <c r="AE500" s="220"/>
      <c r="AF500" s="220"/>
      <c r="AG500" s="220"/>
      <c r="AH500" s="220"/>
      <c r="AI500" s="220"/>
      <c r="AJ500" s="220"/>
      <c r="AK500" s="220"/>
      <c r="AL500" s="220"/>
    </row>
    <row r="501" ht="15.75" customHeight="1">
      <c r="A501" s="220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0"/>
      <c r="AA501" s="220"/>
      <c r="AB501" s="220"/>
      <c r="AC501" s="220"/>
      <c r="AD501" s="220"/>
      <c r="AE501" s="220"/>
      <c r="AF501" s="220"/>
      <c r="AG501" s="220"/>
      <c r="AH501" s="220"/>
      <c r="AI501" s="220"/>
      <c r="AJ501" s="220"/>
      <c r="AK501" s="220"/>
      <c r="AL501" s="220"/>
    </row>
    <row r="502" ht="15.75" customHeight="1">
      <c r="A502" s="220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0"/>
      <c r="AA502" s="220"/>
      <c r="AB502" s="220"/>
      <c r="AC502" s="220"/>
      <c r="AD502" s="220"/>
      <c r="AE502" s="220"/>
      <c r="AF502" s="220"/>
      <c r="AG502" s="220"/>
      <c r="AH502" s="220"/>
      <c r="AI502" s="220"/>
      <c r="AJ502" s="220"/>
      <c r="AK502" s="220"/>
      <c r="AL502" s="220"/>
    </row>
    <row r="503" ht="15.75" customHeight="1">
      <c r="A503" s="220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0"/>
      <c r="AA503" s="220"/>
      <c r="AB503" s="220"/>
      <c r="AC503" s="220"/>
      <c r="AD503" s="220"/>
      <c r="AE503" s="220"/>
      <c r="AF503" s="220"/>
      <c r="AG503" s="220"/>
      <c r="AH503" s="220"/>
      <c r="AI503" s="220"/>
      <c r="AJ503" s="220"/>
      <c r="AK503" s="220"/>
      <c r="AL503" s="220"/>
    </row>
    <row r="504" ht="15.75" customHeight="1">
      <c r="A504" s="220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0"/>
      <c r="AA504" s="220"/>
      <c r="AB504" s="220"/>
      <c r="AC504" s="220"/>
      <c r="AD504" s="220"/>
      <c r="AE504" s="220"/>
      <c r="AF504" s="220"/>
      <c r="AG504" s="220"/>
      <c r="AH504" s="220"/>
      <c r="AI504" s="220"/>
      <c r="AJ504" s="220"/>
      <c r="AK504" s="220"/>
      <c r="AL504" s="220"/>
    </row>
    <row r="505" ht="15.75" customHeight="1">
      <c r="A505" s="220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0"/>
      <c r="AA505" s="220"/>
      <c r="AB505" s="220"/>
      <c r="AC505" s="220"/>
      <c r="AD505" s="220"/>
      <c r="AE505" s="220"/>
      <c r="AF505" s="220"/>
      <c r="AG505" s="220"/>
      <c r="AH505" s="220"/>
      <c r="AI505" s="220"/>
      <c r="AJ505" s="220"/>
      <c r="AK505" s="220"/>
      <c r="AL505" s="220"/>
    </row>
    <row r="506" ht="15.75" customHeight="1">
      <c r="A506" s="220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0"/>
      <c r="AA506" s="220"/>
      <c r="AB506" s="220"/>
      <c r="AC506" s="220"/>
      <c r="AD506" s="220"/>
      <c r="AE506" s="220"/>
      <c r="AF506" s="220"/>
      <c r="AG506" s="220"/>
      <c r="AH506" s="220"/>
      <c r="AI506" s="220"/>
      <c r="AJ506" s="220"/>
      <c r="AK506" s="220"/>
      <c r="AL506" s="220"/>
    </row>
    <row r="507" ht="15.75" customHeight="1">
      <c r="A507" s="220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0"/>
      <c r="AA507" s="220"/>
      <c r="AB507" s="220"/>
      <c r="AC507" s="220"/>
      <c r="AD507" s="220"/>
      <c r="AE507" s="220"/>
      <c r="AF507" s="220"/>
      <c r="AG507" s="220"/>
      <c r="AH507" s="220"/>
      <c r="AI507" s="220"/>
      <c r="AJ507" s="220"/>
      <c r="AK507" s="220"/>
      <c r="AL507" s="220"/>
    </row>
    <row r="508" ht="15.75" customHeight="1">
      <c r="A508" s="220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0"/>
      <c r="AA508" s="220"/>
      <c r="AB508" s="220"/>
      <c r="AC508" s="220"/>
      <c r="AD508" s="220"/>
      <c r="AE508" s="220"/>
      <c r="AF508" s="220"/>
      <c r="AG508" s="220"/>
      <c r="AH508" s="220"/>
      <c r="AI508" s="220"/>
      <c r="AJ508" s="220"/>
      <c r="AK508" s="220"/>
      <c r="AL508" s="220"/>
    </row>
    <row r="509" ht="15.75" customHeight="1">
      <c r="A509" s="220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0"/>
      <c r="AA509" s="220"/>
      <c r="AB509" s="220"/>
      <c r="AC509" s="220"/>
      <c r="AD509" s="220"/>
      <c r="AE509" s="220"/>
      <c r="AF509" s="220"/>
      <c r="AG509" s="220"/>
      <c r="AH509" s="220"/>
      <c r="AI509" s="220"/>
      <c r="AJ509" s="220"/>
      <c r="AK509" s="220"/>
      <c r="AL509" s="220"/>
    </row>
    <row r="510" ht="15.75" customHeight="1">
      <c r="A510" s="220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0"/>
      <c r="AA510" s="220"/>
      <c r="AB510" s="220"/>
      <c r="AC510" s="220"/>
      <c r="AD510" s="220"/>
      <c r="AE510" s="220"/>
      <c r="AF510" s="220"/>
      <c r="AG510" s="220"/>
      <c r="AH510" s="220"/>
      <c r="AI510" s="220"/>
      <c r="AJ510" s="220"/>
      <c r="AK510" s="220"/>
      <c r="AL510" s="220"/>
    </row>
    <row r="511" ht="15.75" customHeight="1">
      <c r="A511" s="220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0"/>
      <c r="AA511" s="220"/>
      <c r="AB511" s="220"/>
      <c r="AC511" s="220"/>
      <c r="AD511" s="220"/>
      <c r="AE511" s="220"/>
      <c r="AF511" s="220"/>
      <c r="AG511" s="220"/>
      <c r="AH511" s="220"/>
      <c r="AI511" s="220"/>
      <c r="AJ511" s="220"/>
      <c r="AK511" s="220"/>
      <c r="AL511" s="220"/>
    </row>
    <row r="512" ht="15.75" customHeight="1">
      <c r="A512" s="220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0"/>
      <c r="AA512" s="220"/>
      <c r="AB512" s="220"/>
      <c r="AC512" s="220"/>
      <c r="AD512" s="220"/>
      <c r="AE512" s="220"/>
      <c r="AF512" s="220"/>
      <c r="AG512" s="220"/>
      <c r="AH512" s="220"/>
      <c r="AI512" s="220"/>
      <c r="AJ512" s="220"/>
      <c r="AK512" s="220"/>
      <c r="AL512" s="220"/>
    </row>
    <row r="513" ht="15.75" customHeight="1">
      <c r="A513" s="220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0"/>
      <c r="AA513" s="220"/>
      <c r="AB513" s="220"/>
      <c r="AC513" s="220"/>
      <c r="AD513" s="220"/>
      <c r="AE513" s="220"/>
      <c r="AF513" s="220"/>
      <c r="AG513" s="220"/>
      <c r="AH513" s="220"/>
      <c r="AI513" s="220"/>
      <c r="AJ513" s="220"/>
      <c r="AK513" s="220"/>
      <c r="AL513" s="220"/>
    </row>
    <row r="514" ht="15.75" customHeight="1">
      <c r="A514" s="220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0"/>
      <c r="AA514" s="220"/>
      <c r="AB514" s="220"/>
      <c r="AC514" s="220"/>
      <c r="AD514" s="220"/>
      <c r="AE514" s="220"/>
      <c r="AF514" s="220"/>
      <c r="AG514" s="220"/>
      <c r="AH514" s="220"/>
      <c r="AI514" s="220"/>
      <c r="AJ514" s="220"/>
      <c r="AK514" s="220"/>
      <c r="AL514" s="220"/>
    </row>
    <row r="515" ht="15.75" customHeight="1">
      <c r="A515" s="220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0"/>
      <c r="AA515" s="220"/>
      <c r="AB515" s="220"/>
      <c r="AC515" s="220"/>
      <c r="AD515" s="220"/>
      <c r="AE515" s="220"/>
      <c r="AF515" s="220"/>
      <c r="AG515" s="220"/>
      <c r="AH515" s="220"/>
      <c r="AI515" s="220"/>
      <c r="AJ515" s="220"/>
      <c r="AK515" s="220"/>
      <c r="AL515" s="220"/>
    </row>
    <row r="516" ht="15.75" customHeight="1">
      <c r="A516" s="220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0"/>
      <c r="AA516" s="220"/>
      <c r="AB516" s="220"/>
      <c r="AC516" s="220"/>
      <c r="AD516" s="220"/>
      <c r="AE516" s="220"/>
      <c r="AF516" s="220"/>
      <c r="AG516" s="220"/>
      <c r="AH516" s="220"/>
      <c r="AI516" s="220"/>
      <c r="AJ516" s="220"/>
      <c r="AK516" s="220"/>
      <c r="AL516" s="220"/>
    </row>
    <row r="517" ht="15.75" customHeight="1">
      <c r="A517" s="220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0"/>
      <c r="AA517" s="220"/>
      <c r="AB517" s="220"/>
      <c r="AC517" s="220"/>
      <c r="AD517" s="220"/>
      <c r="AE517" s="220"/>
      <c r="AF517" s="220"/>
      <c r="AG517" s="220"/>
      <c r="AH517" s="220"/>
      <c r="AI517" s="220"/>
      <c r="AJ517" s="220"/>
      <c r="AK517" s="220"/>
      <c r="AL517" s="220"/>
    </row>
    <row r="518" ht="15.75" customHeight="1">
      <c r="A518" s="220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0"/>
      <c r="AA518" s="220"/>
      <c r="AB518" s="220"/>
      <c r="AC518" s="220"/>
      <c r="AD518" s="220"/>
      <c r="AE518" s="220"/>
      <c r="AF518" s="220"/>
      <c r="AG518" s="220"/>
      <c r="AH518" s="220"/>
      <c r="AI518" s="220"/>
      <c r="AJ518" s="220"/>
      <c r="AK518" s="220"/>
      <c r="AL518" s="220"/>
    </row>
    <row r="519" ht="15.75" customHeight="1">
      <c r="A519" s="220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0"/>
      <c r="AA519" s="220"/>
      <c r="AB519" s="220"/>
      <c r="AC519" s="220"/>
      <c r="AD519" s="220"/>
      <c r="AE519" s="220"/>
      <c r="AF519" s="220"/>
      <c r="AG519" s="220"/>
      <c r="AH519" s="220"/>
      <c r="AI519" s="220"/>
      <c r="AJ519" s="220"/>
      <c r="AK519" s="220"/>
      <c r="AL519" s="220"/>
    </row>
    <row r="520" ht="15.75" customHeight="1">
      <c r="A520" s="220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0"/>
      <c r="AA520" s="220"/>
      <c r="AB520" s="220"/>
      <c r="AC520" s="220"/>
      <c r="AD520" s="220"/>
      <c r="AE520" s="220"/>
      <c r="AF520" s="220"/>
      <c r="AG520" s="220"/>
      <c r="AH520" s="220"/>
      <c r="AI520" s="220"/>
      <c r="AJ520" s="220"/>
      <c r="AK520" s="220"/>
      <c r="AL520" s="220"/>
    </row>
    <row r="521" ht="15.75" customHeight="1">
      <c r="A521" s="220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0"/>
      <c r="AA521" s="220"/>
      <c r="AB521" s="220"/>
      <c r="AC521" s="220"/>
      <c r="AD521" s="220"/>
      <c r="AE521" s="220"/>
      <c r="AF521" s="220"/>
      <c r="AG521" s="220"/>
      <c r="AH521" s="220"/>
      <c r="AI521" s="220"/>
      <c r="AJ521" s="220"/>
      <c r="AK521" s="220"/>
      <c r="AL521" s="220"/>
    </row>
    <row r="522" ht="15.75" customHeight="1">
      <c r="A522" s="220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0"/>
      <c r="AA522" s="220"/>
      <c r="AB522" s="220"/>
      <c r="AC522" s="220"/>
      <c r="AD522" s="220"/>
      <c r="AE522" s="220"/>
      <c r="AF522" s="220"/>
      <c r="AG522" s="220"/>
      <c r="AH522" s="220"/>
      <c r="AI522" s="220"/>
      <c r="AJ522" s="220"/>
      <c r="AK522" s="220"/>
      <c r="AL522" s="220"/>
    </row>
    <row r="523" ht="15.75" customHeight="1">
      <c r="A523" s="220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0"/>
      <c r="AA523" s="220"/>
      <c r="AB523" s="220"/>
      <c r="AC523" s="220"/>
      <c r="AD523" s="220"/>
      <c r="AE523" s="220"/>
      <c r="AF523" s="220"/>
      <c r="AG523" s="220"/>
      <c r="AH523" s="220"/>
      <c r="AI523" s="220"/>
      <c r="AJ523" s="220"/>
      <c r="AK523" s="220"/>
      <c r="AL523" s="220"/>
    </row>
    <row r="524" ht="15.75" customHeight="1">
      <c r="A524" s="220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0"/>
      <c r="AA524" s="220"/>
      <c r="AB524" s="220"/>
      <c r="AC524" s="220"/>
      <c r="AD524" s="220"/>
      <c r="AE524" s="220"/>
      <c r="AF524" s="220"/>
      <c r="AG524" s="220"/>
      <c r="AH524" s="220"/>
      <c r="AI524" s="220"/>
      <c r="AJ524" s="220"/>
      <c r="AK524" s="220"/>
      <c r="AL524" s="220"/>
    </row>
    <row r="525" ht="15.75" customHeight="1">
      <c r="A525" s="220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0"/>
      <c r="AA525" s="220"/>
      <c r="AB525" s="220"/>
      <c r="AC525" s="220"/>
      <c r="AD525" s="220"/>
      <c r="AE525" s="220"/>
      <c r="AF525" s="220"/>
      <c r="AG525" s="220"/>
      <c r="AH525" s="220"/>
      <c r="AI525" s="220"/>
      <c r="AJ525" s="220"/>
      <c r="AK525" s="220"/>
      <c r="AL525" s="220"/>
    </row>
    <row r="526" ht="15.75" customHeight="1">
      <c r="A526" s="220"/>
      <c r="B526" s="220"/>
      <c r="C526" s="220"/>
      <c r="D526" s="220"/>
      <c r="E526" s="220"/>
      <c r="F526" s="22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0"/>
      <c r="AA526" s="220"/>
      <c r="AB526" s="220"/>
      <c r="AC526" s="220"/>
      <c r="AD526" s="220"/>
      <c r="AE526" s="220"/>
      <c r="AF526" s="220"/>
      <c r="AG526" s="220"/>
      <c r="AH526" s="220"/>
      <c r="AI526" s="220"/>
      <c r="AJ526" s="220"/>
      <c r="AK526" s="220"/>
      <c r="AL526" s="220"/>
    </row>
    <row r="527" ht="15.75" customHeight="1">
      <c r="A527" s="220"/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0"/>
      <c r="AA527" s="220"/>
      <c r="AB527" s="220"/>
      <c r="AC527" s="220"/>
      <c r="AD527" s="220"/>
      <c r="AE527" s="220"/>
      <c r="AF527" s="220"/>
      <c r="AG527" s="220"/>
      <c r="AH527" s="220"/>
      <c r="AI527" s="220"/>
      <c r="AJ527" s="220"/>
      <c r="AK527" s="220"/>
      <c r="AL527" s="220"/>
    </row>
    <row r="528" ht="15.75" customHeight="1">
      <c r="A528" s="220"/>
      <c r="B528" s="220"/>
      <c r="C528" s="220"/>
      <c r="D528" s="220"/>
      <c r="E528" s="220"/>
      <c r="F528" s="22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0"/>
      <c r="AA528" s="220"/>
      <c r="AB528" s="220"/>
      <c r="AC528" s="220"/>
      <c r="AD528" s="220"/>
      <c r="AE528" s="220"/>
      <c r="AF528" s="220"/>
      <c r="AG528" s="220"/>
      <c r="AH528" s="220"/>
      <c r="AI528" s="220"/>
      <c r="AJ528" s="220"/>
      <c r="AK528" s="220"/>
      <c r="AL528" s="220"/>
    </row>
    <row r="529" ht="15.75" customHeight="1">
      <c r="A529" s="220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0"/>
      <c r="AA529" s="220"/>
      <c r="AB529" s="220"/>
      <c r="AC529" s="220"/>
      <c r="AD529" s="220"/>
      <c r="AE529" s="220"/>
      <c r="AF529" s="220"/>
      <c r="AG529" s="220"/>
      <c r="AH529" s="220"/>
      <c r="AI529" s="220"/>
      <c r="AJ529" s="220"/>
      <c r="AK529" s="220"/>
      <c r="AL529" s="220"/>
    </row>
    <row r="530" ht="15.75" customHeight="1">
      <c r="A530" s="220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0"/>
      <c r="AA530" s="220"/>
      <c r="AB530" s="220"/>
      <c r="AC530" s="220"/>
      <c r="AD530" s="220"/>
      <c r="AE530" s="220"/>
      <c r="AF530" s="220"/>
      <c r="AG530" s="220"/>
      <c r="AH530" s="220"/>
      <c r="AI530" s="220"/>
      <c r="AJ530" s="220"/>
      <c r="AK530" s="220"/>
      <c r="AL530" s="220"/>
    </row>
    <row r="531" ht="15.75" customHeight="1">
      <c r="A531" s="220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0"/>
      <c r="AA531" s="220"/>
      <c r="AB531" s="220"/>
      <c r="AC531" s="220"/>
      <c r="AD531" s="220"/>
      <c r="AE531" s="220"/>
      <c r="AF531" s="220"/>
      <c r="AG531" s="220"/>
      <c r="AH531" s="220"/>
      <c r="AI531" s="220"/>
      <c r="AJ531" s="220"/>
      <c r="AK531" s="220"/>
      <c r="AL531" s="220"/>
    </row>
    <row r="532" ht="15.75" customHeight="1">
      <c r="A532" s="220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0"/>
      <c r="AA532" s="220"/>
      <c r="AB532" s="220"/>
      <c r="AC532" s="220"/>
      <c r="AD532" s="220"/>
      <c r="AE532" s="220"/>
      <c r="AF532" s="220"/>
      <c r="AG532" s="220"/>
      <c r="AH532" s="220"/>
      <c r="AI532" s="220"/>
      <c r="AJ532" s="220"/>
      <c r="AK532" s="220"/>
      <c r="AL532" s="220"/>
    </row>
    <row r="533" ht="15.75" customHeight="1">
      <c r="A533" s="220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0"/>
      <c r="AA533" s="220"/>
      <c r="AB533" s="220"/>
      <c r="AC533" s="220"/>
      <c r="AD533" s="220"/>
      <c r="AE533" s="220"/>
      <c r="AF533" s="220"/>
      <c r="AG533" s="220"/>
      <c r="AH533" s="220"/>
      <c r="AI533" s="220"/>
      <c r="AJ533" s="220"/>
      <c r="AK533" s="220"/>
      <c r="AL533" s="220"/>
    </row>
    <row r="534" ht="15.75" customHeight="1">
      <c r="A534" s="220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0"/>
      <c r="AA534" s="220"/>
      <c r="AB534" s="220"/>
      <c r="AC534" s="220"/>
      <c r="AD534" s="220"/>
      <c r="AE534" s="220"/>
      <c r="AF534" s="220"/>
      <c r="AG534" s="220"/>
      <c r="AH534" s="220"/>
      <c r="AI534" s="220"/>
      <c r="AJ534" s="220"/>
      <c r="AK534" s="220"/>
      <c r="AL534" s="220"/>
    </row>
    <row r="535" ht="15.75" customHeight="1">
      <c r="A535" s="220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0"/>
      <c r="AA535" s="220"/>
      <c r="AB535" s="220"/>
      <c r="AC535" s="220"/>
      <c r="AD535" s="220"/>
      <c r="AE535" s="220"/>
      <c r="AF535" s="220"/>
      <c r="AG535" s="220"/>
      <c r="AH535" s="220"/>
      <c r="AI535" s="220"/>
      <c r="AJ535" s="220"/>
      <c r="AK535" s="220"/>
      <c r="AL535" s="220"/>
    </row>
    <row r="536" ht="15.75" customHeight="1">
      <c r="A536" s="220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0"/>
      <c r="AA536" s="220"/>
      <c r="AB536" s="220"/>
      <c r="AC536" s="220"/>
      <c r="AD536" s="220"/>
      <c r="AE536" s="220"/>
      <c r="AF536" s="220"/>
      <c r="AG536" s="220"/>
      <c r="AH536" s="220"/>
      <c r="AI536" s="220"/>
      <c r="AJ536" s="220"/>
      <c r="AK536" s="220"/>
      <c r="AL536" s="220"/>
    </row>
    <row r="537" ht="15.75" customHeight="1">
      <c r="A537" s="220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0"/>
      <c r="AA537" s="220"/>
      <c r="AB537" s="220"/>
      <c r="AC537" s="220"/>
      <c r="AD537" s="220"/>
      <c r="AE537" s="220"/>
      <c r="AF537" s="220"/>
      <c r="AG537" s="220"/>
      <c r="AH537" s="220"/>
      <c r="AI537" s="220"/>
      <c r="AJ537" s="220"/>
      <c r="AK537" s="220"/>
      <c r="AL537" s="220"/>
    </row>
    <row r="538" ht="15.75" customHeight="1">
      <c r="A538" s="220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0"/>
      <c r="AA538" s="220"/>
      <c r="AB538" s="220"/>
      <c r="AC538" s="220"/>
      <c r="AD538" s="220"/>
      <c r="AE538" s="220"/>
      <c r="AF538" s="220"/>
      <c r="AG538" s="220"/>
      <c r="AH538" s="220"/>
      <c r="AI538" s="220"/>
      <c r="AJ538" s="220"/>
      <c r="AK538" s="220"/>
      <c r="AL538" s="220"/>
    </row>
    <row r="539" ht="15.75" customHeight="1">
      <c r="A539" s="220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0"/>
      <c r="AA539" s="220"/>
      <c r="AB539" s="220"/>
      <c r="AC539" s="220"/>
      <c r="AD539" s="220"/>
      <c r="AE539" s="220"/>
      <c r="AF539" s="220"/>
      <c r="AG539" s="220"/>
      <c r="AH539" s="220"/>
      <c r="AI539" s="220"/>
      <c r="AJ539" s="220"/>
      <c r="AK539" s="220"/>
      <c r="AL539" s="220"/>
    </row>
    <row r="540" ht="15.75" customHeight="1">
      <c r="A540" s="220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0"/>
      <c r="AA540" s="220"/>
      <c r="AB540" s="220"/>
      <c r="AC540" s="220"/>
      <c r="AD540" s="220"/>
      <c r="AE540" s="220"/>
      <c r="AF540" s="220"/>
      <c r="AG540" s="220"/>
      <c r="AH540" s="220"/>
      <c r="AI540" s="220"/>
      <c r="AJ540" s="220"/>
      <c r="AK540" s="220"/>
      <c r="AL540" s="220"/>
    </row>
    <row r="541" ht="15.75" customHeight="1">
      <c r="A541" s="220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0"/>
      <c r="AA541" s="220"/>
      <c r="AB541" s="220"/>
      <c r="AC541" s="220"/>
      <c r="AD541" s="220"/>
      <c r="AE541" s="220"/>
      <c r="AF541" s="220"/>
      <c r="AG541" s="220"/>
      <c r="AH541" s="220"/>
      <c r="AI541" s="220"/>
      <c r="AJ541" s="220"/>
      <c r="AK541" s="220"/>
      <c r="AL541" s="220"/>
    </row>
    <row r="542" ht="15.75" customHeight="1">
      <c r="A542" s="220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0"/>
      <c r="AA542" s="220"/>
      <c r="AB542" s="220"/>
      <c r="AC542" s="220"/>
      <c r="AD542" s="220"/>
      <c r="AE542" s="220"/>
      <c r="AF542" s="220"/>
      <c r="AG542" s="220"/>
      <c r="AH542" s="220"/>
      <c r="AI542" s="220"/>
      <c r="AJ542" s="220"/>
      <c r="AK542" s="220"/>
      <c r="AL542" s="220"/>
    </row>
    <row r="543" ht="15.75" customHeight="1">
      <c r="A543" s="220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0"/>
      <c r="AA543" s="220"/>
      <c r="AB543" s="220"/>
      <c r="AC543" s="220"/>
      <c r="AD543" s="220"/>
      <c r="AE543" s="220"/>
      <c r="AF543" s="220"/>
      <c r="AG543" s="220"/>
      <c r="AH543" s="220"/>
      <c r="AI543" s="220"/>
      <c r="AJ543" s="220"/>
      <c r="AK543" s="220"/>
      <c r="AL543" s="220"/>
    </row>
    <row r="544" ht="15.75" customHeight="1">
      <c r="A544" s="220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0"/>
      <c r="AA544" s="220"/>
      <c r="AB544" s="220"/>
      <c r="AC544" s="220"/>
      <c r="AD544" s="220"/>
      <c r="AE544" s="220"/>
      <c r="AF544" s="220"/>
      <c r="AG544" s="220"/>
      <c r="AH544" s="220"/>
      <c r="AI544" s="220"/>
      <c r="AJ544" s="220"/>
      <c r="AK544" s="220"/>
      <c r="AL544" s="220"/>
    </row>
    <row r="545" ht="15.75" customHeight="1">
      <c r="A545" s="220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0"/>
      <c r="AA545" s="220"/>
      <c r="AB545" s="220"/>
      <c r="AC545" s="220"/>
      <c r="AD545" s="220"/>
      <c r="AE545" s="220"/>
      <c r="AF545" s="220"/>
      <c r="AG545" s="220"/>
      <c r="AH545" s="220"/>
      <c r="AI545" s="220"/>
      <c r="AJ545" s="220"/>
      <c r="AK545" s="220"/>
      <c r="AL545" s="220"/>
    </row>
    <row r="546" ht="15.75" customHeight="1">
      <c r="A546" s="220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0"/>
      <c r="AA546" s="220"/>
      <c r="AB546" s="220"/>
      <c r="AC546" s="220"/>
      <c r="AD546" s="220"/>
      <c r="AE546" s="220"/>
      <c r="AF546" s="220"/>
      <c r="AG546" s="220"/>
      <c r="AH546" s="220"/>
      <c r="AI546" s="220"/>
      <c r="AJ546" s="220"/>
      <c r="AK546" s="220"/>
      <c r="AL546" s="220"/>
    </row>
    <row r="547" ht="15.75" customHeight="1">
      <c r="A547" s="220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0"/>
      <c r="AA547" s="220"/>
      <c r="AB547" s="220"/>
      <c r="AC547" s="220"/>
      <c r="AD547" s="220"/>
      <c r="AE547" s="220"/>
      <c r="AF547" s="220"/>
      <c r="AG547" s="220"/>
      <c r="AH547" s="220"/>
      <c r="AI547" s="220"/>
      <c r="AJ547" s="220"/>
      <c r="AK547" s="220"/>
      <c r="AL547" s="220"/>
    </row>
    <row r="548" ht="15.75" customHeight="1">
      <c r="A548" s="220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0"/>
      <c r="AA548" s="220"/>
      <c r="AB548" s="220"/>
      <c r="AC548" s="220"/>
      <c r="AD548" s="220"/>
      <c r="AE548" s="220"/>
      <c r="AF548" s="220"/>
      <c r="AG548" s="220"/>
      <c r="AH548" s="220"/>
      <c r="AI548" s="220"/>
      <c r="AJ548" s="220"/>
      <c r="AK548" s="220"/>
      <c r="AL548" s="220"/>
    </row>
    <row r="549" ht="15.75" customHeight="1">
      <c r="A549" s="220"/>
      <c r="B549" s="220"/>
      <c r="C549" s="220"/>
      <c r="D549" s="220"/>
      <c r="E549" s="220"/>
      <c r="F549" s="22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0"/>
      <c r="AA549" s="220"/>
      <c r="AB549" s="220"/>
      <c r="AC549" s="220"/>
      <c r="AD549" s="220"/>
      <c r="AE549" s="220"/>
      <c r="AF549" s="220"/>
      <c r="AG549" s="220"/>
      <c r="AH549" s="220"/>
      <c r="AI549" s="220"/>
      <c r="AJ549" s="220"/>
      <c r="AK549" s="220"/>
      <c r="AL549" s="220"/>
    </row>
    <row r="550" ht="15.75" customHeight="1">
      <c r="A550" s="220"/>
      <c r="B550" s="220"/>
      <c r="C550" s="220"/>
      <c r="D550" s="220"/>
      <c r="E550" s="220"/>
      <c r="F550" s="22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0"/>
      <c r="AA550" s="220"/>
      <c r="AB550" s="220"/>
      <c r="AC550" s="220"/>
      <c r="AD550" s="220"/>
      <c r="AE550" s="220"/>
      <c r="AF550" s="220"/>
      <c r="AG550" s="220"/>
      <c r="AH550" s="220"/>
      <c r="AI550" s="220"/>
      <c r="AJ550" s="220"/>
      <c r="AK550" s="220"/>
      <c r="AL550" s="220"/>
    </row>
    <row r="551" ht="15.75" customHeight="1">
      <c r="A551" s="220"/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0"/>
      <c r="AA551" s="220"/>
      <c r="AB551" s="220"/>
      <c r="AC551" s="220"/>
      <c r="AD551" s="220"/>
      <c r="AE551" s="220"/>
      <c r="AF551" s="220"/>
      <c r="AG551" s="220"/>
      <c r="AH551" s="220"/>
      <c r="AI551" s="220"/>
      <c r="AJ551" s="220"/>
      <c r="AK551" s="220"/>
      <c r="AL551" s="220"/>
    </row>
    <row r="552" ht="15.75" customHeight="1">
      <c r="A552" s="220"/>
      <c r="B552" s="220"/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0"/>
      <c r="AA552" s="220"/>
      <c r="AB552" s="220"/>
      <c r="AC552" s="220"/>
      <c r="AD552" s="220"/>
      <c r="AE552" s="220"/>
      <c r="AF552" s="220"/>
      <c r="AG552" s="220"/>
      <c r="AH552" s="220"/>
      <c r="AI552" s="220"/>
      <c r="AJ552" s="220"/>
      <c r="AK552" s="220"/>
      <c r="AL552" s="220"/>
    </row>
    <row r="553" ht="15.75" customHeight="1">
      <c r="A553" s="220"/>
      <c r="B553" s="220"/>
      <c r="C553" s="220"/>
      <c r="D553" s="220"/>
      <c r="E553" s="220"/>
      <c r="F553" s="22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0"/>
      <c r="AA553" s="220"/>
      <c r="AB553" s="220"/>
      <c r="AC553" s="220"/>
      <c r="AD553" s="220"/>
      <c r="AE553" s="220"/>
      <c r="AF553" s="220"/>
      <c r="AG553" s="220"/>
      <c r="AH553" s="220"/>
      <c r="AI553" s="220"/>
      <c r="AJ553" s="220"/>
      <c r="AK553" s="220"/>
      <c r="AL553" s="220"/>
    </row>
    <row r="554" ht="15.75" customHeight="1">
      <c r="A554" s="220"/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0"/>
      <c r="AA554" s="220"/>
      <c r="AB554" s="220"/>
      <c r="AC554" s="220"/>
      <c r="AD554" s="220"/>
      <c r="AE554" s="220"/>
      <c r="AF554" s="220"/>
      <c r="AG554" s="220"/>
      <c r="AH554" s="220"/>
      <c r="AI554" s="220"/>
      <c r="AJ554" s="220"/>
      <c r="AK554" s="220"/>
      <c r="AL554" s="220"/>
    </row>
    <row r="555" ht="15.75" customHeight="1">
      <c r="A555" s="220"/>
      <c r="B555" s="220"/>
      <c r="C555" s="220"/>
      <c r="D555" s="220"/>
      <c r="E555" s="220"/>
      <c r="F555" s="22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0"/>
      <c r="AA555" s="220"/>
      <c r="AB555" s="220"/>
      <c r="AC555" s="220"/>
      <c r="AD555" s="220"/>
      <c r="AE555" s="220"/>
      <c r="AF555" s="220"/>
      <c r="AG555" s="220"/>
      <c r="AH555" s="220"/>
      <c r="AI555" s="220"/>
      <c r="AJ555" s="220"/>
      <c r="AK555" s="220"/>
      <c r="AL555" s="220"/>
    </row>
    <row r="556" ht="15.75" customHeight="1">
      <c r="A556" s="220"/>
      <c r="B556" s="220"/>
      <c r="C556" s="220"/>
      <c r="D556" s="220"/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0"/>
      <c r="AA556" s="220"/>
      <c r="AB556" s="220"/>
      <c r="AC556" s="220"/>
      <c r="AD556" s="220"/>
      <c r="AE556" s="220"/>
      <c r="AF556" s="220"/>
      <c r="AG556" s="220"/>
      <c r="AH556" s="220"/>
      <c r="AI556" s="220"/>
      <c r="AJ556" s="220"/>
      <c r="AK556" s="220"/>
      <c r="AL556" s="220"/>
    </row>
    <row r="557" ht="15.75" customHeight="1">
      <c r="A557" s="220"/>
      <c r="B557" s="220"/>
      <c r="C557" s="220"/>
      <c r="D557" s="220"/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0"/>
      <c r="AA557" s="220"/>
      <c r="AB557" s="220"/>
      <c r="AC557" s="220"/>
      <c r="AD557" s="220"/>
      <c r="AE557" s="220"/>
      <c r="AF557" s="220"/>
      <c r="AG557" s="220"/>
      <c r="AH557" s="220"/>
      <c r="AI557" s="220"/>
      <c r="AJ557" s="220"/>
      <c r="AK557" s="220"/>
      <c r="AL557" s="220"/>
    </row>
    <row r="558" ht="15.75" customHeight="1">
      <c r="A558" s="220"/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0"/>
      <c r="AA558" s="220"/>
      <c r="AB558" s="220"/>
      <c r="AC558" s="220"/>
      <c r="AD558" s="220"/>
      <c r="AE558" s="220"/>
      <c r="AF558" s="220"/>
      <c r="AG558" s="220"/>
      <c r="AH558" s="220"/>
      <c r="AI558" s="220"/>
      <c r="AJ558" s="220"/>
      <c r="AK558" s="220"/>
      <c r="AL558" s="220"/>
    </row>
    <row r="559" ht="15.75" customHeight="1">
      <c r="A559" s="220"/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0"/>
      <c r="AA559" s="220"/>
      <c r="AB559" s="220"/>
      <c r="AC559" s="220"/>
      <c r="AD559" s="220"/>
      <c r="AE559" s="220"/>
      <c r="AF559" s="220"/>
      <c r="AG559" s="220"/>
      <c r="AH559" s="220"/>
      <c r="AI559" s="220"/>
      <c r="AJ559" s="220"/>
      <c r="AK559" s="220"/>
      <c r="AL559" s="220"/>
    </row>
    <row r="560" ht="15.75" customHeight="1">
      <c r="A560" s="220"/>
      <c r="B560" s="220"/>
      <c r="C560" s="220"/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0"/>
      <c r="AA560" s="220"/>
      <c r="AB560" s="220"/>
      <c r="AC560" s="220"/>
      <c r="AD560" s="220"/>
      <c r="AE560" s="220"/>
      <c r="AF560" s="220"/>
      <c r="AG560" s="220"/>
      <c r="AH560" s="220"/>
      <c r="AI560" s="220"/>
      <c r="AJ560" s="220"/>
      <c r="AK560" s="220"/>
      <c r="AL560" s="220"/>
    </row>
    <row r="561" ht="15.75" customHeight="1">
      <c r="A561" s="220"/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0"/>
      <c r="AA561" s="220"/>
      <c r="AB561" s="220"/>
      <c r="AC561" s="220"/>
      <c r="AD561" s="220"/>
      <c r="AE561" s="220"/>
      <c r="AF561" s="220"/>
      <c r="AG561" s="220"/>
      <c r="AH561" s="220"/>
      <c r="AI561" s="220"/>
      <c r="AJ561" s="220"/>
      <c r="AK561" s="220"/>
      <c r="AL561" s="220"/>
    </row>
    <row r="562" ht="15.75" customHeight="1">
      <c r="A562" s="220"/>
      <c r="B562" s="220"/>
      <c r="C562" s="220"/>
      <c r="D562" s="220"/>
      <c r="E562" s="220"/>
      <c r="F562" s="22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0"/>
      <c r="AA562" s="220"/>
      <c r="AB562" s="220"/>
      <c r="AC562" s="220"/>
      <c r="AD562" s="220"/>
      <c r="AE562" s="220"/>
      <c r="AF562" s="220"/>
      <c r="AG562" s="220"/>
      <c r="AH562" s="220"/>
      <c r="AI562" s="220"/>
      <c r="AJ562" s="220"/>
      <c r="AK562" s="220"/>
      <c r="AL562" s="220"/>
    </row>
    <row r="563" ht="15.75" customHeight="1">
      <c r="A563" s="220"/>
      <c r="B563" s="220"/>
      <c r="C563" s="220"/>
      <c r="D563" s="220"/>
      <c r="E563" s="220"/>
      <c r="F563" s="22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0"/>
      <c r="AA563" s="220"/>
      <c r="AB563" s="220"/>
      <c r="AC563" s="220"/>
      <c r="AD563" s="220"/>
      <c r="AE563" s="220"/>
      <c r="AF563" s="220"/>
      <c r="AG563" s="220"/>
      <c r="AH563" s="220"/>
      <c r="AI563" s="220"/>
      <c r="AJ563" s="220"/>
      <c r="AK563" s="220"/>
      <c r="AL563" s="220"/>
    </row>
    <row r="564" ht="15.75" customHeight="1">
      <c r="A564" s="220"/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0"/>
      <c r="AA564" s="220"/>
      <c r="AB564" s="220"/>
      <c r="AC564" s="220"/>
      <c r="AD564" s="220"/>
      <c r="AE564" s="220"/>
      <c r="AF564" s="220"/>
      <c r="AG564" s="220"/>
      <c r="AH564" s="220"/>
      <c r="AI564" s="220"/>
      <c r="AJ564" s="220"/>
      <c r="AK564" s="220"/>
      <c r="AL564" s="220"/>
    </row>
    <row r="565" ht="15.75" customHeight="1">
      <c r="A565" s="220"/>
      <c r="B565" s="220"/>
      <c r="C565" s="220"/>
      <c r="D565" s="220"/>
      <c r="E565" s="220"/>
      <c r="F565" s="22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0"/>
      <c r="AA565" s="220"/>
      <c r="AB565" s="220"/>
      <c r="AC565" s="220"/>
      <c r="AD565" s="220"/>
      <c r="AE565" s="220"/>
      <c r="AF565" s="220"/>
      <c r="AG565" s="220"/>
      <c r="AH565" s="220"/>
      <c r="AI565" s="220"/>
      <c r="AJ565" s="220"/>
      <c r="AK565" s="220"/>
      <c r="AL565" s="220"/>
    </row>
    <row r="566" ht="15.75" customHeight="1">
      <c r="A566" s="220"/>
      <c r="B566" s="220"/>
      <c r="C566" s="220"/>
      <c r="D566" s="220"/>
      <c r="E566" s="220"/>
      <c r="F566" s="22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0"/>
      <c r="AA566" s="220"/>
      <c r="AB566" s="220"/>
      <c r="AC566" s="220"/>
      <c r="AD566" s="220"/>
      <c r="AE566" s="220"/>
      <c r="AF566" s="220"/>
      <c r="AG566" s="220"/>
      <c r="AH566" s="220"/>
      <c r="AI566" s="220"/>
      <c r="AJ566" s="220"/>
      <c r="AK566" s="220"/>
      <c r="AL566" s="220"/>
    </row>
    <row r="567" ht="15.75" customHeight="1">
      <c r="A567" s="220"/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0"/>
      <c r="AA567" s="220"/>
      <c r="AB567" s="220"/>
      <c r="AC567" s="220"/>
      <c r="AD567" s="220"/>
      <c r="AE567" s="220"/>
      <c r="AF567" s="220"/>
      <c r="AG567" s="220"/>
      <c r="AH567" s="220"/>
      <c r="AI567" s="220"/>
      <c r="AJ567" s="220"/>
      <c r="AK567" s="220"/>
      <c r="AL567" s="220"/>
    </row>
    <row r="568" ht="15.75" customHeight="1">
      <c r="A568" s="220"/>
      <c r="B568" s="220"/>
      <c r="C568" s="220"/>
      <c r="D568" s="220"/>
      <c r="E568" s="220"/>
      <c r="F568" s="22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0"/>
      <c r="AA568" s="220"/>
      <c r="AB568" s="220"/>
      <c r="AC568" s="220"/>
      <c r="AD568" s="220"/>
      <c r="AE568" s="220"/>
      <c r="AF568" s="220"/>
      <c r="AG568" s="220"/>
      <c r="AH568" s="220"/>
      <c r="AI568" s="220"/>
      <c r="AJ568" s="220"/>
      <c r="AK568" s="220"/>
      <c r="AL568" s="220"/>
    </row>
    <row r="569" ht="15.75" customHeight="1">
      <c r="A569" s="220"/>
      <c r="B569" s="220"/>
      <c r="C569" s="220"/>
      <c r="D569" s="220"/>
      <c r="E569" s="220"/>
      <c r="F569" s="22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0"/>
      <c r="AA569" s="220"/>
      <c r="AB569" s="220"/>
      <c r="AC569" s="220"/>
      <c r="AD569" s="220"/>
      <c r="AE569" s="220"/>
      <c r="AF569" s="220"/>
      <c r="AG569" s="220"/>
      <c r="AH569" s="220"/>
      <c r="AI569" s="220"/>
      <c r="AJ569" s="220"/>
      <c r="AK569" s="220"/>
      <c r="AL569" s="220"/>
    </row>
    <row r="570" ht="15.75" customHeight="1">
      <c r="A570" s="220"/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0"/>
      <c r="AA570" s="220"/>
      <c r="AB570" s="220"/>
      <c r="AC570" s="220"/>
      <c r="AD570" s="220"/>
      <c r="AE570" s="220"/>
      <c r="AF570" s="220"/>
      <c r="AG570" s="220"/>
      <c r="AH570" s="220"/>
      <c r="AI570" s="220"/>
      <c r="AJ570" s="220"/>
      <c r="AK570" s="220"/>
      <c r="AL570" s="220"/>
    </row>
    <row r="571" ht="15.75" customHeight="1">
      <c r="A571" s="220"/>
      <c r="B571" s="220"/>
      <c r="C571" s="220"/>
      <c r="D571" s="220"/>
      <c r="E571" s="220"/>
      <c r="F571" s="22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0"/>
      <c r="AA571" s="220"/>
      <c r="AB571" s="220"/>
      <c r="AC571" s="220"/>
      <c r="AD571" s="220"/>
      <c r="AE571" s="220"/>
      <c r="AF571" s="220"/>
      <c r="AG571" s="220"/>
      <c r="AH571" s="220"/>
      <c r="AI571" s="220"/>
      <c r="AJ571" s="220"/>
      <c r="AK571" s="220"/>
      <c r="AL571" s="220"/>
    </row>
    <row r="572" ht="15.75" customHeight="1">
      <c r="A572" s="220"/>
      <c r="B572" s="220"/>
      <c r="C572" s="220"/>
      <c r="D572" s="220"/>
      <c r="E572" s="220"/>
      <c r="F572" s="22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0"/>
      <c r="AA572" s="220"/>
      <c r="AB572" s="220"/>
      <c r="AC572" s="220"/>
      <c r="AD572" s="220"/>
      <c r="AE572" s="220"/>
      <c r="AF572" s="220"/>
      <c r="AG572" s="220"/>
      <c r="AH572" s="220"/>
      <c r="AI572" s="220"/>
      <c r="AJ572" s="220"/>
      <c r="AK572" s="220"/>
      <c r="AL572" s="220"/>
    </row>
    <row r="573" ht="15.75" customHeight="1">
      <c r="A573" s="220"/>
      <c r="B573" s="220"/>
      <c r="C573" s="220"/>
      <c r="D573" s="220"/>
      <c r="E573" s="220"/>
      <c r="F573" s="22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0"/>
      <c r="AA573" s="220"/>
      <c r="AB573" s="220"/>
      <c r="AC573" s="220"/>
      <c r="AD573" s="220"/>
      <c r="AE573" s="220"/>
      <c r="AF573" s="220"/>
      <c r="AG573" s="220"/>
      <c r="AH573" s="220"/>
      <c r="AI573" s="220"/>
      <c r="AJ573" s="220"/>
      <c r="AK573" s="220"/>
      <c r="AL573" s="220"/>
    </row>
    <row r="574" ht="15.75" customHeight="1">
      <c r="A574" s="220"/>
      <c r="B574" s="220"/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0"/>
      <c r="AA574" s="220"/>
      <c r="AB574" s="220"/>
      <c r="AC574" s="220"/>
      <c r="AD574" s="220"/>
      <c r="AE574" s="220"/>
      <c r="AF574" s="220"/>
      <c r="AG574" s="220"/>
      <c r="AH574" s="220"/>
      <c r="AI574" s="220"/>
      <c r="AJ574" s="220"/>
      <c r="AK574" s="220"/>
      <c r="AL574" s="220"/>
    </row>
    <row r="575" ht="15.75" customHeight="1">
      <c r="A575" s="220"/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0"/>
      <c r="AA575" s="220"/>
      <c r="AB575" s="220"/>
      <c r="AC575" s="220"/>
      <c r="AD575" s="220"/>
      <c r="AE575" s="220"/>
      <c r="AF575" s="220"/>
      <c r="AG575" s="220"/>
      <c r="AH575" s="220"/>
      <c r="AI575" s="220"/>
      <c r="AJ575" s="220"/>
      <c r="AK575" s="220"/>
      <c r="AL575" s="220"/>
    </row>
    <row r="576" ht="15.75" customHeight="1">
      <c r="A576" s="220"/>
      <c r="B576" s="220"/>
      <c r="C576" s="220"/>
      <c r="D576" s="220"/>
      <c r="E576" s="220"/>
      <c r="F576" s="22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0"/>
      <c r="AA576" s="220"/>
      <c r="AB576" s="220"/>
      <c r="AC576" s="220"/>
      <c r="AD576" s="220"/>
      <c r="AE576" s="220"/>
      <c r="AF576" s="220"/>
      <c r="AG576" s="220"/>
      <c r="AH576" s="220"/>
      <c r="AI576" s="220"/>
      <c r="AJ576" s="220"/>
      <c r="AK576" s="220"/>
      <c r="AL576" s="220"/>
    </row>
    <row r="577" ht="15.75" customHeight="1">
      <c r="A577" s="220"/>
      <c r="B577" s="220"/>
      <c r="C577" s="220"/>
      <c r="D577" s="220"/>
      <c r="E577" s="220"/>
      <c r="F577" s="22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0"/>
      <c r="AA577" s="220"/>
      <c r="AB577" s="220"/>
      <c r="AC577" s="220"/>
      <c r="AD577" s="220"/>
      <c r="AE577" s="220"/>
      <c r="AF577" s="220"/>
      <c r="AG577" s="220"/>
      <c r="AH577" s="220"/>
      <c r="AI577" s="220"/>
      <c r="AJ577" s="220"/>
      <c r="AK577" s="220"/>
      <c r="AL577" s="220"/>
    </row>
    <row r="578" ht="15.75" customHeight="1">
      <c r="A578" s="220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0"/>
      <c r="AA578" s="220"/>
      <c r="AB578" s="220"/>
      <c r="AC578" s="220"/>
      <c r="AD578" s="220"/>
      <c r="AE578" s="220"/>
      <c r="AF578" s="220"/>
      <c r="AG578" s="220"/>
      <c r="AH578" s="220"/>
      <c r="AI578" s="220"/>
      <c r="AJ578" s="220"/>
      <c r="AK578" s="220"/>
      <c r="AL578" s="220"/>
    </row>
    <row r="579" ht="15.75" customHeight="1">
      <c r="A579" s="220"/>
      <c r="B579" s="220"/>
      <c r="C579" s="220"/>
      <c r="D579" s="220"/>
      <c r="E579" s="220"/>
      <c r="F579" s="22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0"/>
      <c r="AA579" s="220"/>
      <c r="AB579" s="220"/>
      <c r="AC579" s="220"/>
      <c r="AD579" s="220"/>
      <c r="AE579" s="220"/>
      <c r="AF579" s="220"/>
      <c r="AG579" s="220"/>
      <c r="AH579" s="220"/>
      <c r="AI579" s="220"/>
      <c r="AJ579" s="220"/>
      <c r="AK579" s="220"/>
      <c r="AL579" s="220"/>
    </row>
    <row r="580" ht="15.75" customHeight="1">
      <c r="A580" s="220"/>
      <c r="B580" s="220"/>
      <c r="C580" s="220"/>
      <c r="D580" s="220"/>
      <c r="E580" s="220"/>
      <c r="F580" s="22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0"/>
      <c r="AA580" s="220"/>
      <c r="AB580" s="220"/>
      <c r="AC580" s="220"/>
      <c r="AD580" s="220"/>
      <c r="AE580" s="220"/>
      <c r="AF580" s="220"/>
      <c r="AG580" s="220"/>
      <c r="AH580" s="220"/>
      <c r="AI580" s="220"/>
      <c r="AJ580" s="220"/>
      <c r="AK580" s="220"/>
      <c r="AL580" s="220"/>
    </row>
    <row r="581" ht="15.75" customHeight="1">
      <c r="A581" s="220"/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0"/>
      <c r="AA581" s="220"/>
      <c r="AB581" s="220"/>
      <c r="AC581" s="220"/>
      <c r="AD581" s="220"/>
      <c r="AE581" s="220"/>
      <c r="AF581" s="220"/>
      <c r="AG581" s="220"/>
      <c r="AH581" s="220"/>
      <c r="AI581" s="220"/>
      <c r="AJ581" s="220"/>
      <c r="AK581" s="220"/>
      <c r="AL581" s="220"/>
    </row>
    <row r="582" ht="15.75" customHeight="1">
      <c r="A582" s="220"/>
      <c r="B582" s="220"/>
      <c r="C582" s="220"/>
      <c r="D582" s="220"/>
      <c r="E582" s="220"/>
      <c r="F582" s="22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0"/>
      <c r="AA582" s="220"/>
      <c r="AB582" s="220"/>
      <c r="AC582" s="220"/>
      <c r="AD582" s="220"/>
      <c r="AE582" s="220"/>
      <c r="AF582" s="220"/>
      <c r="AG582" s="220"/>
      <c r="AH582" s="220"/>
      <c r="AI582" s="220"/>
      <c r="AJ582" s="220"/>
      <c r="AK582" s="220"/>
      <c r="AL582" s="220"/>
    </row>
    <row r="583" ht="15.75" customHeight="1">
      <c r="A583" s="220"/>
      <c r="B583" s="220"/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0"/>
      <c r="AA583" s="220"/>
      <c r="AB583" s="220"/>
      <c r="AC583" s="220"/>
      <c r="AD583" s="220"/>
      <c r="AE583" s="220"/>
      <c r="AF583" s="220"/>
      <c r="AG583" s="220"/>
      <c r="AH583" s="220"/>
      <c r="AI583" s="220"/>
      <c r="AJ583" s="220"/>
      <c r="AK583" s="220"/>
      <c r="AL583" s="220"/>
    </row>
    <row r="584" ht="15.75" customHeight="1">
      <c r="A584" s="220"/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0"/>
      <c r="AA584" s="220"/>
      <c r="AB584" s="220"/>
      <c r="AC584" s="220"/>
      <c r="AD584" s="220"/>
      <c r="AE584" s="220"/>
      <c r="AF584" s="220"/>
      <c r="AG584" s="220"/>
      <c r="AH584" s="220"/>
      <c r="AI584" s="220"/>
      <c r="AJ584" s="220"/>
      <c r="AK584" s="220"/>
      <c r="AL584" s="220"/>
    </row>
    <row r="585" ht="15.75" customHeight="1">
      <c r="A585" s="220"/>
      <c r="B585" s="220"/>
      <c r="C585" s="220"/>
      <c r="D585" s="220"/>
      <c r="E585" s="220"/>
      <c r="F585" s="22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0"/>
      <c r="AA585" s="220"/>
      <c r="AB585" s="220"/>
      <c r="AC585" s="220"/>
      <c r="AD585" s="220"/>
      <c r="AE585" s="220"/>
      <c r="AF585" s="220"/>
      <c r="AG585" s="220"/>
      <c r="AH585" s="220"/>
      <c r="AI585" s="220"/>
      <c r="AJ585" s="220"/>
      <c r="AK585" s="220"/>
      <c r="AL585" s="220"/>
    </row>
    <row r="586" ht="15.75" customHeight="1">
      <c r="A586" s="220"/>
      <c r="B586" s="220"/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0"/>
      <c r="AA586" s="220"/>
      <c r="AB586" s="220"/>
      <c r="AC586" s="220"/>
      <c r="AD586" s="220"/>
      <c r="AE586" s="220"/>
      <c r="AF586" s="220"/>
      <c r="AG586" s="220"/>
      <c r="AH586" s="220"/>
      <c r="AI586" s="220"/>
      <c r="AJ586" s="220"/>
      <c r="AK586" s="220"/>
      <c r="AL586" s="220"/>
    </row>
    <row r="587" ht="15.75" customHeight="1">
      <c r="A587" s="220"/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0"/>
      <c r="AA587" s="220"/>
      <c r="AB587" s="220"/>
      <c r="AC587" s="220"/>
      <c r="AD587" s="220"/>
      <c r="AE587" s="220"/>
      <c r="AF587" s="220"/>
      <c r="AG587" s="220"/>
      <c r="AH587" s="220"/>
      <c r="AI587" s="220"/>
      <c r="AJ587" s="220"/>
      <c r="AK587" s="220"/>
      <c r="AL587" s="220"/>
    </row>
    <row r="588" ht="15.75" customHeight="1">
      <c r="A588" s="220"/>
      <c r="B588" s="220"/>
      <c r="C588" s="220"/>
      <c r="D588" s="220"/>
      <c r="E588" s="220"/>
      <c r="F588" s="22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0"/>
      <c r="AA588" s="220"/>
      <c r="AB588" s="220"/>
      <c r="AC588" s="220"/>
      <c r="AD588" s="220"/>
      <c r="AE588" s="220"/>
      <c r="AF588" s="220"/>
      <c r="AG588" s="220"/>
      <c r="AH588" s="220"/>
      <c r="AI588" s="220"/>
      <c r="AJ588" s="220"/>
      <c r="AK588" s="220"/>
      <c r="AL588" s="220"/>
    </row>
    <row r="589" ht="15.75" customHeight="1">
      <c r="A589" s="220"/>
      <c r="B589" s="220"/>
      <c r="C589" s="220"/>
      <c r="D589" s="220"/>
      <c r="E589" s="220"/>
      <c r="F589" s="22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0"/>
      <c r="AA589" s="220"/>
      <c r="AB589" s="220"/>
      <c r="AC589" s="220"/>
      <c r="AD589" s="220"/>
      <c r="AE589" s="220"/>
      <c r="AF589" s="220"/>
      <c r="AG589" s="220"/>
      <c r="AH589" s="220"/>
      <c r="AI589" s="220"/>
      <c r="AJ589" s="220"/>
      <c r="AK589" s="220"/>
      <c r="AL589" s="220"/>
    </row>
    <row r="590" ht="15.75" customHeight="1">
      <c r="A590" s="220"/>
      <c r="B590" s="220"/>
      <c r="C590" s="220"/>
      <c r="D590" s="220"/>
      <c r="E590" s="220"/>
      <c r="F590" s="22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0"/>
      <c r="AA590" s="220"/>
      <c r="AB590" s="220"/>
      <c r="AC590" s="220"/>
      <c r="AD590" s="220"/>
      <c r="AE590" s="220"/>
      <c r="AF590" s="220"/>
      <c r="AG590" s="220"/>
      <c r="AH590" s="220"/>
      <c r="AI590" s="220"/>
      <c r="AJ590" s="220"/>
      <c r="AK590" s="220"/>
      <c r="AL590" s="220"/>
    </row>
    <row r="591" ht="15.75" customHeight="1">
      <c r="A591" s="220"/>
      <c r="B591" s="220"/>
      <c r="C591" s="220"/>
      <c r="D591" s="220"/>
      <c r="E591" s="220"/>
      <c r="F591" s="22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0"/>
      <c r="AA591" s="220"/>
      <c r="AB591" s="220"/>
      <c r="AC591" s="220"/>
      <c r="AD591" s="220"/>
      <c r="AE591" s="220"/>
      <c r="AF591" s="220"/>
      <c r="AG591" s="220"/>
      <c r="AH591" s="220"/>
      <c r="AI591" s="220"/>
      <c r="AJ591" s="220"/>
      <c r="AK591" s="220"/>
      <c r="AL591" s="220"/>
    </row>
    <row r="592" ht="15.75" customHeight="1">
      <c r="A592" s="220"/>
      <c r="B592" s="220"/>
      <c r="C592" s="220"/>
      <c r="D592" s="220"/>
      <c r="E592" s="220"/>
      <c r="F592" s="22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0"/>
      <c r="AA592" s="220"/>
      <c r="AB592" s="220"/>
      <c r="AC592" s="220"/>
      <c r="AD592" s="220"/>
      <c r="AE592" s="220"/>
      <c r="AF592" s="220"/>
      <c r="AG592" s="220"/>
      <c r="AH592" s="220"/>
      <c r="AI592" s="220"/>
      <c r="AJ592" s="220"/>
      <c r="AK592" s="220"/>
      <c r="AL592" s="220"/>
    </row>
    <row r="593" ht="15.75" customHeight="1">
      <c r="A593" s="220"/>
      <c r="B593" s="220"/>
      <c r="C593" s="220"/>
      <c r="D593" s="220"/>
      <c r="E593" s="220"/>
      <c r="F593" s="22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0"/>
      <c r="AA593" s="220"/>
      <c r="AB593" s="220"/>
      <c r="AC593" s="220"/>
      <c r="AD593" s="220"/>
      <c r="AE593" s="220"/>
      <c r="AF593" s="220"/>
      <c r="AG593" s="220"/>
      <c r="AH593" s="220"/>
      <c r="AI593" s="220"/>
      <c r="AJ593" s="220"/>
      <c r="AK593" s="220"/>
      <c r="AL593" s="220"/>
    </row>
    <row r="594" ht="15.75" customHeight="1">
      <c r="A594" s="220"/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0"/>
      <c r="AA594" s="220"/>
      <c r="AB594" s="220"/>
      <c r="AC594" s="220"/>
      <c r="AD594" s="220"/>
      <c r="AE594" s="220"/>
      <c r="AF594" s="220"/>
      <c r="AG594" s="220"/>
      <c r="AH594" s="220"/>
      <c r="AI594" s="220"/>
      <c r="AJ594" s="220"/>
      <c r="AK594" s="220"/>
      <c r="AL594" s="220"/>
    </row>
    <row r="595" ht="15.75" customHeight="1">
      <c r="A595" s="220"/>
      <c r="B595" s="220"/>
      <c r="C595" s="220"/>
      <c r="D595" s="220"/>
      <c r="E595" s="220"/>
      <c r="F595" s="22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0"/>
      <c r="AA595" s="220"/>
      <c r="AB595" s="220"/>
      <c r="AC595" s="220"/>
      <c r="AD595" s="220"/>
      <c r="AE595" s="220"/>
      <c r="AF595" s="220"/>
      <c r="AG595" s="220"/>
      <c r="AH595" s="220"/>
      <c r="AI595" s="220"/>
      <c r="AJ595" s="220"/>
      <c r="AK595" s="220"/>
      <c r="AL595" s="220"/>
    </row>
    <row r="596" ht="15.75" customHeight="1">
      <c r="A596" s="220"/>
      <c r="B596" s="220"/>
      <c r="C596" s="220"/>
      <c r="D596" s="220"/>
      <c r="E596" s="220"/>
      <c r="F596" s="22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0"/>
      <c r="AA596" s="220"/>
      <c r="AB596" s="220"/>
      <c r="AC596" s="220"/>
      <c r="AD596" s="220"/>
      <c r="AE596" s="220"/>
      <c r="AF596" s="220"/>
      <c r="AG596" s="220"/>
      <c r="AH596" s="220"/>
      <c r="AI596" s="220"/>
      <c r="AJ596" s="220"/>
      <c r="AK596" s="220"/>
      <c r="AL596" s="220"/>
    </row>
    <row r="597" ht="15.75" customHeight="1">
      <c r="A597" s="220"/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0"/>
      <c r="AA597" s="220"/>
      <c r="AB597" s="220"/>
      <c r="AC597" s="220"/>
      <c r="AD597" s="220"/>
      <c r="AE597" s="220"/>
      <c r="AF597" s="220"/>
      <c r="AG597" s="220"/>
      <c r="AH597" s="220"/>
      <c r="AI597" s="220"/>
      <c r="AJ597" s="220"/>
      <c r="AK597" s="220"/>
      <c r="AL597" s="220"/>
    </row>
    <row r="598" ht="15.75" customHeight="1">
      <c r="A598" s="220"/>
      <c r="B598" s="220"/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0"/>
      <c r="AA598" s="220"/>
      <c r="AB598" s="220"/>
      <c r="AC598" s="220"/>
      <c r="AD598" s="220"/>
      <c r="AE598" s="220"/>
      <c r="AF598" s="220"/>
      <c r="AG598" s="220"/>
      <c r="AH598" s="220"/>
      <c r="AI598" s="220"/>
      <c r="AJ598" s="220"/>
      <c r="AK598" s="220"/>
      <c r="AL598" s="220"/>
    </row>
    <row r="599" ht="15.75" customHeight="1">
      <c r="A599" s="220"/>
      <c r="B599" s="220"/>
      <c r="C599" s="220"/>
      <c r="D599" s="220"/>
      <c r="E599" s="220"/>
      <c r="F599" s="22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0"/>
      <c r="AA599" s="220"/>
      <c r="AB599" s="220"/>
      <c r="AC599" s="220"/>
      <c r="AD599" s="220"/>
      <c r="AE599" s="220"/>
      <c r="AF599" s="220"/>
      <c r="AG599" s="220"/>
      <c r="AH599" s="220"/>
      <c r="AI599" s="220"/>
      <c r="AJ599" s="220"/>
      <c r="AK599" s="220"/>
      <c r="AL599" s="220"/>
    </row>
    <row r="600" ht="15.75" customHeight="1">
      <c r="A600" s="220"/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0"/>
      <c r="AA600" s="220"/>
      <c r="AB600" s="220"/>
      <c r="AC600" s="220"/>
      <c r="AD600" s="220"/>
      <c r="AE600" s="220"/>
      <c r="AF600" s="220"/>
      <c r="AG600" s="220"/>
      <c r="AH600" s="220"/>
      <c r="AI600" s="220"/>
      <c r="AJ600" s="220"/>
      <c r="AK600" s="220"/>
      <c r="AL600" s="220"/>
    </row>
    <row r="601" ht="15.75" customHeight="1">
      <c r="A601" s="220"/>
      <c r="B601" s="220"/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0"/>
      <c r="AA601" s="220"/>
      <c r="AB601" s="220"/>
      <c r="AC601" s="220"/>
      <c r="AD601" s="220"/>
      <c r="AE601" s="220"/>
      <c r="AF601" s="220"/>
      <c r="AG601" s="220"/>
      <c r="AH601" s="220"/>
      <c r="AI601" s="220"/>
      <c r="AJ601" s="220"/>
      <c r="AK601" s="220"/>
      <c r="AL601" s="220"/>
    </row>
    <row r="602" ht="15.75" customHeight="1">
      <c r="A602" s="220"/>
      <c r="B602" s="220"/>
      <c r="C602" s="220"/>
      <c r="D602" s="220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0"/>
      <c r="AA602" s="220"/>
      <c r="AB602" s="220"/>
      <c r="AC602" s="220"/>
      <c r="AD602" s="220"/>
      <c r="AE602" s="220"/>
      <c r="AF602" s="220"/>
      <c r="AG602" s="220"/>
      <c r="AH602" s="220"/>
      <c r="AI602" s="220"/>
      <c r="AJ602" s="220"/>
      <c r="AK602" s="220"/>
      <c r="AL602" s="220"/>
    </row>
    <row r="603" ht="15.75" customHeight="1">
      <c r="A603" s="220"/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0"/>
      <c r="AA603" s="220"/>
      <c r="AB603" s="220"/>
      <c r="AC603" s="220"/>
      <c r="AD603" s="220"/>
      <c r="AE603" s="220"/>
      <c r="AF603" s="220"/>
      <c r="AG603" s="220"/>
      <c r="AH603" s="220"/>
      <c r="AI603" s="220"/>
      <c r="AJ603" s="220"/>
      <c r="AK603" s="220"/>
      <c r="AL603" s="220"/>
    </row>
    <row r="604" ht="15.75" customHeight="1">
      <c r="A604" s="220"/>
      <c r="B604" s="220"/>
      <c r="C604" s="220"/>
      <c r="D604" s="220"/>
      <c r="E604" s="220"/>
      <c r="F604" s="22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0"/>
      <c r="AA604" s="220"/>
      <c r="AB604" s="220"/>
      <c r="AC604" s="220"/>
      <c r="AD604" s="220"/>
      <c r="AE604" s="220"/>
      <c r="AF604" s="220"/>
      <c r="AG604" s="220"/>
      <c r="AH604" s="220"/>
      <c r="AI604" s="220"/>
      <c r="AJ604" s="220"/>
      <c r="AK604" s="220"/>
      <c r="AL604" s="220"/>
    </row>
    <row r="605" ht="15.75" customHeight="1">
      <c r="A605" s="220"/>
      <c r="B605" s="220"/>
      <c r="C605" s="220"/>
      <c r="D605" s="220"/>
      <c r="E605" s="220"/>
      <c r="F605" s="22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0"/>
      <c r="AA605" s="220"/>
      <c r="AB605" s="220"/>
      <c r="AC605" s="220"/>
      <c r="AD605" s="220"/>
      <c r="AE605" s="220"/>
      <c r="AF605" s="220"/>
      <c r="AG605" s="220"/>
      <c r="AH605" s="220"/>
      <c r="AI605" s="220"/>
      <c r="AJ605" s="220"/>
      <c r="AK605" s="220"/>
      <c r="AL605" s="220"/>
    </row>
    <row r="606" ht="15.75" customHeight="1">
      <c r="A606" s="220"/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0"/>
      <c r="AA606" s="220"/>
      <c r="AB606" s="220"/>
      <c r="AC606" s="220"/>
      <c r="AD606" s="220"/>
      <c r="AE606" s="220"/>
      <c r="AF606" s="220"/>
      <c r="AG606" s="220"/>
      <c r="AH606" s="220"/>
      <c r="AI606" s="220"/>
      <c r="AJ606" s="220"/>
      <c r="AK606" s="220"/>
      <c r="AL606" s="220"/>
    </row>
    <row r="607" ht="15.75" customHeight="1">
      <c r="A607" s="220"/>
      <c r="B607" s="220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0"/>
      <c r="AA607" s="220"/>
      <c r="AB607" s="220"/>
      <c r="AC607" s="220"/>
      <c r="AD607" s="220"/>
      <c r="AE607" s="220"/>
      <c r="AF607" s="220"/>
      <c r="AG607" s="220"/>
      <c r="AH607" s="220"/>
      <c r="AI607" s="220"/>
      <c r="AJ607" s="220"/>
      <c r="AK607" s="220"/>
      <c r="AL607" s="220"/>
    </row>
    <row r="608" ht="15.75" customHeight="1">
      <c r="A608" s="220"/>
      <c r="B608" s="220"/>
      <c r="C608" s="220"/>
      <c r="D608" s="220"/>
      <c r="E608" s="220"/>
      <c r="F608" s="22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0"/>
      <c r="AA608" s="220"/>
      <c r="AB608" s="220"/>
      <c r="AC608" s="220"/>
      <c r="AD608" s="220"/>
      <c r="AE608" s="220"/>
      <c r="AF608" s="220"/>
      <c r="AG608" s="220"/>
      <c r="AH608" s="220"/>
      <c r="AI608" s="220"/>
      <c r="AJ608" s="220"/>
      <c r="AK608" s="220"/>
      <c r="AL608" s="220"/>
    </row>
    <row r="609" ht="15.75" customHeight="1">
      <c r="A609" s="220"/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0"/>
      <c r="AA609" s="220"/>
      <c r="AB609" s="220"/>
      <c r="AC609" s="220"/>
      <c r="AD609" s="220"/>
      <c r="AE609" s="220"/>
      <c r="AF609" s="220"/>
      <c r="AG609" s="220"/>
      <c r="AH609" s="220"/>
      <c r="AI609" s="220"/>
      <c r="AJ609" s="220"/>
      <c r="AK609" s="220"/>
      <c r="AL609" s="220"/>
    </row>
    <row r="610" ht="15.75" customHeight="1">
      <c r="A610" s="220"/>
      <c r="B610" s="220"/>
      <c r="C610" s="220"/>
      <c r="D610" s="220"/>
      <c r="E610" s="220"/>
      <c r="F610" s="22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0"/>
      <c r="AA610" s="220"/>
      <c r="AB610" s="220"/>
      <c r="AC610" s="220"/>
      <c r="AD610" s="220"/>
      <c r="AE610" s="220"/>
      <c r="AF610" s="220"/>
      <c r="AG610" s="220"/>
      <c r="AH610" s="220"/>
      <c r="AI610" s="220"/>
      <c r="AJ610" s="220"/>
      <c r="AK610" s="220"/>
      <c r="AL610" s="220"/>
    </row>
    <row r="611" ht="15.75" customHeight="1">
      <c r="A611" s="220"/>
      <c r="B611" s="220"/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0"/>
      <c r="AA611" s="220"/>
      <c r="AB611" s="220"/>
      <c r="AC611" s="220"/>
      <c r="AD611" s="220"/>
      <c r="AE611" s="220"/>
      <c r="AF611" s="220"/>
      <c r="AG611" s="220"/>
      <c r="AH611" s="220"/>
      <c r="AI611" s="220"/>
      <c r="AJ611" s="220"/>
      <c r="AK611" s="220"/>
      <c r="AL611" s="220"/>
    </row>
    <row r="612" ht="15.75" customHeight="1">
      <c r="A612" s="220"/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0"/>
      <c r="AA612" s="220"/>
      <c r="AB612" s="220"/>
      <c r="AC612" s="220"/>
      <c r="AD612" s="220"/>
      <c r="AE612" s="220"/>
      <c r="AF612" s="220"/>
      <c r="AG612" s="220"/>
      <c r="AH612" s="220"/>
      <c r="AI612" s="220"/>
      <c r="AJ612" s="220"/>
      <c r="AK612" s="220"/>
      <c r="AL612" s="220"/>
    </row>
    <row r="613" ht="15.75" customHeight="1">
      <c r="A613" s="220"/>
      <c r="B613" s="220"/>
      <c r="C613" s="220"/>
      <c r="D613" s="220"/>
      <c r="E613" s="220"/>
      <c r="F613" s="22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0"/>
      <c r="AA613" s="220"/>
      <c r="AB613" s="220"/>
      <c r="AC613" s="220"/>
      <c r="AD613" s="220"/>
      <c r="AE613" s="220"/>
      <c r="AF613" s="220"/>
      <c r="AG613" s="220"/>
      <c r="AH613" s="220"/>
      <c r="AI613" s="220"/>
      <c r="AJ613" s="220"/>
      <c r="AK613" s="220"/>
      <c r="AL613" s="220"/>
    </row>
    <row r="614" ht="15.75" customHeight="1">
      <c r="A614" s="220"/>
      <c r="B614" s="220"/>
      <c r="C614" s="220"/>
      <c r="D614" s="220"/>
      <c r="E614" s="220"/>
      <c r="F614" s="220"/>
      <c r="G614" s="220"/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  <c r="W614" s="220"/>
      <c r="X614" s="220"/>
      <c r="Y614" s="220"/>
      <c r="Z614" s="220"/>
      <c r="AA614" s="220"/>
      <c r="AB614" s="220"/>
      <c r="AC614" s="220"/>
      <c r="AD614" s="220"/>
      <c r="AE614" s="220"/>
      <c r="AF614" s="220"/>
      <c r="AG614" s="220"/>
      <c r="AH614" s="220"/>
      <c r="AI614" s="220"/>
      <c r="AJ614" s="220"/>
      <c r="AK614" s="220"/>
      <c r="AL614" s="220"/>
    </row>
    <row r="615" ht="15.75" customHeight="1">
      <c r="A615" s="220"/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  <c r="W615" s="220"/>
      <c r="X615" s="220"/>
      <c r="Y615" s="220"/>
      <c r="Z615" s="220"/>
      <c r="AA615" s="220"/>
      <c r="AB615" s="220"/>
      <c r="AC615" s="220"/>
      <c r="AD615" s="220"/>
      <c r="AE615" s="220"/>
      <c r="AF615" s="220"/>
      <c r="AG615" s="220"/>
      <c r="AH615" s="220"/>
      <c r="AI615" s="220"/>
      <c r="AJ615" s="220"/>
      <c r="AK615" s="220"/>
      <c r="AL615" s="220"/>
    </row>
    <row r="616" ht="15.75" customHeight="1">
      <c r="A616" s="220"/>
      <c r="B616" s="220"/>
      <c r="C616" s="220"/>
      <c r="D616" s="220"/>
      <c r="E616" s="220"/>
      <c r="F616" s="220"/>
      <c r="G616" s="220"/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  <c r="W616" s="220"/>
      <c r="X616" s="220"/>
      <c r="Y616" s="220"/>
      <c r="Z616" s="220"/>
      <c r="AA616" s="220"/>
      <c r="AB616" s="220"/>
      <c r="AC616" s="220"/>
      <c r="AD616" s="220"/>
      <c r="AE616" s="220"/>
      <c r="AF616" s="220"/>
      <c r="AG616" s="220"/>
      <c r="AH616" s="220"/>
      <c r="AI616" s="220"/>
      <c r="AJ616" s="220"/>
      <c r="AK616" s="220"/>
      <c r="AL616" s="220"/>
    </row>
    <row r="617" ht="15.75" customHeight="1">
      <c r="A617" s="220"/>
      <c r="B617" s="220"/>
      <c r="C617" s="220"/>
      <c r="D617" s="220"/>
      <c r="E617" s="220"/>
      <c r="F617" s="220"/>
      <c r="G617" s="220"/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  <c r="W617" s="220"/>
      <c r="X617" s="220"/>
      <c r="Y617" s="220"/>
      <c r="Z617" s="220"/>
      <c r="AA617" s="220"/>
      <c r="AB617" s="220"/>
      <c r="AC617" s="220"/>
      <c r="AD617" s="220"/>
      <c r="AE617" s="220"/>
      <c r="AF617" s="220"/>
      <c r="AG617" s="220"/>
      <c r="AH617" s="220"/>
      <c r="AI617" s="220"/>
      <c r="AJ617" s="220"/>
      <c r="AK617" s="220"/>
      <c r="AL617" s="220"/>
    </row>
    <row r="618" ht="15.75" customHeight="1">
      <c r="A618" s="220"/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  <c r="W618" s="220"/>
      <c r="X618" s="220"/>
      <c r="Y618" s="220"/>
      <c r="Z618" s="220"/>
      <c r="AA618" s="220"/>
      <c r="AB618" s="220"/>
      <c r="AC618" s="220"/>
      <c r="AD618" s="220"/>
      <c r="AE618" s="220"/>
      <c r="AF618" s="220"/>
      <c r="AG618" s="220"/>
      <c r="AH618" s="220"/>
      <c r="AI618" s="220"/>
      <c r="AJ618" s="220"/>
      <c r="AK618" s="220"/>
      <c r="AL618" s="220"/>
    </row>
    <row r="619" ht="15.75" customHeight="1">
      <c r="A619" s="220"/>
      <c r="B619" s="220"/>
      <c r="C619" s="220"/>
      <c r="D619" s="220"/>
      <c r="E619" s="220"/>
      <c r="F619" s="220"/>
      <c r="G619" s="220"/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  <c r="W619" s="220"/>
      <c r="X619" s="220"/>
      <c r="Y619" s="220"/>
      <c r="Z619" s="220"/>
      <c r="AA619" s="220"/>
      <c r="AB619" s="220"/>
      <c r="AC619" s="220"/>
      <c r="AD619" s="220"/>
      <c r="AE619" s="220"/>
      <c r="AF619" s="220"/>
      <c r="AG619" s="220"/>
      <c r="AH619" s="220"/>
      <c r="AI619" s="220"/>
      <c r="AJ619" s="220"/>
      <c r="AK619" s="220"/>
      <c r="AL619" s="220"/>
    </row>
    <row r="620" ht="15.75" customHeight="1">
      <c r="A620" s="220"/>
      <c r="B620" s="220"/>
      <c r="C620" s="220"/>
      <c r="D620" s="220"/>
      <c r="E620" s="220"/>
      <c r="F620" s="220"/>
      <c r="G620" s="220"/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  <c r="W620" s="220"/>
      <c r="X620" s="220"/>
      <c r="Y620" s="220"/>
      <c r="Z620" s="220"/>
      <c r="AA620" s="220"/>
      <c r="AB620" s="220"/>
      <c r="AC620" s="220"/>
      <c r="AD620" s="220"/>
      <c r="AE620" s="220"/>
      <c r="AF620" s="220"/>
      <c r="AG620" s="220"/>
      <c r="AH620" s="220"/>
      <c r="AI620" s="220"/>
      <c r="AJ620" s="220"/>
      <c r="AK620" s="220"/>
      <c r="AL620" s="220"/>
    </row>
    <row r="621" ht="15.75" customHeight="1">
      <c r="A621" s="220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220"/>
      <c r="Y621" s="220"/>
      <c r="Z621" s="220"/>
      <c r="AA621" s="220"/>
      <c r="AB621" s="220"/>
      <c r="AC621" s="220"/>
      <c r="AD621" s="220"/>
      <c r="AE621" s="220"/>
      <c r="AF621" s="220"/>
      <c r="AG621" s="220"/>
      <c r="AH621" s="220"/>
      <c r="AI621" s="220"/>
      <c r="AJ621" s="220"/>
      <c r="AK621" s="220"/>
      <c r="AL621" s="220"/>
    </row>
    <row r="622" ht="15.75" customHeight="1">
      <c r="A622" s="220"/>
      <c r="B622" s="220"/>
      <c r="C622" s="220"/>
      <c r="D622" s="220"/>
      <c r="E622" s="220"/>
      <c r="F622" s="220"/>
      <c r="G622" s="220"/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  <c r="W622" s="220"/>
      <c r="X622" s="220"/>
      <c r="Y622" s="220"/>
      <c r="Z622" s="220"/>
      <c r="AA622" s="220"/>
      <c r="AB622" s="220"/>
      <c r="AC622" s="220"/>
      <c r="AD622" s="220"/>
      <c r="AE622" s="220"/>
      <c r="AF622" s="220"/>
      <c r="AG622" s="220"/>
      <c r="AH622" s="220"/>
      <c r="AI622" s="220"/>
      <c r="AJ622" s="220"/>
      <c r="AK622" s="220"/>
      <c r="AL622" s="220"/>
    </row>
    <row r="623" ht="15.75" customHeight="1">
      <c r="A623" s="220"/>
      <c r="B623" s="220"/>
      <c r="C623" s="220"/>
      <c r="D623" s="220"/>
      <c r="E623" s="220"/>
      <c r="F623" s="220"/>
      <c r="G623" s="220"/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  <c r="W623" s="220"/>
      <c r="X623" s="220"/>
      <c r="Y623" s="220"/>
      <c r="Z623" s="220"/>
      <c r="AA623" s="220"/>
      <c r="AB623" s="220"/>
      <c r="AC623" s="220"/>
      <c r="AD623" s="220"/>
      <c r="AE623" s="220"/>
      <c r="AF623" s="220"/>
      <c r="AG623" s="220"/>
      <c r="AH623" s="220"/>
      <c r="AI623" s="220"/>
      <c r="AJ623" s="220"/>
      <c r="AK623" s="220"/>
      <c r="AL623" s="220"/>
    </row>
    <row r="624" ht="15.75" customHeight="1">
      <c r="A624" s="220"/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  <c r="W624" s="220"/>
      <c r="X624" s="220"/>
      <c r="Y624" s="220"/>
      <c r="Z624" s="220"/>
      <c r="AA624" s="220"/>
      <c r="AB624" s="220"/>
      <c r="AC624" s="220"/>
      <c r="AD624" s="220"/>
      <c r="AE624" s="220"/>
      <c r="AF624" s="220"/>
      <c r="AG624" s="220"/>
      <c r="AH624" s="220"/>
      <c r="AI624" s="220"/>
      <c r="AJ624" s="220"/>
      <c r="AK624" s="220"/>
      <c r="AL624" s="220"/>
    </row>
    <row r="625" ht="15.75" customHeight="1">
      <c r="A625" s="220"/>
      <c r="B625" s="220"/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  <c r="W625" s="220"/>
      <c r="X625" s="220"/>
      <c r="Y625" s="220"/>
      <c r="Z625" s="220"/>
      <c r="AA625" s="220"/>
      <c r="AB625" s="220"/>
      <c r="AC625" s="220"/>
      <c r="AD625" s="220"/>
      <c r="AE625" s="220"/>
      <c r="AF625" s="220"/>
      <c r="AG625" s="220"/>
      <c r="AH625" s="220"/>
      <c r="AI625" s="220"/>
      <c r="AJ625" s="220"/>
      <c r="AK625" s="220"/>
      <c r="AL625" s="220"/>
    </row>
    <row r="626" ht="15.75" customHeight="1">
      <c r="A626" s="220"/>
      <c r="B626" s="220"/>
      <c r="C626" s="220"/>
      <c r="D626" s="220"/>
      <c r="E626" s="220"/>
      <c r="F626" s="220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  <c r="W626" s="220"/>
      <c r="X626" s="220"/>
      <c r="Y626" s="220"/>
      <c r="Z626" s="220"/>
      <c r="AA626" s="220"/>
      <c r="AB626" s="220"/>
      <c r="AC626" s="220"/>
      <c r="AD626" s="220"/>
      <c r="AE626" s="220"/>
      <c r="AF626" s="220"/>
      <c r="AG626" s="220"/>
      <c r="AH626" s="220"/>
      <c r="AI626" s="220"/>
      <c r="AJ626" s="220"/>
      <c r="AK626" s="220"/>
      <c r="AL626" s="220"/>
    </row>
    <row r="627" ht="15.75" customHeight="1">
      <c r="A627" s="220"/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  <c r="W627" s="220"/>
      <c r="X627" s="220"/>
      <c r="Y627" s="220"/>
      <c r="Z627" s="220"/>
      <c r="AA627" s="220"/>
      <c r="AB627" s="220"/>
      <c r="AC627" s="220"/>
      <c r="AD627" s="220"/>
      <c r="AE627" s="220"/>
      <c r="AF627" s="220"/>
      <c r="AG627" s="220"/>
      <c r="AH627" s="220"/>
      <c r="AI627" s="220"/>
      <c r="AJ627" s="220"/>
      <c r="AK627" s="220"/>
      <c r="AL627" s="220"/>
    </row>
    <row r="628" ht="15.75" customHeight="1">
      <c r="A628" s="220"/>
      <c r="B628" s="220"/>
      <c r="C628" s="220"/>
      <c r="D628" s="220"/>
      <c r="E628" s="220"/>
      <c r="F628" s="220"/>
      <c r="G628" s="220"/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  <c r="W628" s="220"/>
      <c r="X628" s="220"/>
      <c r="Y628" s="220"/>
      <c r="Z628" s="220"/>
      <c r="AA628" s="220"/>
      <c r="AB628" s="220"/>
      <c r="AC628" s="220"/>
      <c r="AD628" s="220"/>
      <c r="AE628" s="220"/>
      <c r="AF628" s="220"/>
      <c r="AG628" s="220"/>
      <c r="AH628" s="220"/>
      <c r="AI628" s="220"/>
      <c r="AJ628" s="220"/>
      <c r="AK628" s="220"/>
      <c r="AL628" s="220"/>
    </row>
    <row r="629" ht="15.75" customHeight="1">
      <c r="A629" s="220"/>
      <c r="B629" s="220"/>
      <c r="C629" s="220"/>
      <c r="D629" s="220"/>
      <c r="E629" s="220"/>
      <c r="F629" s="220"/>
      <c r="G629" s="220"/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  <c r="W629" s="220"/>
      <c r="X629" s="220"/>
      <c r="Y629" s="220"/>
      <c r="Z629" s="220"/>
      <c r="AA629" s="220"/>
      <c r="AB629" s="220"/>
      <c r="AC629" s="220"/>
      <c r="AD629" s="220"/>
      <c r="AE629" s="220"/>
      <c r="AF629" s="220"/>
      <c r="AG629" s="220"/>
      <c r="AH629" s="220"/>
      <c r="AI629" s="220"/>
      <c r="AJ629" s="220"/>
      <c r="AK629" s="220"/>
      <c r="AL629" s="220"/>
    </row>
    <row r="630" ht="15.75" customHeight="1">
      <c r="A630" s="220"/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  <c r="W630" s="220"/>
      <c r="X630" s="220"/>
      <c r="Y630" s="220"/>
      <c r="Z630" s="220"/>
      <c r="AA630" s="220"/>
      <c r="AB630" s="220"/>
      <c r="AC630" s="220"/>
      <c r="AD630" s="220"/>
      <c r="AE630" s="220"/>
      <c r="AF630" s="220"/>
      <c r="AG630" s="220"/>
      <c r="AH630" s="220"/>
      <c r="AI630" s="220"/>
      <c r="AJ630" s="220"/>
      <c r="AK630" s="220"/>
      <c r="AL630" s="220"/>
    </row>
    <row r="631" ht="15.75" customHeight="1">
      <c r="A631" s="220"/>
      <c r="B631" s="220"/>
      <c r="C631" s="220"/>
      <c r="D631" s="220"/>
      <c r="E631" s="220"/>
      <c r="F631" s="220"/>
      <c r="G631" s="220"/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  <c r="W631" s="220"/>
      <c r="X631" s="220"/>
      <c r="Y631" s="220"/>
      <c r="Z631" s="220"/>
      <c r="AA631" s="220"/>
      <c r="AB631" s="220"/>
      <c r="AC631" s="220"/>
      <c r="AD631" s="220"/>
      <c r="AE631" s="220"/>
      <c r="AF631" s="220"/>
      <c r="AG631" s="220"/>
      <c r="AH631" s="220"/>
      <c r="AI631" s="220"/>
      <c r="AJ631" s="220"/>
      <c r="AK631" s="220"/>
      <c r="AL631" s="220"/>
    </row>
    <row r="632" ht="15.75" customHeight="1">
      <c r="A632" s="220"/>
      <c r="B632" s="220"/>
      <c r="C632" s="220"/>
      <c r="D632" s="220"/>
      <c r="E632" s="220"/>
      <c r="F632" s="220"/>
      <c r="G632" s="220"/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  <c r="W632" s="220"/>
      <c r="X632" s="220"/>
      <c r="Y632" s="220"/>
      <c r="Z632" s="220"/>
      <c r="AA632" s="220"/>
      <c r="AB632" s="220"/>
      <c r="AC632" s="220"/>
      <c r="AD632" s="220"/>
      <c r="AE632" s="220"/>
      <c r="AF632" s="220"/>
      <c r="AG632" s="220"/>
      <c r="AH632" s="220"/>
      <c r="AI632" s="220"/>
      <c r="AJ632" s="220"/>
      <c r="AK632" s="220"/>
      <c r="AL632" s="220"/>
    </row>
    <row r="633" ht="15.75" customHeight="1">
      <c r="A633" s="220"/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  <c r="W633" s="220"/>
      <c r="X633" s="220"/>
      <c r="Y633" s="220"/>
      <c r="Z633" s="220"/>
      <c r="AA633" s="220"/>
      <c r="AB633" s="220"/>
      <c r="AC633" s="220"/>
      <c r="AD633" s="220"/>
      <c r="AE633" s="220"/>
      <c r="AF633" s="220"/>
      <c r="AG633" s="220"/>
      <c r="AH633" s="220"/>
      <c r="AI633" s="220"/>
      <c r="AJ633" s="220"/>
      <c r="AK633" s="220"/>
      <c r="AL633" s="220"/>
    </row>
    <row r="634" ht="15.75" customHeight="1">
      <c r="A634" s="220"/>
      <c r="B634" s="220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  <c r="W634" s="220"/>
      <c r="X634" s="220"/>
      <c r="Y634" s="220"/>
      <c r="Z634" s="220"/>
      <c r="AA634" s="220"/>
      <c r="AB634" s="220"/>
      <c r="AC634" s="220"/>
      <c r="AD634" s="220"/>
      <c r="AE634" s="220"/>
      <c r="AF634" s="220"/>
      <c r="AG634" s="220"/>
      <c r="AH634" s="220"/>
      <c r="AI634" s="220"/>
      <c r="AJ634" s="220"/>
      <c r="AK634" s="220"/>
      <c r="AL634" s="220"/>
    </row>
    <row r="635" ht="15.75" customHeight="1">
      <c r="A635" s="220"/>
      <c r="B635" s="220"/>
      <c r="C635" s="220"/>
      <c r="D635" s="220"/>
      <c r="E635" s="220"/>
      <c r="F635" s="220"/>
      <c r="G635" s="220"/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  <c r="W635" s="220"/>
      <c r="X635" s="220"/>
      <c r="Y635" s="220"/>
      <c r="Z635" s="220"/>
      <c r="AA635" s="220"/>
      <c r="AB635" s="220"/>
      <c r="AC635" s="220"/>
      <c r="AD635" s="220"/>
      <c r="AE635" s="220"/>
      <c r="AF635" s="220"/>
      <c r="AG635" s="220"/>
      <c r="AH635" s="220"/>
      <c r="AI635" s="220"/>
      <c r="AJ635" s="220"/>
      <c r="AK635" s="220"/>
      <c r="AL635" s="220"/>
    </row>
    <row r="636" ht="15.75" customHeight="1">
      <c r="A636" s="220"/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  <c r="W636" s="220"/>
      <c r="X636" s="220"/>
      <c r="Y636" s="220"/>
      <c r="Z636" s="220"/>
      <c r="AA636" s="220"/>
      <c r="AB636" s="220"/>
      <c r="AC636" s="220"/>
      <c r="AD636" s="220"/>
      <c r="AE636" s="220"/>
      <c r="AF636" s="220"/>
      <c r="AG636" s="220"/>
      <c r="AH636" s="220"/>
      <c r="AI636" s="220"/>
      <c r="AJ636" s="220"/>
      <c r="AK636" s="220"/>
      <c r="AL636" s="220"/>
    </row>
    <row r="637" ht="15.75" customHeight="1">
      <c r="A637" s="220"/>
      <c r="B637" s="220"/>
      <c r="C637" s="220"/>
      <c r="D637" s="220"/>
      <c r="E637" s="220"/>
      <c r="F637" s="220"/>
      <c r="G637" s="220"/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  <c r="W637" s="220"/>
      <c r="X637" s="220"/>
      <c r="Y637" s="220"/>
      <c r="Z637" s="220"/>
      <c r="AA637" s="220"/>
      <c r="AB637" s="220"/>
      <c r="AC637" s="220"/>
      <c r="AD637" s="220"/>
      <c r="AE637" s="220"/>
      <c r="AF637" s="220"/>
      <c r="AG637" s="220"/>
      <c r="AH637" s="220"/>
      <c r="AI637" s="220"/>
      <c r="AJ637" s="220"/>
      <c r="AK637" s="220"/>
      <c r="AL637" s="220"/>
    </row>
    <row r="638" ht="15.75" customHeight="1">
      <c r="A638" s="220"/>
      <c r="B638" s="220"/>
      <c r="C638" s="220"/>
      <c r="D638" s="220"/>
      <c r="E638" s="220"/>
      <c r="F638" s="220"/>
      <c r="G638" s="220"/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  <c r="W638" s="220"/>
      <c r="X638" s="220"/>
      <c r="Y638" s="220"/>
      <c r="Z638" s="220"/>
      <c r="AA638" s="220"/>
      <c r="AB638" s="220"/>
      <c r="AC638" s="220"/>
      <c r="AD638" s="220"/>
      <c r="AE638" s="220"/>
      <c r="AF638" s="220"/>
      <c r="AG638" s="220"/>
      <c r="AH638" s="220"/>
      <c r="AI638" s="220"/>
      <c r="AJ638" s="220"/>
      <c r="AK638" s="220"/>
      <c r="AL638" s="220"/>
    </row>
    <row r="639" ht="15.75" customHeight="1">
      <c r="A639" s="220"/>
      <c r="B639" s="220"/>
      <c r="C639" s="220"/>
      <c r="D639" s="220"/>
      <c r="E639" s="220"/>
      <c r="F639" s="220"/>
      <c r="G639" s="220"/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  <c r="W639" s="220"/>
      <c r="X639" s="220"/>
      <c r="Y639" s="220"/>
      <c r="Z639" s="220"/>
      <c r="AA639" s="220"/>
      <c r="AB639" s="220"/>
      <c r="AC639" s="220"/>
      <c r="AD639" s="220"/>
      <c r="AE639" s="220"/>
      <c r="AF639" s="220"/>
      <c r="AG639" s="220"/>
      <c r="AH639" s="220"/>
      <c r="AI639" s="220"/>
      <c r="AJ639" s="220"/>
      <c r="AK639" s="220"/>
      <c r="AL639" s="220"/>
    </row>
    <row r="640" ht="15.75" customHeight="1">
      <c r="A640" s="220"/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  <c r="W640" s="220"/>
      <c r="X640" s="220"/>
      <c r="Y640" s="220"/>
      <c r="Z640" s="220"/>
      <c r="AA640" s="220"/>
      <c r="AB640" s="220"/>
      <c r="AC640" s="220"/>
      <c r="AD640" s="220"/>
      <c r="AE640" s="220"/>
      <c r="AF640" s="220"/>
      <c r="AG640" s="220"/>
      <c r="AH640" s="220"/>
      <c r="AI640" s="220"/>
      <c r="AJ640" s="220"/>
      <c r="AK640" s="220"/>
      <c r="AL640" s="220"/>
    </row>
    <row r="641" ht="15.75" customHeight="1">
      <c r="A641" s="220"/>
      <c r="B641" s="220"/>
      <c r="C641" s="220"/>
      <c r="D641" s="220"/>
      <c r="E641" s="220"/>
      <c r="F641" s="220"/>
      <c r="G641" s="220"/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  <c r="W641" s="220"/>
      <c r="X641" s="220"/>
      <c r="Y641" s="220"/>
      <c r="Z641" s="220"/>
      <c r="AA641" s="220"/>
      <c r="AB641" s="220"/>
      <c r="AC641" s="220"/>
      <c r="AD641" s="220"/>
      <c r="AE641" s="220"/>
      <c r="AF641" s="220"/>
      <c r="AG641" s="220"/>
      <c r="AH641" s="220"/>
      <c r="AI641" s="220"/>
      <c r="AJ641" s="220"/>
      <c r="AK641" s="220"/>
      <c r="AL641" s="220"/>
    </row>
    <row r="642" ht="15.75" customHeight="1">
      <c r="A642" s="220"/>
      <c r="B642" s="220"/>
      <c r="C642" s="220"/>
      <c r="D642" s="220"/>
      <c r="E642" s="220"/>
      <c r="F642" s="220"/>
      <c r="G642" s="220"/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  <c r="W642" s="220"/>
      <c r="X642" s="220"/>
      <c r="Y642" s="220"/>
      <c r="Z642" s="220"/>
      <c r="AA642" s="220"/>
      <c r="AB642" s="220"/>
      <c r="AC642" s="220"/>
      <c r="AD642" s="220"/>
      <c r="AE642" s="220"/>
      <c r="AF642" s="220"/>
      <c r="AG642" s="220"/>
      <c r="AH642" s="220"/>
      <c r="AI642" s="220"/>
      <c r="AJ642" s="220"/>
      <c r="AK642" s="220"/>
      <c r="AL642" s="220"/>
    </row>
    <row r="643" ht="15.75" customHeight="1">
      <c r="A643" s="220"/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  <c r="W643" s="220"/>
      <c r="X643" s="220"/>
      <c r="Y643" s="220"/>
      <c r="Z643" s="220"/>
      <c r="AA643" s="220"/>
      <c r="AB643" s="220"/>
      <c r="AC643" s="220"/>
      <c r="AD643" s="220"/>
      <c r="AE643" s="220"/>
      <c r="AF643" s="220"/>
      <c r="AG643" s="220"/>
      <c r="AH643" s="220"/>
      <c r="AI643" s="220"/>
      <c r="AJ643" s="220"/>
      <c r="AK643" s="220"/>
      <c r="AL643" s="220"/>
    </row>
    <row r="644" ht="15.75" customHeight="1">
      <c r="A644" s="220"/>
      <c r="B644" s="220"/>
      <c r="C644" s="220"/>
      <c r="D644" s="220"/>
      <c r="E644" s="220"/>
      <c r="F644" s="220"/>
      <c r="G644" s="220"/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  <c r="W644" s="220"/>
      <c r="X644" s="220"/>
      <c r="Y644" s="220"/>
      <c r="Z644" s="220"/>
      <c r="AA644" s="220"/>
      <c r="AB644" s="220"/>
      <c r="AC644" s="220"/>
      <c r="AD644" s="220"/>
      <c r="AE644" s="220"/>
      <c r="AF644" s="220"/>
      <c r="AG644" s="220"/>
      <c r="AH644" s="220"/>
      <c r="AI644" s="220"/>
      <c r="AJ644" s="220"/>
      <c r="AK644" s="220"/>
      <c r="AL644" s="220"/>
    </row>
    <row r="645" ht="15.75" customHeight="1">
      <c r="A645" s="220"/>
      <c r="B645" s="220"/>
      <c r="C645" s="220"/>
      <c r="D645" s="220"/>
      <c r="E645" s="220"/>
      <c r="F645" s="220"/>
      <c r="G645" s="220"/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  <c r="W645" s="220"/>
      <c r="X645" s="220"/>
      <c r="Y645" s="220"/>
      <c r="Z645" s="220"/>
      <c r="AA645" s="220"/>
      <c r="AB645" s="220"/>
      <c r="AC645" s="220"/>
      <c r="AD645" s="220"/>
      <c r="AE645" s="220"/>
      <c r="AF645" s="220"/>
      <c r="AG645" s="220"/>
      <c r="AH645" s="220"/>
      <c r="AI645" s="220"/>
      <c r="AJ645" s="220"/>
      <c r="AK645" s="220"/>
      <c r="AL645" s="220"/>
    </row>
    <row r="646" ht="15.75" customHeight="1">
      <c r="A646" s="220"/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  <c r="W646" s="220"/>
      <c r="X646" s="220"/>
      <c r="Y646" s="220"/>
      <c r="Z646" s="220"/>
      <c r="AA646" s="220"/>
      <c r="AB646" s="220"/>
      <c r="AC646" s="220"/>
      <c r="AD646" s="220"/>
      <c r="AE646" s="220"/>
      <c r="AF646" s="220"/>
      <c r="AG646" s="220"/>
      <c r="AH646" s="220"/>
      <c r="AI646" s="220"/>
      <c r="AJ646" s="220"/>
      <c r="AK646" s="220"/>
      <c r="AL646" s="220"/>
    </row>
    <row r="647" ht="15.75" customHeight="1">
      <c r="A647" s="220"/>
      <c r="B647" s="220"/>
      <c r="C647" s="220"/>
      <c r="D647" s="220"/>
      <c r="E647" s="220"/>
      <c r="F647" s="220"/>
      <c r="G647" s="220"/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  <c r="W647" s="220"/>
      <c r="X647" s="220"/>
      <c r="Y647" s="220"/>
      <c r="Z647" s="220"/>
      <c r="AA647" s="220"/>
      <c r="AB647" s="220"/>
      <c r="AC647" s="220"/>
      <c r="AD647" s="220"/>
      <c r="AE647" s="220"/>
      <c r="AF647" s="220"/>
      <c r="AG647" s="220"/>
      <c r="AH647" s="220"/>
      <c r="AI647" s="220"/>
      <c r="AJ647" s="220"/>
      <c r="AK647" s="220"/>
      <c r="AL647" s="220"/>
    </row>
    <row r="648" ht="15.75" customHeight="1">
      <c r="A648" s="220"/>
      <c r="B648" s="220"/>
      <c r="C648" s="220"/>
      <c r="D648" s="220"/>
      <c r="E648" s="220"/>
      <c r="F648" s="220"/>
      <c r="G648" s="220"/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  <c r="W648" s="220"/>
      <c r="X648" s="220"/>
      <c r="Y648" s="220"/>
      <c r="Z648" s="220"/>
      <c r="AA648" s="220"/>
      <c r="AB648" s="220"/>
      <c r="AC648" s="220"/>
      <c r="AD648" s="220"/>
      <c r="AE648" s="220"/>
      <c r="AF648" s="220"/>
      <c r="AG648" s="220"/>
      <c r="AH648" s="220"/>
      <c r="AI648" s="220"/>
      <c r="AJ648" s="220"/>
      <c r="AK648" s="220"/>
      <c r="AL648" s="220"/>
    </row>
    <row r="649" ht="15.75" customHeight="1">
      <c r="A649" s="220"/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  <c r="W649" s="220"/>
      <c r="X649" s="220"/>
      <c r="Y649" s="220"/>
      <c r="Z649" s="220"/>
      <c r="AA649" s="220"/>
      <c r="AB649" s="220"/>
      <c r="AC649" s="220"/>
      <c r="AD649" s="220"/>
      <c r="AE649" s="220"/>
      <c r="AF649" s="220"/>
      <c r="AG649" s="220"/>
      <c r="AH649" s="220"/>
      <c r="AI649" s="220"/>
      <c r="AJ649" s="220"/>
      <c r="AK649" s="220"/>
      <c r="AL649" s="220"/>
    </row>
    <row r="650" ht="15.75" customHeight="1">
      <c r="A650" s="220"/>
      <c r="B650" s="220"/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  <c r="W650" s="220"/>
      <c r="X650" s="220"/>
      <c r="Y650" s="220"/>
      <c r="Z650" s="220"/>
      <c r="AA650" s="220"/>
      <c r="AB650" s="220"/>
      <c r="AC650" s="220"/>
      <c r="AD650" s="220"/>
      <c r="AE650" s="220"/>
      <c r="AF650" s="220"/>
      <c r="AG650" s="220"/>
      <c r="AH650" s="220"/>
      <c r="AI650" s="220"/>
      <c r="AJ650" s="220"/>
      <c r="AK650" s="220"/>
      <c r="AL650" s="220"/>
    </row>
    <row r="651" ht="15.75" customHeight="1">
      <c r="A651" s="220"/>
      <c r="B651" s="220"/>
      <c r="C651" s="220"/>
      <c r="D651" s="220"/>
      <c r="E651" s="220"/>
      <c r="F651" s="220"/>
      <c r="G651" s="220"/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  <c r="W651" s="220"/>
      <c r="X651" s="220"/>
      <c r="Y651" s="220"/>
      <c r="Z651" s="220"/>
      <c r="AA651" s="220"/>
      <c r="AB651" s="220"/>
      <c r="AC651" s="220"/>
      <c r="AD651" s="220"/>
      <c r="AE651" s="220"/>
      <c r="AF651" s="220"/>
      <c r="AG651" s="220"/>
      <c r="AH651" s="220"/>
      <c r="AI651" s="220"/>
      <c r="AJ651" s="220"/>
      <c r="AK651" s="220"/>
      <c r="AL651" s="220"/>
    </row>
    <row r="652" ht="15.75" customHeight="1">
      <c r="A652" s="220"/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  <c r="W652" s="220"/>
      <c r="X652" s="220"/>
      <c r="Y652" s="220"/>
      <c r="Z652" s="220"/>
      <c r="AA652" s="220"/>
      <c r="AB652" s="220"/>
      <c r="AC652" s="220"/>
      <c r="AD652" s="220"/>
      <c r="AE652" s="220"/>
      <c r="AF652" s="220"/>
      <c r="AG652" s="220"/>
      <c r="AH652" s="220"/>
      <c r="AI652" s="220"/>
      <c r="AJ652" s="220"/>
      <c r="AK652" s="220"/>
      <c r="AL652" s="220"/>
    </row>
    <row r="653" ht="15.75" customHeight="1">
      <c r="A653" s="220"/>
      <c r="B653" s="220"/>
      <c r="C653" s="220"/>
      <c r="D653" s="220"/>
      <c r="E653" s="220"/>
      <c r="F653" s="220"/>
      <c r="G653" s="220"/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  <c r="W653" s="220"/>
      <c r="X653" s="220"/>
      <c r="Y653" s="220"/>
      <c r="Z653" s="220"/>
      <c r="AA653" s="220"/>
      <c r="AB653" s="220"/>
      <c r="AC653" s="220"/>
      <c r="AD653" s="220"/>
      <c r="AE653" s="220"/>
      <c r="AF653" s="220"/>
      <c r="AG653" s="220"/>
      <c r="AH653" s="220"/>
      <c r="AI653" s="220"/>
      <c r="AJ653" s="220"/>
      <c r="AK653" s="220"/>
      <c r="AL653" s="220"/>
    </row>
    <row r="654" ht="15.75" customHeight="1">
      <c r="A654" s="220"/>
      <c r="B654" s="220"/>
      <c r="C654" s="220"/>
      <c r="D654" s="220"/>
      <c r="E654" s="220"/>
      <c r="F654" s="220"/>
      <c r="G654" s="220"/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  <c r="W654" s="220"/>
      <c r="X654" s="220"/>
      <c r="Y654" s="220"/>
      <c r="Z654" s="220"/>
      <c r="AA654" s="220"/>
      <c r="AB654" s="220"/>
      <c r="AC654" s="220"/>
      <c r="AD654" s="220"/>
      <c r="AE654" s="220"/>
      <c r="AF654" s="220"/>
      <c r="AG654" s="220"/>
      <c r="AH654" s="220"/>
      <c r="AI654" s="220"/>
      <c r="AJ654" s="220"/>
      <c r="AK654" s="220"/>
      <c r="AL654" s="220"/>
    </row>
    <row r="655" ht="15.75" customHeight="1">
      <c r="A655" s="220"/>
      <c r="B655" s="220"/>
      <c r="C655" s="220"/>
      <c r="D655" s="220"/>
      <c r="E655" s="220"/>
      <c r="F655" s="220"/>
      <c r="G655" s="220"/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  <c r="W655" s="220"/>
      <c r="X655" s="220"/>
      <c r="Y655" s="220"/>
      <c r="Z655" s="220"/>
      <c r="AA655" s="220"/>
      <c r="AB655" s="220"/>
      <c r="AC655" s="220"/>
      <c r="AD655" s="220"/>
      <c r="AE655" s="220"/>
      <c r="AF655" s="220"/>
      <c r="AG655" s="220"/>
      <c r="AH655" s="220"/>
      <c r="AI655" s="220"/>
      <c r="AJ655" s="220"/>
      <c r="AK655" s="220"/>
      <c r="AL655" s="220"/>
    </row>
    <row r="656" ht="15.75" customHeight="1">
      <c r="A656" s="220"/>
      <c r="B656" s="220"/>
      <c r="C656" s="220"/>
      <c r="D656" s="220"/>
      <c r="E656" s="220"/>
      <c r="F656" s="220"/>
      <c r="G656" s="220"/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  <c r="W656" s="220"/>
      <c r="X656" s="220"/>
      <c r="Y656" s="220"/>
      <c r="Z656" s="220"/>
      <c r="AA656" s="220"/>
      <c r="AB656" s="220"/>
      <c r="AC656" s="220"/>
      <c r="AD656" s="220"/>
      <c r="AE656" s="220"/>
      <c r="AF656" s="220"/>
      <c r="AG656" s="220"/>
      <c r="AH656" s="220"/>
      <c r="AI656" s="220"/>
      <c r="AJ656" s="220"/>
      <c r="AK656" s="220"/>
      <c r="AL656" s="220"/>
    </row>
    <row r="657" ht="15.75" customHeight="1">
      <c r="A657" s="220"/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220"/>
      <c r="Y657" s="220"/>
      <c r="Z657" s="220"/>
      <c r="AA657" s="220"/>
      <c r="AB657" s="220"/>
      <c r="AC657" s="220"/>
      <c r="AD657" s="220"/>
      <c r="AE657" s="220"/>
      <c r="AF657" s="220"/>
      <c r="AG657" s="220"/>
      <c r="AH657" s="220"/>
      <c r="AI657" s="220"/>
      <c r="AJ657" s="220"/>
      <c r="AK657" s="220"/>
      <c r="AL657" s="220"/>
    </row>
    <row r="658" ht="15.75" customHeight="1">
      <c r="A658" s="220"/>
      <c r="B658" s="220"/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  <c r="W658" s="220"/>
      <c r="X658" s="220"/>
      <c r="Y658" s="220"/>
      <c r="Z658" s="220"/>
      <c r="AA658" s="220"/>
      <c r="AB658" s="220"/>
      <c r="AC658" s="220"/>
      <c r="AD658" s="220"/>
      <c r="AE658" s="220"/>
      <c r="AF658" s="220"/>
      <c r="AG658" s="220"/>
      <c r="AH658" s="220"/>
      <c r="AI658" s="220"/>
      <c r="AJ658" s="220"/>
      <c r="AK658" s="220"/>
      <c r="AL658" s="220"/>
    </row>
    <row r="659" ht="15.75" customHeight="1">
      <c r="A659" s="220"/>
      <c r="B659" s="220"/>
      <c r="C659" s="220"/>
      <c r="D659" s="220"/>
      <c r="E659" s="220"/>
      <c r="F659" s="220"/>
      <c r="G659" s="220"/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  <c r="W659" s="220"/>
      <c r="X659" s="220"/>
      <c r="Y659" s="220"/>
      <c r="Z659" s="220"/>
      <c r="AA659" s="220"/>
      <c r="AB659" s="220"/>
      <c r="AC659" s="220"/>
      <c r="AD659" s="220"/>
      <c r="AE659" s="220"/>
      <c r="AF659" s="220"/>
      <c r="AG659" s="220"/>
      <c r="AH659" s="220"/>
      <c r="AI659" s="220"/>
      <c r="AJ659" s="220"/>
      <c r="AK659" s="220"/>
      <c r="AL659" s="220"/>
    </row>
    <row r="660" ht="15.75" customHeight="1">
      <c r="A660" s="220"/>
      <c r="B660" s="220"/>
      <c r="C660" s="220"/>
      <c r="D660" s="220"/>
      <c r="E660" s="220"/>
      <c r="F660" s="220"/>
      <c r="G660" s="220"/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  <c r="W660" s="220"/>
      <c r="X660" s="220"/>
      <c r="Y660" s="220"/>
      <c r="Z660" s="220"/>
      <c r="AA660" s="220"/>
      <c r="AB660" s="220"/>
      <c r="AC660" s="220"/>
      <c r="AD660" s="220"/>
      <c r="AE660" s="220"/>
      <c r="AF660" s="220"/>
      <c r="AG660" s="220"/>
      <c r="AH660" s="220"/>
      <c r="AI660" s="220"/>
      <c r="AJ660" s="220"/>
      <c r="AK660" s="220"/>
      <c r="AL660" s="220"/>
    </row>
    <row r="661" ht="15.75" customHeight="1">
      <c r="A661" s="220"/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  <c r="W661" s="220"/>
      <c r="X661" s="220"/>
      <c r="Y661" s="220"/>
      <c r="Z661" s="220"/>
      <c r="AA661" s="220"/>
      <c r="AB661" s="220"/>
      <c r="AC661" s="220"/>
      <c r="AD661" s="220"/>
      <c r="AE661" s="220"/>
      <c r="AF661" s="220"/>
      <c r="AG661" s="220"/>
      <c r="AH661" s="220"/>
      <c r="AI661" s="220"/>
      <c r="AJ661" s="220"/>
      <c r="AK661" s="220"/>
      <c r="AL661" s="220"/>
    </row>
    <row r="662" ht="15.75" customHeight="1">
      <c r="A662" s="220"/>
      <c r="B662" s="220"/>
      <c r="C662" s="220"/>
      <c r="D662" s="220"/>
      <c r="E662" s="220"/>
      <c r="F662" s="220"/>
      <c r="G662" s="220"/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  <c r="W662" s="220"/>
      <c r="X662" s="220"/>
      <c r="Y662" s="220"/>
      <c r="Z662" s="220"/>
      <c r="AA662" s="220"/>
      <c r="AB662" s="220"/>
      <c r="AC662" s="220"/>
      <c r="AD662" s="220"/>
      <c r="AE662" s="220"/>
      <c r="AF662" s="220"/>
      <c r="AG662" s="220"/>
      <c r="AH662" s="220"/>
      <c r="AI662" s="220"/>
      <c r="AJ662" s="220"/>
      <c r="AK662" s="220"/>
      <c r="AL662" s="220"/>
    </row>
    <row r="663" ht="15.75" customHeight="1">
      <c r="A663" s="220"/>
      <c r="B663" s="220"/>
      <c r="C663" s="220"/>
      <c r="D663" s="220"/>
      <c r="E663" s="220"/>
      <c r="F663" s="220"/>
      <c r="G663" s="220"/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  <c r="W663" s="220"/>
      <c r="X663" s="220"/>
      <c r="Y663" s="220"/>
      <c r="Z663" s="220"/>
      <c r="AA663" s="220"/>
      <c r="AB663" s="220"/>
      <c r="AC663" s="220"/>
      <c r="AD663" s="220"/>
      <c r="AE663" s="220"/>
      <c r="AF663" s="220"/>
      <c r="AG663" s="220"/>
      <c r="AH663" s="220"/>
      <c r="AI663" s="220"/>
      <c r="AJ663" s="220"/>
      <c r="AK663" s="220"/>
      <c r="AL663" s="220"/>
    </row>
    <row r="664" ht="15.75" customHeight="1">
      <c r="A664" s="220"/>
      <c r="B664" s="220"/>
      <c r="C664" s="220"/>
      <c r="D664" s="220"/>
      <c r="E664" s="220"/>
      <c r="F664" s="220"/>
      <c r="G664" s="220"/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  <c r="W664" s="220"/>
      <c r="X664" s="220"/>
      <c r="Y664" s="220"/>
      <c r="Z664" s="220"/>
      <c r="AA664" s="220"/>
      <c r="AB664" s="220"/>
      <c r="AC664" s="220"/>
      <c r="AD664" s="220"/>
      <c r="AE664" s="220"/>
      <c r="AF664" s="220"/>
      <c r="AG664" s="220"/>
      <c r="AH664" s="220"/>
      <c r="AI664" s="220"/>
      <c r="AJ664" s="220"/>
      <c r="AK664" s="220"/>
      <c r="AL664" s="220"/>
    </row>
    <row r="665" ht="15.75" customHeight="1">
      <c r="A665" s="220"/>
      <c r="B665" s="220"/>
      <c r="C665" s="220"/>
      <c r="D665" s="220"/>
      <c r="E665" s="220"/>
      <c r="F665" s="220"/>
      <c r="G665" s="220"/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  <c r="W665" s="220"/>
      <c r="X665" s="220"/>
      <c r="Y665" s="220"/>
      <c r="Z665" s="220"/>
      <c r="AA665" s="220"/>
      <c r="AB665" s="220"/>
      <c r="AC665" s="220"/>
      <c r="AD665" s="220"/>
      <c r="AE665" s="220"/>
      <c r="AF665" s="220"/>
      <c r="AG665" s="220"/>
      <c r="AH665" s="220"/>
      <c r="AI665" s="220"/>
      <c r="AJ665" s="220"/>
      <c r="AK665" s="220"/>
      <c r="AL665" s="220"/>
    </row>
    <row r="666" ht="15.75" customHeight="1">
      <c r="A666" s="220"/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  <c r="W666" s="220"/>
      <c r="X666" s="220"/>
      <c r="Y666" s="220"/>
      <c r="Z666" s="220"/>
      <c r="AA666" s="220"/>
      <c r="AB666" s="220"/>
      <c r="AC666" s="220"/>
      <c r="AD666" s="220"/>
      <c r="AE666" s="220"/>
      <c r="AF666" s="220"/>
      <c r="AG666" s="220"/>
      <c r="AH666" s="220"/>
      <c r="AI666" s="220"/>
      <c r="AJ666" s="220"/>
      <c r="AK666" s="220"/>
      <c r="AL666" s="220"/>
    </row>
    <row r="667" ht="15.75" customHeight="1">
      <c r="A667" s="220"/>
      <c r="B667" s="220"/>
      <c r="C667" s="220"/>
      <c r="D667" s="220"/>
      <c r="E667" s="220"/>
      <c r="F667" s="220"/>
      <c r="G667" s="220"/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  <c r="W667" s="220"/>
      <c r="X667" s="220"/>
      <c r="Y667" s="220"/>
      <c r="Z667" s="220"/>
      <c r="AA667" s="220"/>
      <c r="AB667" s="220"/>
      <c r="AC667" s="220"/>
      <c r="AD667" s="220"/>
      <c r="AE667" s="220"/>
      <c r="AF667" s="220"/>
      <c r="AG667" s="220"/>
      <c r="AH667" s="220"/>
      <c r="AI667" s="220"/>
      <c r="AJ667" s="220"/>
      <c r="AK667" s="220"/>
      <c r="AL667" s="220"/>
    </row>
    <row r="668" ht="15.75" customHeight="1">
      <c r="A668" s="220"/>
      <c r="B668" s="220"/>
      <c r="C668" s="220"/>
      <c r="D668" s="220"/>
      <c r="E668" s="220"/>
      <c r="F668" s="220"/>
      <c r="G668" s="220"/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  <c r="W668" s="220"/>
      <c r="X668" s="220"/>
      <c r="Y668" s="220"/>
      <c r="Z668" s="220"/>
      <c r="AA668" s="220"/>
      <c r="AB668" s="220"/>
      <c r="AC668" s="220"/>
      <c r="AD668" s="220"/>
      <c r="AE668" s="220"/>
      <c r="AF668" s="220"/>
      <c r="AG668" s="220"/>
      <c r="AH668" s="220"/>
      <c r="AI668" s="220"/>
      <c r="AJ668" s="220"/>
      <c r="AK668" s="220"/>
      <c r="AL668" s="220"/>
    </row>
    <row r="669" ht="15.75" customHeight="1">
      <c r="A669" s="220"/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  <c r="W669" s="220"/>
      <c r="X669" s="220"/>
      <c r="Y669" s="220"/>
      <c r="Z669" s="220"/>
      <c r="AA669" s="220"/>
      <c r="AB669" s="220"/>
      <c r="AC669" s="220"/>
      <c r="AD669" s="220"/>
      <c r="AE669" s="220"/>
      <c r="AF669" s="220"/>
      <c r="AG669" s="220"/>
      <c r="AH669" s="220"/>
      <c r="AI669" s="220"/>
      <c r="AJ669" s="220"/>
      <c r="AK669" s="220"/>
      <c r="AL669" s="220"/>
    </row>
    <row r="670" ht="15.75" customHeight="1">
      <c r="A670" s="220"/>
      <c r="B670" s="220"/>
      <c r="C670" s="220"/>
      <c r="D670" s="220"/>
      <c r="E670" s="220"/>
      <c r="F670" s="220"/>
      <c r="G670" s="220"/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  <c r="W670" s="220"/>
      <c r="X670" s="220"/>
      <c r="Y670" s="220"/>
      <c r="Z670" s="220"/>
      <c r="AA670" s="220"/>
      <c r="AB670" s="220"/>
      <c r="AC670" s="220"/>
      <c r="AD670" s="220"/>
      <c r="AE670" s="220"/>
      <c r="AF670" s="220"/>
      <c r="AG670" s="220"/>
      <c r="AH670" s="220"/>
      <c r="AI670" s="220"/>
      <c r="AJ670" s="220"/>
      <c r="AK670" s="220"/>
      <c r="AL670" s="220"/>
    </row>
    <row r="671" ht="15.75" customHeight="1">
      <c r="A671" s="220"/>
      <c r="B671" s="220"/>
      <c r="C671" s="220"/>
      <c r="D671" s="220"/>
      <c r="E671" s="220"/>
      <c r="F671" s="220"/>
      <c r="G671" s="220"/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  <c r="W671" s="220"/>
      <c r="X671" s="220"/>
      <c r="Y671" s="220"/>
      <c r="Z671" s="220"/>
      <c r="AA671" s="220"/>
      <c r="AB671" s="220"/>
      <c r="AC671" s="220"/>
      <c r="AD671" s="220"/>
      <c r="AE671" s="220"/>
      <c r="AF671" s="220"/>
      <c r="AG671" s="220"/>
      <c r="AH671" s="220"/>
      <c r="AI671" s="220"/>
      <c r="AJ671" s="220"/>
      <c r="AK671" s="220"/>
      <c r="AL671" s="220"/>
    </row>
    <row r="672" ht="15.75" customHeight="1">
      <c r="A672" s="220"/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  <c r="W672" s="220"/>
      <c r="X672" s="220"/>
      <c r="Y672" s="220"/>
      <c r="Z672" s="220"/>
      <c r="AA672" s="220"/>
      <c r="AB672" s="220"/>
      <c r="AC672" s="220"/>
      <c r="AD672" s="220"/>
      <c r="AE672" s="220"/>
      <c r="AF672" s="220"/>
      <c r="AG672" s="220"/>
      <c r="AH672" s="220"/>
      <c r="AI672" s="220"/>
      <c r="AJ672" s="220"/>
      <c r="AK672" s="220"/>
      <c r="AL672" s="220"/>
    </row>
    <row r="673" ht="15.75" customHeight="1">
      <c r="A673" s="220"/>
      <c r="B673" s="220"/>
      <c r="C673" s="220"/>
      <c r="D673" s="220"/>
      <c r="E673" s="220"/>
      <c r="F673" s="220"/>
      <c r="G673" s="220"/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  <c r="W673" s="220"/>
      <c r="X673" s="220"/>
      <c r="Y673" s="220"/>
      <c r="Z673" s="220"/>
      <c r="AA673" s="220"/>
      <c r="AB673" s="220"/>
      <c r="AC673" s="220"/>
      <c r="AD673" s="220"/>
      <c r="AE673" s="220"/>
      <c r="AF673" s="220"/>
      <c r="AG673" s="220"/>
      <c r="AH673" s="220"/>
      <c r="AI673" s="220"/>
      <c r="AJ673" s="220"/>
      <c r="AK673" s="220"/>
      <c r="AL673" s="220"/>
    </row>
    <row r="674" ht="15.75" customHeight="1">
      <c r="A674" s="220"/>
      <c r="B674" s="220"/>
      <c r="C674" s="220"/>
      <c r="D674" s="220"/>
      <c r="E674" s="220"/>
      <c r="F674" s="220"/>
      <c r="G674" s="220"/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  <c r="W674" s="220"/>
      <c r="X674" s="220"/>
      <c r="Y674" s="220"/>
      <c r="Z674" s="220"/>
      <c r="AA674" s="220"/>
      <c r="AB674" s="220"/>
      <c r="AC674" s="220"/>
      <c r="AD674" s="220"/>
      <c r="AE674" s="220"/>
      <c r="AF674" s="220"/>
      <c r="AG674" s="220"/>
      <c r="AH674" s="220"/>
      <c r="AI674" s="220"/>
      <c r="AJ674" s="220"/>
      <c r="AK674" s="220"/>
      <c r="AL674" s="220"/>
    </row>
    <row r="675" ht="15.75" customHeight="1">
      <c r="A675" s="220"/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  <c r="W675" s="220"/>
      <c r="X675" s="220"/>
      <c r="Y675" s="220"/>
      <c r="Z675" s="220"/>
      <c r="AA675" s="220"/>
      <c r="AB675" s="220"/>
      <c r="AC675" s="220"/>
      <c r="AD675" s="220"/>
      <c r="AE675" s="220"/>
      <c r="AF675" s="220"/>
      <c r="AG675" s="220"/>
      <c r="AH675" s="220"/>
      <c r="AI675" s="220"/>
      <c r="AJ675" s="220"/>
      <c r="AK675" s="220"/>
      <c r="AL675" s="220"/>
    </row>
    <row r="676" ht="15.75" customHeight="1">
      <c r="A676" s="220"/>
      <c r="B676" s="220"/>
      <c r="C676" s="220"/>
      <c r="D676" s="220"/>
      <c r="E676" s="220"/>
      <c r="F676" s="220"/>
      <c r="G676" s="220"/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  <c r="W676" s="220"/>
      <c r="X676" s="220"/>
      <c r="Y676" s="220"/>
      <c r="Z676" s="220"/>
      <c r="AA676" s="220"/>
      <c r="AB676" s="220"/>
      <c r="AC676" s="220"/>
      <c r="AD676" s="220"/>
      <c r="AE676" s="220"/>
      <c r="AF676" s="220"/>
      <c r="AG676" s="220"/>
      <c r="AH676" s="220"/>
      <c r="AI676" s="220"/>
      <c r="AJ676" s="220"/>
      <c r="AK676" s="220"/>
      <c r="AL676" s="220"/>
    </row>
    <row r="677" ht="15.75" customHeight="1">
      <c r="A677" s="220"/>
      <c r="B677" s="220"/>
      <c r="C677" s="220"/>
      <c r="D677" s="220"/>
      <c r="E677" s="220"/>
      <c r="F677" s="220"/>
      <c r="G677" s="220"/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  <c r="W677" s="220"/>
      <c r="X677" s="220"/>
      <c r="Y677" s="220"/>
      <c r="Z677" s="220"/>
      <c r="AA677" s="220"/>
      <c r="AB677" s="220"/>
      <c r="AC677" s="220"/>
      <c r="AD677" s="220"/>
      <c r="AE677" s="220"/>
      <c r="AF677" s="220"/>
      <c r="AG677" s="220"/>
      <c r="AH677" s="220"/>
      <c r="AI677" s="220"/>
      <c r="AJ677" s="220"/>
      <c r="AK677" s="220"/>
      <c r="AL677" s="220"/>
    </row>
    <row r="678" ht="15.75" customHeight="1">
      <c r="A678" s="220"/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  <c r="W678" s="220"/>
      <c r="X678" s="220"/>
      <c r="Y678" s="220"/>
      <c r="Z678" s="220"/>
      <c r="AA678" s="220"/>
      <c r="AB678" s="220"/>
      <c r="AC678" s="220"/>
      <c r="AD678" s="220"/>
      <c r="AE678" s="220"/>
      <c r="AF678" s="220"/>
      <c r="AG678" s="220"/>
      <c r="AH678" s="220"/>
      <c r="AI678" s="220"/>
      <c r="AJ678" s="220"/>
      <c r="AK678" s="220"/>
      <c r="AL678" s="220"/>
    </row>
    <row r="679" ht="15.75" customHeight="1">
      <c r="A679" s="220"/>
      <c r="B679" s="220"/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  <c r="W679" s="220"/>
      <c r="X679" s="220"/>
      <c r="Y679" s="220"/>
      <c r="Z679" s="220"/>
      <c r="AA679" s="220"/>
      <c r="AB679" s="220"/>
      <c r="AC679" s="220"/>
      <c r="AD679" s="220"/>
      <c r="AE679" s="220"/>
      <c r="AF679" s="220"/>
      <c r="AG679" s="220"/>
      <c r="AH679" s="220"/>
      <c r="AI679" s="220"/>
      <c r="AJ679" s="220"/>
      <c r="AK679" s="220"/>
      <c r="AL679" s="220"/>
    </row>
    <row r="680" ht="15.75" customHeight="1">
      <c r="A680" s="220"/>
      <c r="B680" s="220"/>
      <c r="C680" s="220"/>
      <c r="D680" s="220"/>
      <c r="E680" s="220"/>
      <c r="F680" s="220"/>
      <c r="G680" s="220"/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  <c r="W680" s="220"/>
      <c r="X680" s="220"/>
      <c r="Y680" s="220"/>
      <c r="Z680" s="220"/>
      <c r="AA680" s="220"/>
      <c r="AB680" s="220"/>
      <c r="AC680" s="220"/>
      <c r="AD680" s="220"/>
      <c r="AE680" s="220"/>
      <c r="AF680" s="220"/>
      <c r="AG680" s="220"/>
      <c r="AH680" s="220"/>
      <c r="AI680" s="220"/>
      <c r="AJ680" s="220"/>
      <c r="AK680" s="220"/>
      <c r="AL680" s="220"/>
    </row>
    <row r="681" ht="15.75" customHeight="1">
      <c r="A681" s="220"/>
      <c r="B681" s="220"/>
      <c r="C681" s="220"/>
      <c r="D681" s="220"/>
      <c r="E681" s="220"/>
      <c r="F681" s="220"/>
      <c r="G681" s="220"/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  <c r="W681" s="220"/>
      <c r="X681" s="220"/>
      <c r="Y681" s="220"/>
      <c r="Z681" s="220"/>
      <c r="AA681" s="220"/>
      <c r="AB681" s="220"/>
      <c r="AC681" s="220"/>
      <c r="AD681" s="220"/>
      <c r="AE681" s="220"/>
      <c r="AF681" s="220"/>
      <c r="AG681" s="220"/>
      <c r="AH681" s="220"/>
      <c r="AI681" s="220"/>
      <c r="AJ681" s="220"/>
      <c r="AK681" s="220"/>
      <c r="AL681" s="220"/>
    </row>
    <row r="682" ht="15.75" customHeight="1">
      <c r="A682" s="220"/>
      <c r="B682" s="220"/>
      <c r="C682" s="220"/>
      <c r="D682" s="220"/>
      <c r="E682" s="220"/>
      <c r="F682" s="220"/>
      <c r="G682" s="220"/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  <c r="W682" s="220"/>
      <c r="X682" s="220"/>
      <c r="Y682" s="220"/>
      <c r="Z682" s="220"/>
      <c r="AA682" s="220"/>
      <c r="AB682" s="220"/>
      <c r="AC682" s="220"/>
      <c r="AD682" s="220"/>
      <c r="AE682" s="220"/>
      <c r="AF682" s="220"/>
      <c r="AG682" s="220"/>
      <c r="AH682" s="220"/>
      <c r="AI682" s="220"/>
      <c r="AJ682" s="220"/>
      <c r="AK682" s="220"/>
      <c r="AL682" s="220"/>
    </row>
    <row r="683" ht="15.75" customHeight="1">
      <c r="A683" s="220"/>
      <c r="B683" s="220"/>
      <c r="C683" s="220"/>
      <c r="D683" s="220"/>
      <c r="E683" s="220"/>
      <c r="F683" s="220"/>
      <c r="G683" s="220"/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  <c r="W683" s="220"/>
      <c r="X683" s="220"/>
      <c r="Y683" s="220"/>
      <c r="Z683" s="220"/>
      <c r="AA683" s="220"/>
      <c r="AB683" s="220"/>
      <c r="AC683" s="220"/>
      <c r="AD683" s="220"/>
      <c r="AE683" s="220"/>
      <c r="AF683" s="220"/>
      <c r="AG683" s="220"/>
      <c r="AH683" s="220"/>
      <c r="AI683" s="220"/>
      <c r="AJ683" s="220"/>
      <c r="AK683" s="220"/>
      <c r="AL683" s="220"/>
    </row>
    <row r="684" ht="15.75" customHeight="1">
      <c r="A684" s="220"/>
      <c r="B684" s="220"/>
      <c r="C684" s="220"/>
      <c r="D684" s="220"/>
      <c r="E684" s="220"/>
      <c r="F684" s="220"/>
      <c r="G684" s="220"/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  <c r="W684" s="220"/>
      <c r="X684" s="220"/>
      <c r="Y684" s="220"/>
      <c r="Z684" s="220"/>
      <c r="AA684" s="220"/>
      <c r="AB684" s="220"/>
      <c r="AC684" s="220"/>
      <c r="AD684" s="220"/>
      <c r="AE684" s="220"/>
      <c r="AF684" s="220"/>
      <c r="AG684" s="220"/>
      <c r="AH684" s="220"/>
      <c r="AI684" s="220"/>
      <c r="AJ684" s="220"/>
      <c r="AK684" s="220"/>
      <c r="AL684" s="220"/>
    </row>
    <row r="685" ht="15.75" customHeight="1">
      <c r="A685" s="220"/>
      <c r="B685" s="220"/>
      <c r="C685" s="220"/>
      <c r="D685" s="220"/>
      <c r="E685" s="220"/>
      <c r="F685" s="220"/>
      <c r="G685" s="220"/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  <c r="W685" s="220"/>
      <c r="X685" s="220"/>
      <c r="Y685" s="220"/>
      <c r="Z685" s="220"/>
      <c r="AA685" s="220"/>
      <c r="AB685" s="220"/>
      <c r="AC685" s="220"/>
      <c r="AD685" s="220"/>
      <c r="AE685" s="220"/>
      <c r="AF685" s="220"/>
      <c r="AG685" s="220"/>
      <c r="AH685" s="220"/>
      <c r="AI685" s="220"/>
      <c r="AJ685" s="220"/>
      <c r="AK685" s="220"/>
      <c r="AL685" s="220"/>
    </row>
    <row r="686" ht="15.75" customHeight="1">
      <c r="A686" s="220"/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  <c r="W686" s="220"/>
      <c r="X686" s="220"/>
      <c r="Y686" s="220"/>
      <c r="Z686" s="220"/>
      <c r="AA686" s="220"/>
      <c r="AB686" s="220"/>
      <c r="AC686" s="220"/>
      <c r="AD686" s="220"/>
      <c r="AE686" s="220"/>
      <c r="AF686" s="220"/>
      <c r="AG686" s="220"/>
      <c r="AH686" s="220"/>
      <c r="AI686" s="220"/>
      <c r="AJ686" s="220"/>
      <c r="AK686" s="220"/>
      <c r="AL686" s="220"/>
    </row>
    <row r="687" ht="15.75" customHeight="1">
      <c r="A687" s="220"/>
      <c r="B687" s="220"/>
      <c r="C687" s="220"/>
      <c r="D687" s="220"/>
      <c r="E687" s="220"/>
      <c r="F687" s="220"/>
      <c r="G687" s="220"/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  <c r="W687" s="220"/>
      <c r="X687" s="220"/>
      <c r="Y687" s="220"/>
      <c r="Z687" s="220"/>
      <c r="AA687" s="220"/>
      <c r="AB687" s="220"/>
      <c r="AC687" s="220"/>
      <c r="AD687" s="220"/>
      <c r="AE687" s="220"/>
      <c r="AF687" s="220"/>
      <c r="AG687" s="220"/>
      <c r="AH687" s="220"/>
      <c r="AI687" s="220"/>
      <c r="AJ687" s="220"/>
      <c r="AK687" s="220"/>
      <c r="AL687" s="220"/>
    </row>
    <row r="688" ht="15.75" customHeight="1">
      <c r="A688" s="220"/>
      <c r="B688" s="220"/>
      <c r="C688" s="220"/>
      <c r="D688" s="220"/>
      <c r="E688" s="220"/>
      <c r="F688" s="220"/>
      <c r="G688" s="220"/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  <c r="W688" s="220"/>
      <c r="X688" s="220"/>
      <c r="Y688" s="220"/>
      <c r="Z688" s="220"/>
      <c r="AA688" s="220"/>
      <c r="AB688" s="220"/>
      <c r="AC688" s="220"/>
      <c r="AD688" s="220"/>
      <c r="AE688" s="220"/>
      <c r="AF688" s="220"/>
      <c r="AG688" s="220"/>
      <c r="AH688" s="220"/>
      <c r="AI688" s="220"/>
      <c r="AJ688" s="220"/>
      <c r="AK688" s="220"/>
      <c r="AL688" s="220"/>
    </row>
    <row r="689" ht="15.75" customHeight="1">
      <c r="A689" s="220"/>
      <c r="B689" s="220"/>
      <c r="C689" s="220"/>
      <c r="D689" s="220"/>
      <c r="E689" s="220"/>
      <c r="F689" s="220"/>
      <c r="G689" s="220"/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  <c r="W689" s="220"/>
      <c r="X689" s="220"/>
      <c r="Y689" s="220"/>
      <c r="Z689" s="220"/>
      <c r="AA689" s="220"/>
      <c r="AB689" s="220"/>
      <c r="AC689" s="220"/>
      <c r="AD689" s="220"/>
      <c r="AE689" s="220"/>
      <c r="AF689" s="220"/>
      <c r="AG689" s="220"/>
      <c r="AH689" s="220"/>
      <c r="AI689" s="220"/>
      <c r="AJ689" s="220"/>
      <c r="AK689" s="220"/>
      <c r="AL689" s="220"/>
    </row>
    <row r="690" ht="15.75" customHeight="1">
      <c r="A690" s="220"/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  <c r="W690" s="220"/>
      <c r="X690" s="220"/>
      <c r="Y690" s="220"/>
      <c r="Z690" s="220"/>
      <c r="AA690" s="220"/>
      <c r="AB690" s="220"/>
      <c r="AC690" s="220"/>
      <c r="AD690" s="220"/>
      <c r="AE690" s="220"/>
      <c r="AF690" s="220"/>
      <c r="AG690" s="220"/>
      <c r="AH690" s="220"/>
      <c r="AI690" s="220"/>
      <c r="AJ690" s="220"/>
      <c r="AK690" s="220"/>
      <c r="AL690" s="220"/>
    </row>
    <row r="691" ht="15.75" customHeight="1">
      <c r="A691" s="220"/>
      <c r="B691" s="220"/>
      <c r="C691" s="220"/>
      <c r="D691" s="220"/>
      <c r="E691" s="220"/>
      <c r="F691" s="220"/>
      <c r="G691" s="220"/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  <c r="W691" s="220"/>
      <c r="X691" s="220"/>
      <c r="Y691" s="220"/>
      <c r="Z691" s="220"/>
      <c r="AA691" s="220"/>
      <c r="AB691" s="220"/>
      <c r="AC691" s="220"/>
      <c r="AD691" s="220"/>
      <c r="AE691" s="220"/>
      <c r="AF691" s="220"/>
      <c r="AG691" s="220"/>
      <c r="AH691" s="220"/>
      <c r="AI691" s="220"/>
      <c r="AJ691" s="220"/>
      <c r="AK691" s="220"/>
      <c r="AL691" s="220"/>
    </row>
    <row r="692" ht="15.75" customHeight="1">
      <c r="A692" s="220"/>
      <c r="B692" s="220"/>
      <c r="C692" s="220"/>
      <c r="D692" s="220"/>
      <c r="E692" s="220"/>
      <c r="F692" s="220"/>
      <c r="G692" s="220"/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  <c r="W692" s="220"/>
      <c r="X692" s="220"/>
      <c r="Y692" s="220"/>
      <c r="Z692" s="220"/>
      <c r="AA692" s="220"/>
      <c r="AB692" s="220"/>
      <c r="AC692" s="220"/>
      <c r="AD692" s="220"/>
      <c r="AE692" s="220"/>
      <c r="AF692" s="220"/>
      <c r="AG692" s="220"/>
      <c r="AH692" s="220"/>
      <c r="AI692" s="220"/>
      <c r="AJ692" s="220"/>
      <c r="AK692" s="220"/>
      <c r="AL692" s="220"/>
    </row>
    <row r="693" ht="15.75" customHeight="1">
      <c r="A693" s="220"/>
      <c r="B693" s="220"/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  <c r="W693" s="220"/>
      <c r="X693" s="220"/>
      <c r="Y693" s="220"/>
      <c r="Z693" s="220"/>
      <c r="AA693" s="220"/>
      <c r="AB693" s="220"/>
      <c r="AC693" s="220"/>
      <c r="AD693" s="220"/>
      <c r="AE693" s="220"/>
      <c r="AF693" s="220"/>
      <c r="AG693" s="220"/>
      <c r="AH693" s="220"/>
      <c r="AI693" s="220"/>
      <c r="AJ693" s="220"/>
      <c r="AK693" s="220"/>
      <c r="AL693" s="220"/>
    </row>
    <row r="694" ht="15.75" customHeight="1">
      <c r="A694" s="220"/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  <c r="W694" s="220"/>
      <c r="X694" s="220"/>
      <c r="Y694" s="220"/>
      <c r="Z694" s="220"/>
      <c r="AA694" s="220"/>
      <c r="AB694" s="220"/>
      <c r="AC694" s="220"/>
      <c r="AD694" s="220"/>
      <c r="AE694" s="220"/>
      <c r="AF694" s="220"/>
      <c r="AG694" s="220"/>
      <c r="AH694" s="220"/>
      <c r="AI694" s="220"/>
      <c r="AJ694" s="220"/>
      <c r="AK694" s="220"/>
      <c r="AL694" s="220"/>
    </row>
    <row r="695" ht="15.75" customHeight="1">
      <c r="A695" s="220"/>
      <c r="B695" s="220"/>
      <c r="C695" s="220"/>
      <c r="D695" s="220"/>
      <c r="E695" s="220"/>
      <c r="F695" s="220"/>
      <c r="G695" s="220"/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  <c r="W695" s="220"/>
      <c r="X695" s="220"/>
      <c r="Y695" s="220"/>
      <c r="Z695" s="220"/>
      <c r="AA695" s="220"/>
      <c r="AB695" s="220"/>
      <c r="AC695" s="220"/>
      <c r="AD695" s="220"/>
      <c r="AE695" s="220"/>
      <c r="AF695" s="220"/>
      <c r="AG695" s="220"/>
      <c r="AH695" s="220"/>
      <c r="AI695" s="220"/>
      <c r="AJ695" s="220"/>
      <c r="AK695" s="220"/>
      <c r="AL695" s="220"/>
    </row>
    <row r="696" ht="15.75" customHeight="1">
      <c r="A696" s="220"/>
      <c r="B696" s="220"/>
      <c r="C696" s="220"/>
      <c r="D696" s="220"/>
      <c r="E696" s="220"/>
      <c r="F696" s="220"/>
      <c r="G696" s="220"/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  <c r="W696" s="220"/>
      <c r="X696" s="220"/>
      <c r="Y696" s="220"/>
      <c r="Z696" s="220"/>
      <c r="AA696" s="220"/>
      <c r="AB696" s="220"/>
      <c r="AC696" s="220"/>
      <c r="AD696" s="220"/>
      <c r="AE696" s="220"/>
      <c r="AF696" s="220"/>
      <c r="AG696" s="220"/>
      <c r="AH696" s="220"/>
      <c r="AI696" s="220"/>
      <c r="AJ696" s="220"/>
      <c r="AK696" s="220"/>
      <c r="AL696" s="220"/>
    </row>
    <row r="697" ht="15.75" customHeight="1">
      <c r="A697" s="220"/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  <c r="W697" s="220"/>
      <c r="X697" s="220"/>
      <c r="Y697" s="220"/>
      <c r="Z697" s="220"/>
      <c r="AA697" s="220"/>
      <c r="AB697" s="220"/>
      <c r="AC697" s="220"/>
      <c r="AD697" s="220"/>
      <c r="AE697" s="220"/>
      <c r="AF697" s="220"/>
      <c r="AG697" s="220"/>
      <c r="AH697" s="220"/>
      <c r="AI697" s="220"/>
      <c r="AJ697" s="220"/>
      <c r="AK697" s="220"/>
      <c r="AL697" s="220"/>
    </row>
    <row r="698" ht="15.75" customHeight="1">
      <c r="A698" s="220"/>
      <c r="B698" s="220"/>
      <c r="C698" s="220"/>
      <c r="D698" s="220"/>
      <c r="E698" s="220"/>
      <c r="F698" s="220"/>
      <c r="G698" s="220"/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  <c r="W698" s="220"/>
      <c r="X698" s="220"/>
      <c r="Y698" s="220"/>
      <c r="Z698" s="220"/>
      <c r="AA698" s="220"/>
      <c r="AB698" s="220"/>
      <c r="AC698" s="220"/>
      <c r="AD698" s="220"/>
      <c r="AE698" s="220"/>
      <c r="AF698" s="220"/>
      <c r="AG698" s="220"/>
      <c r="AH698" s="220"/>
      <c r="AI698" s="220"/>
      <c r="AJ698" s="220"/>
      <c r="AK698" s="220"/>
      <c r="AL698" s="220"/>
    </row>
    <row r="699" ht="15.75" customHeight="1">
      <c r="A699" s="220"/>
      <c r="B699" s="220"/>
      <c r="C699" s="220"/>
      <c r="D699" s="220"/>
      <c r="E699" s="220"/>
      <c r="F699" s="220"/>
      <c r="G699" s="220"/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  <c r="W699" s="220"/>
      <c r="X699" s="220"/>
      <c r="Y699" s="220"/>
      <c r="Z699" s="220"/>
      <c r="AA699" s="220"/>
      <c r="AB699" s="220"/>
      <c r="AC699" s="220"/>
      <c r="AD699" s="220"/>
      <c r="AE699" s="220"/>
      <c r="AF699" s="220"/>
      <c r="AG699" s="220"/>
      <c r="AH699" s="220"/>
      <c r="AI699" s="220"/>
      <c r="AJ699" s="220"/>
      <c r="AK699" s="220"/>
      <c r="AL699" s="220"/>
    </row>
    <row r="700" ht="15.75" customHeight="1">
      <c r="A700" s="220"/>
      <c r="B700" s="220"/>
      <c r="C700" s="220"/>
      <c r="D700" s="220"/>
      <c r="E700" s="220"/>
      <c r="F700" s="220"/>
      <c r="G700" s="220"/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  <c r="W700" s="220"/>
      <c r="X700" s="220"/>
      <c r="Y700" s="220"/>
      <c r="Z700" s="220"/>
      <c r="AA700" s="220"/>
      <c r="AB700" s="220"/>
      <c r="AC700" s="220"/>
      <c r="AD700" s="220"/>
      <c r="AE700" s="220"/>
      <c r="AF700" s="220"/>
      <c r="AG700" s="220"/>
      <c r="AH700" s="220"/>
      <c r="AI700" s="220"/>
      <c r="AJ700" s="220"/>
      <c r="AK700" s="220"/>
      <c r="AL700" s="220"/>
    </row>
    <row r="701" ht="15.75" customHeight="1">
      <c r="A701" s="220"/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  <c r="W701" s="220"/>
      <c r="X701" s="220"/>
      <c r="Y701" s="220"/>
      <c r="Z701" s="220"/>
      <c r="AA701" s="220"/>
      <c r="AB701" s="220"/>
      <c r="AC701" s="220"/>
      <c r="AD701" s="220"/>
      <c r="AE701" s="220"/>
      <c r="AF701" s="220"/>
      <c r="AG701" s="220"/>
      <c r="AH701" s="220"/>
      <c r="AI701" s="220"/>
      <c r="AJ701" s="220"/>
      <c r="AK701" s="220"/>
      <c r="AL701" s="220"/>
    </row>
    <row r="702" ht="15.75" customHeight="1">
      <c r="A702" s="220"/>
      <c r="B702" s="220"/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  <c r="W702" s="220"/>
      <c r="X702" s="220"/>
      <c r="Y702" s="220"/>
      <c r="Z702" s="220"/>
      <c r="AA702" s="220"/>
      <c r="AB702" s="220"/>
      <c r="AC702" s="220"/>
      <c r="AD702" s="220"/>
      <c r="AE702" s="220"/>
      <c r="AF702" s="220"/>
      <c r="AG702" s="220"/>
      <c r="AH702" s="220"/>
      <c r="AI702" s="220"/>
      <c r="AJ702" s="220"/>
      <c r="AK702" s="220"/>
      <c r="AL702" s="220"/>
    </row>
    <row r="703" ht="15.75" customHeight="1">
      <c r="A703" s="220"/>
      <c r="B703" s="220"/>
      <c r="C703" s="220"/>
      <c r="D703" s="220"/>
      <c r="E703" s="220"/>
      <c r="F703" s="220"/>
      <c r="G703" s="220"/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  <c r="W703" s="220"/>
      <c r="X703" s="220"/>
      <c r="Y703" s="220"/>
      <c r="Z703" s="220"/>
      <c r="AA703" s="220"/>
      <c r="AB703" s="220"/>
      <c r="AC703" s="220"/>
      <c r="AD703" s="220"/>
      <c r="AE703" s="220"/>
      <c r="AF703" s="220"/>
      <c r="AG703" s="220"/>
      <c r="AH703" s="220"/>
      <c r="AI703" s="220"/>
      <c r="AJ703" s="220"/>
      <c r="AK703" s="220"/>
      <c r="AL703" s="220"/>
    </row>
    <row r="704" ht="15.75" customHeight="1">
      <c r="A704" s="220"/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  <c r="W704" s="220"/>
      <c r="X704" s="220"/>
      <c r="Y704" s="220"/>
      <c r="Z704" s="220"/>
      <c r="AA704" s="220"/>
      <c r="AB704" s="220"/>
      <c r="AC704" s="220"/>
      <c r="AD704" s="220"/>
      <c r="AE704" s="220"/>
      <c r="AF704" s="220"/>
      <c r="AG704" s="220"/>
      <c r="AH704" s="220"/>
      <c r="AI704" s="220"/>
      <c r="AJ704" s="220"/>
      <c r="AK704" s="220"/>
      <c r="AL704" s="220"/>
    </row>
    <row r="705" ht="15.75" customHeight="1">
      <c r="A705" s="220"/>
      <c r="B705" s="220"/>
      <c r="C705" s="220"/>
      <c r="D705" s="220"/>
      <c r="E705" s="220"/>
      <c r="F705" s="220"/>
      <c r="G705" s="220"/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  <c r="W705" s="220"/>
      <c r="X705" s="220"/>
      <c r="Y705" s="220"/>
      <c r="Z705" s="220"/>
      <c r="AA705" s="220"/>
      <c r="AB705" s="220"/>
      <c r="AC705" s="220"/>
      <c r="AD705" s="220"/>
      <c r="AE705" s="220"/>
      <c r="AF705" s="220"/>
      <c r="AG705" s="220"/>
      <c r="AH705" s="220"/>
      <c r="AI705" s="220"/>
      <c r="AJ705" s="220"/>
      <c r="AK705" s="220"/>
      <c r="AL705" s="220"/>
    </row>
    <row r="706" ht="15.75" customHeight="1">
      <c r="A706" s="220"/>
      <c r="B706" s="220"/>
      <c r="C706" s="220"/>
      <c r="D706" s="220"/>
      <c r="E706" s="220"/>
      <c r="F706" s="220"/>
      <c r="G706" s="220"/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  <c r="W706" s="220"/>
      <c r="X706" s="220"/>
      <c r="Y706" s="220"/>
      <c r="Z706" s="220"/>
      <c r="AA706" s="220"/>
      <c r="AB706" s="220"/>
      <c r="AC706" s="220"/>
      <c r="AD706" s="220"/>
      <c r="AE706" s="220"/>
      <c r="AF706" s="220"/>
      <c r="AG706" s="220"/>
      <c r="AH706" s="220"/>
      <c r="AI706" s="220"/>
      <c r="AJ706" s="220"/>
      <c r="AK706" s="220"/>
      <c r="AL706" s="220"/>
    </row>
    <row r="707" ht="15.75" customHeight="1">
      <c r="A707" s="220"/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  <c r="W707" s="220"/>
      <c r="X707" s="220"/>
      <c r="Y707" s="220"/>
      <c r="Z707" s="220"/>
      <c r="AA707" s="220"/>
      <c r="AB707" s="220"/>
      <c r="AC707" s="220"/>
      <c r="AD707" s="220"/>
      <c r="AE707" s="220"/>
      <c r="AF707" s="220"/>
      <c r="AG707" s="220"/>
      <c r="AH707" s="220"/>
      <c r="AI707" s="220"/>
      <c r="AJ707" s="220"/>
      <c r="AK707" s="220"/>
      <c r="AL707" s="220"/>
    </row>
    <row r="708" ht="15.75" customHeight="1">
      <c r="A708" s="220"/>
      <c r="B708" s="220"/>
      <c r="C708" s="220"/>
      <c r="D708" s="220"/>
      <c r="E708" s="220"/>
      <c r="F708" s="220"/>
      <c r="G708" s="220"/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  <c r="W708" s="220"/>
      <c r="X708" s="220"/>
      <c r="Y708" s="220"/>
      <c r="Z708" s="220"/>
      <c r="AA708" s="220"/>
      <c r="AB708" s="220"/>
      <c r="AC708" s="220"/>
      <c r="AD708" s="220"/>
      <c r="AE708" s="220"/>
      <c r="AF708" s="220"/>
      <c r="AG708" s="220"/>
      <c r="AH708" s="220"/>
      <c r="AI708" s="220"/>
      <c r="AJ708" s="220"/>
      <c r="AK708" s="220"/>
      <c r="AL708" s="220"/>
    </row>
    <row r="709" ht="15.75" customHeight="1">
      <c r="A709" s="220"/>
      <c r="B709" s="220"/>
      <c r="C709" s="220"/>
      <c r="D709" s="220"/>
      <c r="E709" s="220"/>
      <c r="F709" s="220"/>
      <c r="G709" s="220"/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  <c r="W709" s="220"/>
      <c r="X709" s="220"/>
      <c r="Y709" s="220"/>
      <c r="Z709" s="220"/>
      <c r="AA709" s="220"/>
      <c r="AB709" s="220"/>
      <c r="AC709" s="220"/>
      <c r="AD709" s="220"/>
      <c r="AE709" s="220"/>
      <c r="AF709" s="220"/>
      <c r="AG709" s="220"/>
      <c r="AH709" s="220"/>
      <c r="AI709" s="220"/>
      <c r="AJ709" s="220"/>
      <c r="AK709" s="220"/>
      <c r="AL709" s="220"/>
    </row>
    <row r="710" ht="15.75" customHeight="1">
      <c r="A710" s="220"/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  <c r="W710" s="220"/>
      <c r="X710" s="220"/>
      <c r="Y710" s="220"/>
      <c r="Z710" s="220"/>
      <c r="AA710" s="220"/>
      <c r="AB710" s="220"/>
      <c r="AC710" s="220"/>
      <c r="AD710" s="220"/>
      <c r="AE710" s="220"/>
      <c r="AF710" s="220"/>
      <c r="AG710" s="220"/>
      <c r="AH710" s="220"/>
      <c r="AI710" s="220"/>
      <c r="AJ710" s="220"/>
      <c r="AK710" s="220"/>
      <c r="AL710" s="220"/>
    </row>
    <row r="711" ht="15.75" customHeight="1">
      <c r="A711" s="220"/>
      <c r="B711" s="220"/>
      <c r="C711" s="220"/>
      <c r="D711" s="220"/>
      <c r="E711" s="220"/>
      <c r="F711" s="220"/>
      <c r="G711" s="220"/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  <c r="W711" s="220"/>
      <c r="X711" s="220"/>
      <c r="Y711" s="220"/>
      <c r="Z711" s="220"/>
      <c r="AA711" s="220"/>
      <c r="AB711" s="220"/>
      <c r="AC711" s="220"/>
      <c r="AD711" s="220"/>
      <c r="AE711" s="220"/>
      <c r="AF711" s="220"/>
      <c r="AG711" s="220"/>
      <c r="AH711" s="220"/>
      <c r="AI711" s="220"/>
      <c r="AJ711" s="220"/>
      <c r="AK711" s="220"/>
      <c r="AL711" s="220"/>
    </row>
    <row r="712" ht="15.75" customHeight="1">
      <c r="A712" s="220"/>
      <c r="B712" s="220"/>
      <c r="C712" s="220"/>
      <c r="D712" s="220"/>
      <c r="E712" s="220"/>
      <c r="F712" s="220"/>
      <c r="G712" s="220"/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  <c r="W712" s="220"/>
      <c r="X712" s="220"/>
      <c r="Y712" s="220"/>
      <c r="Z712" s="220"/>
      <c r="AA712" s="220"/>
      <c r="AB712" s="220"/>
      <c r="AC712" s="220"/>
      <c r="AD712" s="220"/>
      <c r="AE712" s="220"/>
      <c r="AF712" s="220"/>
      <c r="AG712" s="220"/>
      <c r="AH712" s="220"/>
      <c r="AI712" s="220"/>
      <c r="AJ712" s="220"/>
      <c r="AK712" s="220"/>
      <c r="AL712" s="220"/>
    </row>
    <row r="713" ht="15.75" customHeight="1">
      <c r="A713" s="220"/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  <c r="W713" s="220"/>
      <c r="X713" s="220"/>
      <c r="Y713" s="220"/>
      <c r="Z713" s="220"/>
      <c r="AA713" s="220"/>
      <c r="AB713" s="220"/>
      <c r="AC713" s="220"/>
      <c r="AD713" s="220"/>
      <c r="AE713" s="220"/>
      <c r="AF713" s="220"/>
      <c r="AG713" s="220"/>
      <c r="AH713" s="220"/>
      <c r="AI713" s="220"/>
      <c r="AJ713" s="220"/>
      <c r="AK713" s="220"/>
      <c r="AL713" s="220"/>
    </row>
    <row r="714" ht="15.75" customHeight="1">
      <c r="A714" s="220"/>
      <c r="B714" s="220"/>
      <c r="C714" s="220"/>
      <c r="D714" s="220"/>
      <c r="E714" s="220"/>
      <c r="F714" s="220"/>
      <c r="G714" s="220"/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  <c r="W714" s="220"/>
      <c r="X714" s="220"/>
      <c r="Y714" s="220"/>
      <c r="Z714" s="220"/>
      <c r="AA714" s="220"/>
      <c r="AB714" s="220"/>
      <c r="AC714" s="220"/>
      <c r="AD714" s="220"/>
      <c r="AE714" s="220"/>
      <c r="AF714" s="220"/>
      <c r="AG714" s="220"/>
      <c r="AH714" s="220"/>
      <c r="AI714" s="220"/>
      <c r="AJ714" s="220"/>
      <c r="AK714" s="220"/>
      <c r="AL714" s="220"/>
    </row>
    <row r="715" ht="15.75" customHeight="1">
      <c r="A715" s="220"/>
      <c r="B715" s="220"/>
      <c r="C715" s="220"/>
      <c r="D715" s="220"/>
      <c r="E715" s="220"/>
      <c r="F715" s="220"/>
      <c r="G715" s="220"/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  <c r="W715" s="220"/>
      <c r="X715" s="220"/>
      <c r="Y715" s="220"/>
      <c r="Z715" s="220"/>
      <c r="AA715" s="220"/>
      <c r="AB715" s="220"/>
      <c r="AC715" s="220"/>
      <c r="AD715" s="220"/>
      <c r="AE715" s="220"/>
      <c r="AF715" s="220"/>
      <c r="AG715" s="220"/>
      <c r="AH715" s="220"/>
      <c r="AI715" s="220"/>
      <c r="AJ715" s="220"/>
      <c r="AK715" s="220"/>
      <c r="AL715" s="220"/>
    </row>
    <row r="716" ht="15.75" customHeight="1">
      <c r="A716" s="220"/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  <c r="W716" s="220"/>
      <c r="X716" s="220"/>
      <c r="Y716" s="220"/>
      <c r="Z716" s="220"/>
      <c r="AA716" s="220"/>
      <c r="AB716" s="220"/>
      <c r="AC716" s="220"/>
      <c r="AD716" s="220"/>
      <c r="AE716" s="220"/>
      <c r="AF716" s="220"/>
      <c r="AG716" s="220"/>
      <c r="AH716" s="220"/>
      <c r="AI716" s="220"/>
      <c r="AJ716" s="220"/>
      <c r="AK716" s="220"/>
      <c r="AL716" s="220"/>
    </row>
    <row r="717" ht="15.75" customHeight="1">
      <c r="A717" s="220"/>
      <c r="B717" s="220"/>
      <c r="C717" s="220"/>
      <c r="D717" s="220"/>
      <c r="E717" s="220"/>
      <c r="F717" s="220"/>
      <c r="G717" s="220"/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  <c r="W717" s="220"/>
      <c r="X717" s="220"/>
      <c r="Y717" s="220"/>
      <c r="Z717" s="220"/>
      <c r="AA717" s="220"/>
      <c r="AB717" s="220"/>
      <c r="AC717" s="220"/>
      <c r="AD717" s="220"/>
      <c r="AE717" s="220"/>
      <c r="AF717" s="220"/>
      <c r="AG717" s="220"/>
      <c r="AH717" s="220"/>
      <c r="AI717" s="220"/>
      <c r="AJ717" s="220"/>
      <c r="AK717" s="220"/>
      <c r="AL717" s="220"/>
    </row>
    <row r="718" ht="15.75" customHeight="1">
      <c r="A718" s="220"/>
      <c r="B718" s="220"/>
      <c r="C718" s="220"/>
      <c r="D718" s="220"/>
      <c r="E718" s="220"/>
      <c r="F718" s="220"/>
      <c r="G718" s="220"/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  <c r="W718" s="220"/>
      <c r="X718" s="220"/>
      <c r="Y718" s="220"/>
      <c r="Z718" s="220"/>
      <c r="AA718" s="220"/>
      <c r="AB718" s="220"/>
      <c r="AC718" s="220"/>
      <c r="AD718" s="220"/>
      <c r="AE718" s="220"/>
      <c r="AF718" s="220"/>
      <c r="AG718" s="220"/>
      <c r="AH718" s="220"/>
      <c r="AI718" s="220"/>
      <c r="AJ718" s="220"/>
      <c r="AK718" s="220"/>
      <c r="AL718" s="220"/>
    </row>
    <row r="719" ht="15.75" customHeight="1">
      <c r="A719" s="220"/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  <c r="W719" s="220"/>
      <c r="X719" s="220"/>
      <c r="Y719" s="220"/>
      <c r="Z719" s="220"/>
      <c r="AA719" s="220"/>
      <c r="AB719" s="220"/>
      <c r="AC719" s="220"/>
      <c r="AD719" s="220"/>
      <c r="AE719" s="220"/>
      <c r="AF719" s="220"/>
      <c r="AG719" s="220"/>
      <c r="AH719" s="220"/>
      <c r="AI719" s="220"/>
      <c r="AJ719" s="220"/>
      <c r="AK719" s="220"/>
      <c r="AL719" s="220"/>
    </row>
    <row r="720" ht="15.75" customHeight="1">
      <c r="A720" s="220"/>
      <c r="B720" s="220"/>
      <c r="C720" s="220"/>
      <c r="D720" s="220"/>
      <c r="E720" s="220"/>
      <c r="F720" s="220"/>
      <c r="G720" s="220"/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  <c r="W720" s="220"/>
      <c r="X720" s="220"/>
      <c r="Y720" s="220"/>
      <c r="Z720" s="220"/>
      <c r="AA720" s="220"/>
      <c r="AB720" s="220"/>
      <c r="AC720" s="220"/>
      <c r="AD720" s="220"/>
      <c r="AE720" s="220"/>
      <c r="AF720" s="220"/>
      <c r="AG720" s="220"/>
      <c r="AH720" s="220"/>
      <c r="AI720" s="220"/>
      <c r="AJ720" s="220"/>
      <c r="AK720" s="220"/>
      <c r="AL720" s="220"/>
    </row>
    <row r="721" ht="15.75" customHeight="1">
      <c r="A721" s="220"/>
      <c r="B721" s="220"/>
      <c r="C721" s="220"/>
      <c r="D721" s="220"/>
      <c r="E721" s="220"/>
      <c r="F721" s="220"/>
      <c r="G721" s="220"/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  <c r="W721" s="220"/>
      <c r="X721" s="220"/>
      <c r="Y721" s="220"/>
      <c r="Z721" s="220"/>
      <c r="AA721" s="220"/>
      <c r="AB721" s="220"/>
      <c r="AC721" s="220"/>
      <c r="AD721" s="220"/>
      <c r="AE721" s="220"/>
      <c r="AF721" s="220"/>
      <c r="AG721" s="220"/>
      <c r="AH721" s="220"/>
      <c r="AI721" s="220"/>
      <c r="AJ721" s="220"/>
      <c r="AK721" s="220"/>
      <c r="AL721" s="220"/>
    </row>
    <row r="722" ht="15.75" customHeight="1">
      <c r="A722" s="220"/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  <c r="W722" s="220"/>
      <c r="X722" s="220"/>
      <c r="Y722" s="220"/>
      <c r="Z722" s="220"/>
      <c r="AA722" s="220"/>
      <c r="AB722" s="220"/>
      <c r="AC722" s="220"/>
      <c r="AD722" s="220"/>
      <c r="AE722" s="220"/>
      <c r="AF722" s="220"/>
      <c r="AG722" s="220"/>
      <c r="AH722" s="220"/>
      <c r="AI722" s="220"/>
      <c r="AJ722" s="220"/>
      <c r="AK722" s="220"/>
      <c r="AL722" s="220"/>
    </row>
    <row r="723" ht="15.75" customHeight="1">
      <c r="A723" s="220"/>
      <c r="B723" s="220"/>
      <c r="C723" s="220"/>
      <c r="D723" s="220"/>
      <c r="E723" s="220"/>
      <c r="F723" s="220"/>
      <c r="G723" s="220"/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  <c r="W723" s="220"/>
      <c r="X723" s="220"/>
      <c r="Y723" s="220"/>
      <c r="Z723" s="220"/>
      <c r="AA723" s="220"/>
      <c r="AB723" s="220"/>
      <c r="AC723" s="220"/>
      <c r="AD723" s="220"/>
      <c r="AE723" s="220"/>
      <c r="AF723" s="220"/>
      <c r="AG723" s="220"/>
      <c r="AH723" s="220"/>
      <c r="AI723" s="220"/>
      <c r="AJ723" s="220"/>
      <c r="AK723" s="220"/>
      <c r="AL723" s="220"/>
    </row>
    <row r="724" ht="15.75" customHeight="1">
      <c r="A724" s="220"/>
      <c r="B724" s="220"/>
      <c r="C724" s="220"/>
      <c r="D724" s="220"/>
      <c r="E724" s="220"/>
      <c r="F724" s="220"/>
      <c r="G724" s="220"/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  <c r="W724" s="220"/>
      <c r="X724" s="220"/>
      <c r="Y724" s="220"/>
      <c r="Z724" s="220"/>
      <c r="AA724" s="220"/>
      <c r="AB724" s="220"/>
      <c r="AC724" s="220"/>
      <c r="AD724" s="220"/>
      <c r="AE724" s="220"/>
      <c r="AF724" s="220"/>
      <c r="AG724" s="220"/>
      <c r="AH724" s="220"/>
      <c r="AI724" s="220"/>
      <c r="AJ724" s="220"/>
      <c r="AK724" s="220"/>
      <c r="AL724" s="220"/>
    </row>
    <row r="725" ht="15.75" customHeight="1">
      <c r="A725" s="220"/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  <c r="W725" s="220"/>
      <c r="X725" s="220"/>
      <c r="Y725" s="220"/>
      <c r="Z725" s="220"/>
      <c r="AA725" s="220"/>
      <c r="AB725" s="220"/>
      <c r="AC725" s="220"/>
      <c r="AD725" s="220"/>
      <c r="AE725" s="220"/>
      <c r="AF725" s="220"/>
      <c r="AG725" s="220"/>
      <c r="AH725" s="220"/>
      <c r="AI725" s="220"/>
      <c r="AJ725" s="220"/>
      <c r="AK725" s="220"/>
      <c r="AL725" s="220"/>
    </row>
    <row r="726" ht="15.75" customHeight="1">
      <c r="A726" s="220"/>
      <c r="B726" s="220"/>
      <c r="C726" s="220"/>
      <c r="D726" s="220"/>
      <c r="E726" s="220"/>
      <c r="F726" s="220"/>
      <c r="G726" s="220"/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  <c r="W726" s="220"/>
      <c r="X726" s="220"/>
      <c r="Y726" s="220"/>
      <c r="Z726" s="220"/>
      <c r="AA726" s="220"/>
      <c r="AB726" s="220"/>
      <c r="AC726" s="220"/>
      <c r="AD726" s="220"/>
      <c r="AE726" s="220"/>
      <c r="AF726" s="220"/>
      <c r="AG726" s="220"/>
      <c r="AH726" s="220"/>
      <c r="AI726" s="220"/>
      <c r="AJ726" s="220"/>
      <c r="AK726" s="220"/>
      <c r="AL726" s="220"/>
    </row>
    <row r="727" ht="15.75" customHeight="1">
      <c r="A727" s="220"/>
      <c r="B727" s="220"/>
      <c r="C727" s="220"/>
      <c r="D727" s="220"/>
      <c r="E727" s="220"/>
      <c r="F727" s="220"/>
      <c r="G727" s="220"/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  <c r="W727" s="220"/>
      <c r="X727" s="220"/>
      <c r="Y727" s="220"/>
      <c r="Z727" s="220"/>
      <c r="AA727" s="220"/>
      <c r="AB727" s="220"/>
      <c r="AC727" s="220"/>
      <c r="AD727" s="220"/>
      <c r="AE727" s="220"/>
      <c r="AF727" s="220"/>
      <c r="AG727" s="220"/>
      <c r="AH727" s="220"/>
      <c r="AI727" s="220"/>
      <c r="AJ727" s="220"/>
      <c r="AK727" s="220"/>
      <c r="AL727" s="220"/>
    </row>
    <row r="728" ht="15.75" customHeight="1">
      <c r="A728" s="220"/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  <c r="W728" s="220"/>
      <c r="X728" s="220"/>
      <c r="Y728" s="220"/>
      <c r="Z728" s="220"/>
      <c r="AA728" s="220"/>
      <c r="AB728" s="220"/>
      <c r="AC728" s="220"/>
      <c r="AD728" s="220"/>
      <c r="AE728" s="220"/>
      <c r="AF728" s="220"/>
      <c r="AG728" s="220"/>
      <c r="AH728" s="220"/>
      <c r="AI728" s="220"/>
      <c r="AJ728" s="220"/>
      <c r="AK728" s="220"/>
      <c r="AL728" s="220"/>
    </row>
    <row r="729" ht="15.75" customHeight="1">
      <c r="A729" s="220"/>
      <c r="B729" s="220"/>
      <c r="C729" s="220"/>
      <c r="D729" s="220"/>
      <c r="E729" s="220"/>
      <c r="F729" s="220"/>
      <c r="G729" s="220"/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  <c r="W729" s="220"/>
      <c r="X729" s="220"/>
      <c r="Y729" s="220"/>
      <c r="Z729" s="220"/>
      <c r="AA729" s="220"/>
      <c r="AB729" s="220"/>
      <c r="AC729" s="220"/>
      <c r="AD729" s="220"/>
      <c r="AE729" s="220"/>
      <c r="AF729" s="220"/>
      <c r="AG729" s="220"/>
      <c r="AH729" s="220"/>
      <c r="AI729" s="220"/>
      <c r="AJ729" s="220"/>
      <c r="AK729" s="220"/>
      <c r="AL729" s="220"/>
    </row>
    <row r="730" ht="15.75" customHeight="1">
      <c r="A730" s="220"/>
      <c r="B730" s="220"/>
      <c r="C730" s="220"/>
      <c r="D730" s="220"/>
      <c r="E730" s="220"/>
      <c r="F730" s="220"/>
      <c r="G730" s="220"/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  <c r="W730" s="220"/>
      <c r="X730" s="220"/>
      <c r="Y730" s="220"/>
      <c r="Z730" s="220"/>
      <c r="AA730" s="220"/>
      <c r="AB730" s="220"/>
      <c r="AC730" s="220"/>
      <c r="AD730" s="220"/>
      <c r="AE730" s="220"/>
      <c r="AF730" s="220"/>
      <c r="AG730" s="220"/>
      <c r="AH730" s="220"/>
      <c r="AI730" s="220"/>
      <c r="AJ730" s="220"/>
      <c r="AK730" s="220"/>
      <c r="AL730" s="220"/>
    </row>
    <row r="731" ht="15.75" customHeight="1">
      <c r="A731" s="220"/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  <c r="W731" s="220"/>
      <c r="X731" s="220"/>
      <c r="Y731" s="220"/>
      <c r="Z731" s="220"/>
      <c r="AA731" s="220"/>
      <c r="AB731" s="220"/>
      <c r="AC731" s="220"/>
      <c r="AD731" s="220"/>
      <c r="AE731" s="220"/>
      <c r="AF731" s="220"/>
      <c r="AG731" s="220"/>
      <c r="AH731" s="220"/>
      <c r="AI731" s="220"/>
      <c r="AJ731" s="220"/>
      <c r="AK731" s="220"/>
      <c r="AL731" s="220"/>
    </row>
    <row r="732" ht="15.75" customHeight="1">
      <c r="A732" s="220"/>
      <c r="B732" s="220"/>
      <c r="C732" s="220"/>
      <c r="D732" s="220"/>
      <c r="E732" s="220"/>
      <c r="F732" s="220"/>
      <c r="G732" s="220"/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  <c r="W732" s="220"/>
      <c r="X732" s="220"/>
      <c r="Y732" s="220"/>
      <c r="Z732" s="220"/>
      <c r="AA732" s="220"/>
      <c r="AB732" s="220"/>
      <c r="AC732" s="220"/>
      <c r="AD732" s="220"/>
      <c r="AE732" s="220"/>
      <c r="AF732" s="220"/>
      <c r="AG732" s="220"/>
      <c r="AH732" s="220"/>
      <c r="AI732" s="220"/>
      <c r="AJ732" s="220"/>
      <c r="AK732" s="220"/>
      <c r="AL732" s="220"/>
    </row>
    <row r="733" ht="15.75" customHeight="1">
      <c r="A733" s="220"/>
      <c r="B733" s="220"/>
      <c r="C733" s="220"/>
      <c r="D733" s="220"/>
      <c r="E733" s="220"/>
      <c r="F733" s="220"/>
      <c r="G733" s="220"/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  <c r="W733" s="220"/>
      <c r="X733" s="220"/>
      <c r="Y733" s="220"/>
      <c r="Z733" s="220"/>
      <c r="AA733" s="220"/>
      <c r="AB733" s="220"/>
      <c r="AC733" s="220"/>
      <c r="AD733" s="220"/>
      <c r="AE733" s="220"/>
      <c r="AF733" s="220"/>
      <c r="AG733" s="220"/>
      <c r="AH733" s="220"/>
      <c r="AI733" s="220"/>
      <c r="AJ733" s="220"/>
      <c r="AK733" s="220"/>
      <c r="AL733" s="220"/>
    </row>
    <row r="734" ht="15.75" customHeight="1">
      <c r="A734" s="220"/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  <c r="W734" s="220"/>
      <c r="X734" s="220"/>
      <c r="Y734" s="220"/>
      <c r="Z734" s="220"/>
      <c r="AA734" s="220"/>
      <c r="AB734" s="220"/>
      <c r="AC734" s="220"/>
      <c r="AD734" s="220"/>
      <c r="AE734" s="220"/>
      <c r="AF734" s="220"/>
      <c r="AG734" s="220"/>
      <c r="AH734" s="220"/>
      <c r="AI734" s="220"/>
      <c r="AJ734" s="220"/>
      <c r="AK734" s="220"/>
      <c r="AL734" s="220"/>
    </row>
    <row r="735" ht="15.75" customHeight="1">
      <c r="A735" s="220"/>
      <c r="B735" s="220"/>
      <c r="C735" s="220"/>
      <c r="D735" s="220"/>
      <c r="E735" s="220"/>
      <c r="F735" s="220"/>
      <c r="G735" s="220"/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  <c r="W735" s="220"/>
      <c r="X735" s="220"/>
      <c r="Y735" s="220"/>
      <c r="Z735" s="220"/>
      <c r="AA735" s="220"/>
      <c r="AB735" s="220"/>
      <c r="AC735" s="220"/>
      <c r="AD735" s="220"/>
      <c r="AE735" s="220"/>
      <c r="AF735" s="220"/>
      <c r="AG735" s="220"/>
      <c r="AH735" s="220"/>
      <c r="AI735" s="220"/>
      <c r="AJ735" s="220"/>
      <c r="AK735" s="220"/>
      <c r="AL735" s="220"/>
    </row>
    <row r="736" ht="15.75" customHeight="1">
      <c r="A736" s="220"/>
      <c r="B736" s="220"/>
      <c r="C736" s="220"/>
      <c r="D736" s="220"/>
      <c r="E736" s="220"/>
      <c r="F736" s="220"/>
      <c r="G736" s="220"/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  <c r="W736" s="220"/>
      <c r="X736" s="220"/>
      <c r="Y736" s="220"/>
      <c r="Z736" s="220"/>
      <c r="AA736" s="220"/>
      <c r="AB736" s="220"/>
      <c r="AC736" s="220"/>
      <c r="AD736" s="220"/>
      <c r="AE736" s="220"/>
      <c r="AF736" s="220"/>
      <c r="AG736" s="220"/>
      <c r="AH736" s="220"/>
      <c r="AI736" s="220"/>
      <c r="AJ736" s="220"/>
      <c r="AK736" s="220"/>
      <c r="AL736" s="220"/>
    </row>
    <row r="737" ht="15.75" customHeight="1">
      <c r="A737" s="220"/>
      <c r="B737" s="220"/>
      <c r="C737" s="220"/>
      <c r="D737" s="220"/>
      <c r="E737" s="220"/>
      <c r="F737" s="220"/>
      <c r="G737" s="220"/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  <c r="W737" s="220"/>
      <c r="X737" s="220"/>
      <c r="Y737" s="220"/>
      <c r="Z737" s="220"/>
      <c r="AA737" s="220"/>
      <c r="AB737" s="220"/>
      <c r="AC737" s="220"/>
      <c r="AD737" s="220"/>
      <c r="AE737" s="220"/>
      <c r="AF737" s="220"/>
      <c r="AG737" s="220"/>
      <c r="AH737" s="220"/>
      <c r="AI737" s="220"/>
      <c r="AJ737" s="220"/>
      <c r="AK737" s="220"/>
      <c r="AL737" s="220"/>
    </row>
    <row r="738" ht="15.75" customHeight="1">
      <c r="A738" s="220"/>
      <c r="B738" s="220"/>
      <c r="C738" s="220"/>
      <c r="D738" s="220"/>
      <c r="E738" s="220"/>
      <c r="F738" s="220"/>
      <c r="G738" s="220"/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  <c r="W738" s="220"/>
      <c r="X738" s="220"/>
      <c r="Y738" s="220"/>
      <c r="Z738" s="220"/>
      <c r="AA738" s="220"/>
      <c r="AB738" s="220"/>
      <c r="AC738" s="220"/>
      <c r="AD738" s="220"/>
      <c r="AE738" s="220"/>
      <c r="AF738" s="220"/>
      <c r="AG738" s="220"/>
      <c r="AH738" s="220"/>
      <c r="AI738" s="220"/>
      <c r="AJ738" s="220"/>
      <c r="AK738" s="220"/>
      <c r="AL738" s="220"/>
    </row>
    <row r="739" ht="15.75" customHeight="1">
      <c r="A739" s="220"/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  <c r="W739" s="220"/>
      <c r="X739" s="220"/>
      <c r="Y739" s="220"/>
      <c r="Z739" s="220"/>
      <c r="AA739" s="220"/>
      <c r="AB739" s="220"/>
      <c r="AC739" s="220"/>
      <c r="AD739" s="220"/>
      <c r="AE739" s="220"/>
      <c r="AF739" s="220"/>
      <c r="AG739" s="220"/>
      <c r="AH739" s="220"/>
      <c r="AI739" s="220"/>
      <c r="AJ739" s="220"/>
      <c r="AK739" s="220"/>
      <c r="AL739" s="220"/>
    </row>
    <row r="740" ht="15.75" customHeight="1">
      <c r="A740" s="220"/>
      <c r="B740" s="220"/>
      <c r="C740" s="220"/>
      <c r="D740" s="220"/>
      <c r="E740" s="220"/>
      <c r="F740" s="220"/>
      <c r="G740" s="220"/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  <c r="W740" s="220"/>
      <c r="X740" s="220"/>
      <c r="Y740" s="220"/>
      <c r="Z740" s="220"/>
      <c r="AA740" s="220"/>
      <c r="AB740" s="220"/>
      <c r="AC740" s="220"/>
      <c r="AD740" s="220"/>
      <c r="AE740" s="220"/>
      <c r="AF740" s="220"/>
      <c r="AG740" s="220"/>
      <c r="AH740" s="220"/>
      <c r="AI740" s="220"/>
      <c r="AJ740" s="220"/>
      <c r="AK740" s="220"/>
      <c r="AL740" s="220"/>
    </row>
    <row r="741" ht="15.75" customHeight="1">
      <c r="A741" s="220"/>
      <c r="B741" s="220"/>
      <c r="C741" s="220"/>
      <c r="D741" s="220"/>
      <c r="E741" s="220"/>
      <c r="F741" s="220"/>
      <c r="G741" s="220"/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  <c r="W741" s="220"/>
      <c r="X741" s="220"/>
      <c r="Y741" s="220"/>
      <c r="Z741" s="220"/>
      <c r="AA741" s="220"/>
      <c r="AB741" s="220"/>
      <c r="AC741" s="220"/>
      <c r="AD741" s="220"/>
      <c r="AE741" s="220"/>
      <c r="AF741" s="220"/>
      <c r="AG741" s="220"/>
      <c r="AH741" s="220"/>
      <c r="AI741" s="220"/>
      <c r="AJ741" s="220"/>
      <c r="AK741" s="220"/>
      <c r="AL741" s="220"/>
    </row>
    <row r="742" ht="15.75" customHeight="1">
      <c r="A742" s="220"/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  <c r="W742" s="220"/>
      <c r="X742" s="220"/>
      <c r="Y742" s="220"/>
      <c r="Z742" s="220"/>
      <c r="AA742" s="220"/>
      <c r="AB742" s="220"/>
      <c r="AC742" s="220"/>
      <c r="AD742" s="220"/>
      <c r="AE742" s="220"/>
      <c r="AF742" s="220"/>
      <c r="AG742" s="220"/>
      <c r="AH742" s="220"/>
      <c r="AI742" s="220"/>
      <c r="AJ742" s="220"/>
      <c r="AK742" s="220"/>
      <c r="AL742" s="220"/>
    </row>
    <row r="743" ht="15.75" customHeight="1">
      <c r="A743" s="220"/>
      <c r="B743" s="220"/>
      <c r="C743" s="220"/>
      <c r="D743" s="220"/>
      <c r="E743" s="220"/>
      <c r="F743" s="220"/>
      <c r="G743" s="220"/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  <c r="W743" s="220"/>
      <c r="X743" s="220"/>
      <c r="Y743" s="220"/>
      <c r="Z743" s="220"/>
      <c r="AA743" s="220"/>
      <c r="AB743" s="220"/>
      <c r="AC743" s="220"/>
      <c r="AD743" s="220"/>
      <c r="AE743" s="220"/>
      <c r="AF743" s="220"/>
      <c r="AG743" s="220"/>
      <c r="AH743" s="220"/>
      <c r="AI743" s="220"/>
      <c r="AJ743" s="220"/>
      <c r="AK743" s="220"/>
      <c r="AL743" s="220"/>
    </row>
    <row r="744" ht="15.75" customHeight="1">
      <c r="A744" s="220"/>
      <c r="B744" s="220"/>
      <c r="C744" s="220"/>
      <c r="D744" s="220"/>
      <c r="E744" s="220"/>
      <c r="F744" s="220"/>
      <c r="G744" s="220"/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  <c r="W744" s="220"/>
      <c r="X744" s="220"/>
      <c r="Y744" s="220"/>
      <c r="Z744" s="220"/>
      <c r="AA744" s="220"/>
      <c r="AB744" s="220"/>
      <c r="AC744" s="220"/>
      <c r="AD744" s="220"/>
      <c r="AE744" s="220"/>
      <c r="AF744" s="220"/>
      <c r="AG744" s="220"/>
      <c r="AH744" s="220"/>
      <c r="AI744" s="220"/>
      <c r="AJ744" s="220"/>
      <c r="AK744" s="220"/>
      <c r="AL744" s="220"/>
    </row>
    <row r="745" ht="15.75" customHeight="1">
      <c r="A745" s="220"/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  <c r="W745" s="220"/>
      <c r="X745" s="220"/>
      <c r="Y745" s="220"/>
      <c r="Z745" s="220"/>
      <c r="AA745" s="220"/>
      <c r="AB745" s="220"/>
      <c r="AC745" s="220"/>
      <c r="AD745" s="220"/>
      <c r="AE745" s="220"/>
      <c r="AF745" s="220"/>
      <c r="AG745" s="220"/>
      <c r="AH745" s="220"/>
      <c r="AI745" s="220"/>
      <c r="AJ745" s="220"/>
      <c r="AK745" s="220"/>
      <c r="AL745" s="220"/>
    </row>
    <row r="746" ht="15.75" customHeight="1">
      <c r="A746" s="220"/>
      <c r="B746" s="220"/>
      <c r="C746" s="220"/>
      <c r="D746" s="220"/>
      <c r="E746" s="220"/>
      <c r="F746" s="220"/>
      <c r="G746" s="220"/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  <c r="W746" s="220"/>
      <c r="X746" s="220"/>
      <c r="Y746" s="220"/>
      <c r="Z746" s="220"/>
      <c r="AA746" s="220"/>
      <c r="AB746" s="220"/>
      <c r="AC746" s="220"/>
      <c r="AD746" s="220"/>
      <c r="AE746" s="220"/>
      <c r="AF746" s="220"/>
      <c r="AG746" s="220"/>
      <c r="AH746" s="220"/>
      <c r="AI746" s="220"/>
      <c r="AJ746" s="220"/>
      <c r="AK746" s="220"/>
      <c r="AL746" s="220"/>
    </row>
    <row r="747" ht="15.75" customHeight="1">
      <c r="A747" s="220"/>
      <c r="B747" s="220"/>
      <c r="C747" s="220"/>
      <c r="D747" s="220"/>
      <c r="E747" s="220"/>
      <c r="F747" s="220"/>
      <c r="G747" s="220"/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  <c r="W747" s="220"/>
      <c r="X747" s="220"/>
      <c r="Y747" s="220"/>
      <c r="Z747" s="220"/>
      <c r="AA747" s="220"/>
      <c r="AB747" s="220"/>
      <c r="AC747" s="220"/>
      <c r="AD747" s="220"/>
      <c r="AE747" s="220"/>
      <c r="AF747" s="220"/>
      <c r="AG747" s="220"/>
      <c r="AH747" s="220"/>
      <c r="AI747" s="220"/>
      <c r="AJ747" s="220"/>
      <c r="AK747" s="220"/>
      <c r="AL747" s="220"/>
    </row>
    <row r="748" ht="15.75" customHeight="1">
      <c r="A748" s="220"/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220"/>
      <c r="Y748" s="220"/>
      <c r="Z748" s="220"/>
      <c r="AA748" s="220"/>
      <c r="AB748" s="220"/>
      <c r="AC748" s="220"/>
      <c r="AD748" s="220"/>
      <c r="AE748" s="220"/>
      <c r="AF748" s="220"/>
      <c r="AG748" s="220"/>
      <c r="AH748" s="220"/>
      <c r="AI748" s="220"/>
      <c r="AJ748" s="220"/>
      <c r="AK748" s="220"/>
      <c r="AL748" s="220"/>
    </row>
    <row r="749" ht="15.75" customHeight="1">
      <c r="A749" s="220"/>
      <c r="B749" s="220"/>
      <c r="C749" s="220"/>
      <c r="D749" s="220"/>
      <c r="E749" s="220"/>
      <c r="F749" s="220"/>
      <c r="G749" s="220"/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  <c r="W749" s="220"/>
      <c r="X749" s="220"/>
      <c r="Y749" s="220"/>
      <c r="Z749" s="220"/>
      <c r="AA749" s="220"/>
      <c r="AB749" s="220"/>
      <c r="AC749" s="220"/>
      <c r="AD749" s="220"/>
      <c r="AE749" s="220"/>
      <c r="AF749" s="220"/>
      <c r="AG749" s="220"/>
      <c r="AH749" s="220"/>
      <c r="AI749" s="220"/>
      <c r="AJ749" s="220"/>
      <c r="AK749" s="220"/>
      <c r="AL749" s="220"/>
    </row>
    <row r="750" ht="15.75" customHeight="1">
      <c r="A750" s="220"/>
      <c r="B750" s="220"/>
      <c r="C750" s="220"/>
      <c r="D750" s="220"/>
      <c r="E750" s="220"/>
      <c r="F750" s="220"/>
      <c r="G750" s="220"/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  <c r="W750" s="220"/>
      <c r="X750" s="220"/>
      <c r="Y750" s="220"/>
      <c r="Z750" s="220"/>
      <c r="AA750" s="220"/>
      <c r="AB750" s="220"/>
      <c r="AC750" s="220"/>
      <c r="AD750" s="220"/>
      <c r="AE750" s="220"/>
      <c r="AF750" s="220"/>
      <c r="AG750" s="220"/>
      <c r="AH750" s="220"/>
      <c r="AI750" s="220"/>
      <c r="AJ750" s="220"/>
      <c r="AK750" s="220"/>
      <c r="AL750" s="220"/>
    </row>
    <row r="751" ht="15.75" customHeight="1">
      <c r="A751" s="220"/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  <c r="W751" s="220"/>
      <c r="X751" s="220"/>
      <c r="Y751" s="220"/>
      <c r="Z751" s="220"/>
      <c r="AA751" s="220"/>
      <c r="AB751" s="220"/>
      <c r="AC751" s="220"/>
      <c r="AD751" s="220"/>
      <c r="AE751" s="220"/>
      <c r="AF751" s="220"/>
      <c r="AG751" s="220"/>
      <c r="AH751" s="220"/>
      <c r="AI751" s="220"/>
      <c r="AJ751" s="220"/>
      <c r="AK751" s="220"/>
      <c r="AL751" s="220"/>
    </row>
    <row r="752" ht="15.75" customHeight="1">
      <c r="A752" s="220"/>
      <c r="B752" s="220"/>
      <c r="C752" s="220"/>
      <c r="D752" s="220"/>
      <c r="E752" s="220"/>
      <c r="F752" s="220"/>
      <c r="G752" s="220"/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  <c r="W752" s="220"/>
      <c r="X752" s="220"/>
      <c r="Y752" s="220"/>
      <c r="Z752" s="220"/>
      <c r="AA752" s="220"/>
      <c r="AB752" s="220"/>
      <c r="AC752" s="220"/>
      <c r="AD752" s="220"/>
      <c r="AE752" s="220"/>
      <c r="AF752" s="220"/>
      <c r="AG752" s="220"/>
      <c r="AH752" s="220"/>
      <c r="AI752" s="220"/>
      <c r="AJ752" s="220"/>
      <c r="AK752" s="220"/>
      <c r="AL752" s="220"/>
    </row>
    <row r="753" ht="15.75" customHeight="1">
      <c r="A753" s="220"/>
      <c r="B753" s="220"/>
      <c r="C753" s="220"/>
      <c r="D753" s="220"/>
      <c r="E753" s="220"/>
      <c r="F753" s="220"/>
      <c r="G753" s="220"/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  <c r="W753" s="220"/>
      <c r="X753" s="220"/>
      <c r="Y753" s="220"/>
      <c r="Z753" s="220"/>
      <c r="AA753" s="220"/>
      <c r="AB753" s="220"/>
      <c r="AC753" s="220"/>
      <c r="AD753" s="220"/>
      <c r="AE753" s="220"/>
      <c r="AF753" s="220"/>
      <c r="AG753" s="220"/>
      <c r="AH753" s="220"/>
      <c r="AI753" s="220"/>
      <c r="AJ753" s="220"/>
      <c r="AK753" s="220"/>
      <c r="AL753" s="220"/>
    </row>
    <row r="754" ht="15.75" customHeight="1">
      <c r="A754" s="220"/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  <c r="W754" s="220"/>
      <c r="X754" s="220"/>
      <c r="Y754" s="220"/>
      <c r="Z754" s="220"/>
      <c r="AA754" s="220"/>
      <c r="AB754" s="220"/>
      <c r="AC754" s="220"/>
      <c r="AD754" s="220"/>
      <c r="AE754" s="220"/>
      <c r="AF754" s="220"/>
      <c r="AG754" s="220"/>
      <c r="AH754" s="220"/>
      <c r="AI754" s="220"/>
      <c r="AJ754" s="220"/>
      <c r="AK754" s="220"/>
      <c r="AL754" s="220"/>
    </row>
    <row r="755" ht="15.75" customHeight="1">
      <c r="A755" s="220"/>
      <c r="B755" s="220"/>
      <c r="C755" s="220"/>
      <c r="D755" s="220"/>
      <c r="E755" s="220"/>
      <c r="F755" s="220"/>
      <c r="G755" s="220"/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  <c r="W755" s="220"/>
      <c r="X755" s="220"/>
      <c r="Y755" s="220"/>
      <c r="Z755" s="220"/>
      <c r="AA755" s="220"/>
      <c r="AB755" s="220"/>
      <c r="AC755" s="220"/>
      <c r="AD755" s="220"/>
      <c r="AE755" s="220"/>
      <c r="AF755" s="220"/>
      <c r="AG755" s="220"/>
      <c r="AH755" s="220"/>
      <c r="AI755" s="220"/>
      <c r="AJ755" s="220"/>
      <c r="AK755" s="220"/>
      <c r="AL755" s="220"/>
    </row>
    <row r="756" ht="15.75" customHeight="1">
      <c r="A756" s="220"/>
      <c r="B756" s="220"/>
      <c r="C756" s="220"/>
      <c r="D756" s="220"/>
      <c r="E756" s="220"/>
      <c r="F756" s="220"/>
      <c r="G756" s="220"/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  <c r="W756" s="220"/>
      <c r="X756" s="220"/>
      <c r="Y756" s="220"/>
      <c r="Z756" s="220"/>
      <c r="AA756" s="220"/>
      <c r="AB756" s="220"/>
      <c r="AC756" s="220"/>
      <c r="AD756" s="220"/>
      <c r="AE756" s="220"/>
      <c r="AF756" s="220"/>
      <c r="AG756" s="220"/>
      <c r="AH756" s="220"/>
      <c r="AI756" s="220"/>
      <c r="AJ756" s="220"/>
      <c r="AK756" s="220"/>
      <c r="AL756" s="220"/>
    </row>
    <row r="757" ht="15.75" customHeight="1">
      <c r="A757" s="220"/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  <c r="W757" s="220"/>
      <c r="X757" s="220"/>
      <c r="Y757" s="220"/>
      <c r="Z757" s="220"/>
      <c r="AA757" s="220"/>
      <c r="AB757" s="220"/>
      <c r="AC757" s="220"/>
      <c r="AD757" s="220"/>
      <c r="AE757" s="220"/>
      <c r="AF757" s="220"/>
      <c r="AG757" s="220"/>
      <c r="AH757" s="220"/>
      <c r="AI757" s="220"/>
      <c r="AJ757" s="220"/>
      <c r="AK757" s="220"/>
      <c r="AL757" s="220"/>
    </row>
    <row r="758" ht="15.75" customHeight="1">
      <c r="A758" s="220"/>
      <c r="B758" s="220"/>
      <c r="C758" s="220"/>
      <c r="D758" s="220"/>
      <c r="E758" s="220"/>
      <c r="F758" s="220"/>
      <c r="G758" s="220"/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  <c r="W758" s="220"/>
      <c r="X758" s="220"/>
      <c r="Y758" s="220"/>
      <c r="Z758" s="220"/>
      <c r="AA758" s="220"/>
      <c r="AB758" s="220"/>
      <c r="AC758" s="220"/>
      <c r="AD758" s="220"/>
      <c r="AE758" s="220"/>
      <c r="AF758" s="220"/>
      <c r="AG758" s="220"/>
      <c r="AH758" s="220"/>
      <c r="AI758" s="220"/>
      <c r="AJ758" s="220"/>
      <c r="AK758" s="220"/>
      <c r="AL758" s="220"/>
    </row>
    <row r="759" ht="15.75" customHeight="1">
      <c r="A759" s="220"/>
      <c r="B759" s="220"/>
      <c r="C759" s="220"/>
      <c r="D759" s="220"/>
      <c r="E759" s="220"/>
      <c r="F759" s="220"/>
      <c r="G759" s="220"/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  <c r="W759" s="220"/>
      <c r="X759" s="220"/>
      <c r="Y759" s="220"/>
      <c r="Z759" s="220"/>
      <c r="AA759" s="220"/>
      <c r="AB759" s="220"/>
      <c r="AC759" s="220"/>
      <c r="AD759" s="220"/>
      <c r="AE759" s="220"/>
      <c r="AF759" s="220"/>
      <c r="AG759" s="220"/>
      <c r="AH759" s="220"/>
      <c r="AI759" s="220"/>
      <c r="AJ759" s="220"/>
      <c r="AK759" s="220"/>
      <c r="AL759" s="220"/>
    </row>
    <row r="760" ht="15.75" customHeight="1">
      <c r="A760" s="220"/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  <c r="W760" s="220"/>
      <c r="X760" s="220"/>
      <c r="Y760" s="220"/>
      <c r="Z760" s="220"/>
      <c r="AA760" s="220"/>
      <c r="AB760" s="220"/>
      <c r="AC760" s="220"/>
      <c r="AD760" s="220"/>
      <c r="AE760" s="220"/>
      <c r="AF760" s="220"/>
      <c r="AG760" s="220"/>
      <c r="AH760" s="220"/>
      <c r="AI760" s="220"/>
      <c r="AJ760" s="220"/>
      <c r="AK760" s="220"/>
      <c r="AL760" s="220"/>
    </row>
    <row r="761" ht="15.75" customHeight="1">
      <c r="A761" s="220"/>
      <c r="B761" s="220"/>
      <c r="C761" s="220"/>
      <c r="D761" s="220"/>
      <c r="E761" s="220"/>
      <c r="F761" s="220"/>
      <c r="G761" s="220"/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  <c r="W761" s="220"/>
      <c r="X761" s="220"/>
      <c r="Y761" s="220"/>
      <c r="Z761" s="220"/>
      <c r="AA761" s="220"/>
      <c r="AB761" s="220"/>
      <c r="AC761" s="220"/>
      <c r="AD761" s="220"/>
      <c r="AE761" s="220"/>
      <c r="AF761" s="220"/>
      <c r="AG761" s="220"/>
      <c r="AH761" s="220"/>
      <c r="AI761" s="220"/>
      <c r="AJ761" s="220"/>
      <c r="AK761" s="220"/>
      <c r="AL761" s="220"/>
    </row>
    <row r="762" ht="15.75" customHeight="1">
      <c r="A762" s="220"/>
      <c r="B762" s="220"/>
      <c r="C762" s="220"/>
      <c r="D762" s="220"/>
      <c r="E762" s="220"/>
      <c r="F762" s="220"/>
      <c r="G762" s="220"/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  <c r="W762" s="220"/>
      <c r="X762" s="220"/>
      <c r="Y762" s="220"/>
      <c r="Z762" s="220"/>
      <c r="AA762" s="220"/>
      <c r="AB762" s="220"/>
      <c r="AC762" s="220"/>
      <c r="AD762" s="220"/>
      <c r="AE762" s="220"/>
      <c r="AF762" s="220"/>
      <c r="AG762" s="220"/>
      <c r="AH762" s="220"/>
      <c r="AI762" s="220"/>
      <c r="AJ762" s="220"/>
      <c r="AK762" s="220"/>
      <c r="AL762" s="220"/>
    </row>
    <row r="763" ht="15.75" customHeight="1">
      <c r="A763" s="220"/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  <c r="W763" s="220"/>
      <c r="X763" s="220"/>
      <c r="Y763" s="220"/>
      <c r="Z763" s="220"/>
      <c r="AA763" s="220"/>
      <c r="AB763" s="220"/>
      <c r="AC763" s="220"/>
      <c r="AD763" s="220"/>
      <c r="AE763" s="220"/>
      <c r="AF763" s="220"/>
      <c r="AG763" s="220"/>
      <c r="AH763" s="220"/>
      <c r="AI763" s="220"/>
      <c r="AJ763" s="220"/>
      <c r="AK763" s="220"/>
      <c r="AL763" s="220"/>
    </row>
    <row r="764" ht="15.75" customHeight="1">
      <c r="A764" s="220"/>
      <c r="B764" s="220"/>
      <c r="C764" s="220"/>
      <c r="D764" s="220"/>
      <c r="E764" s="220"/>
      <c r="F764" s="220"/>
      <c r="G764" s="220"/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220"/>
      <c r="Y764" s="220"/>
      <c r="Z764" s="220"/>
      <c r="AA764" s="220"/>
      <c r="AB764" s="220"/>
      <c r="AC764" s="220"/>
      <c r="AD764" s="220"/>
      <c r="AE764" s="220"/>
      <c r="AF764" s="220"/>
      <c r="AG764" s="220"/>
      <c r="AH764" s="220"/>
      <c r="AI764" s="220"/>
      <c r="AJ764" s="220"/>
      <c r="AK764" s="220"/>
      <c r="AL764" s="220"/>
    </row>
    <row r="765" ht="15.75" customHeight="1">
      <c r="A765" s="220"/>
      <c r="B765" s="220"/>
      <c r="C765" s="220"/>
      <c r="D765" s="220"/>
      <c r="E765" s="220"/>
      <c r="F765" s="220"/>
      <c r="G765" s="220"/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  <c r="W765" s="220"/>
      <c r="X765" s="220"/>
      <c r="Y765" s="220"/>
      <c r="Z765" s="220"/>
      <c r="AA765" s="220"/>
      <c r="AB765" s="220"/>
      <c r="AC765" s="220"/>
      <c r="AD765" s="220"/>
      <c r="AE765" s="220"/>
      <c r="AF765" s="220"/>
      <c r="AG765" s="220"/>
      <c r="AH765" s="220"/>
      <c r="AI765" s="220"/>
      <c r="AJ765" s="220"/>
      <c r="AK765" s="220"/>
      <c r="AL765" s="220"/>
    </row>
    <row r="766" ht="15.75" customHeight="1">
      <c r="A766" s="220"/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220"/>
      <c r="Y766" s="220"/>
      <c r="Z766" s="220"/>
      <c r="AA766" s="220"/>
      <c r="AB766" s="220"/>
      <c r="AC766" s="220"/>
      <c r="AD766" s="220"/>
      <c r="AE766" s="220"/>
      <c r="AF766" s="220"/>
      <c r="AG766" s="220"/>
      <c r="AH766" s="220"/>
      <c r="AI766" s="220"/>
      <c r="AJ766" s="220"/>
      <c r="AK766" s="220"/>
      <c r="AL766" s="220"/>
    </row>
    <row r="767" ht="15.75" customHeight="1">
      <c r="A767" s="220"/>
      <c r="B767" s="220"/>
      <c r="C767" s="220"/>
      <c r="D767" s="220"/>
      <c r="E767" s="220"/>
      <c r="F767" s="220"/>
      <c r="G767" s="220"/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  <c r="W767" s="220"/>
      <c r="X767" s="220"/>
      <c r="Y767" s="220"/>
      <c r="Z767" s="220"/>
      <c r="AA767" s="220"/>
      <c r="AB767" s="220"/>
      <c r="AC767" s="220"/>
      <c r="AD767" s="220"/>
      <c r="AE767" s="220"/>
      <c r="AF767" s="220"/>
      <c r="AG767" s="220"/>
      <c r="AH767" s="220"/>
      <c r="AI767" s="220"/>
      <c r="AJ767" s="220"/>
      <c r="AK767" s="220"/>
      <c r="AL767" s="220"/>
    </row>
    <row r="768" ht="15.75" customHeight="1">
      <c r="A768" s="220"/>
      <c r="B768" s="220"/>
      <c r="C768" s="220"/>
      <c r="D768" s="220"/>
      <c r="E768" s="220"/>
      <c r="F768" s="220"/>
      <c r="G768" s="220"/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  <c r="W768" s="220"/>
      <c r="X768" s="220"/>
      <c r="Y768" s="220"/>
      <c r="Z768" s="220"/>
      <c r="AA768" s="220"/>
      <c r="AB768" s="220"/>
      <c r="AC768" s="220"/>
      <c r="AD768" s="220"/>
      <c r="AE768" s="220"/>
      <c r="AF768" s="220"/>
      <c r="AG768" s="220"/>
      <c r="AH768" s="220"/>
      <c r="AI768" s="220"/>
      <c r="AJ768" s="220"/>
      <c r="AK768" s="220"/>
      <c r="AL768" s="220"/>
    </row>
    <row r="769" ht="15.75" customHeight="1">
      <c r="A769" s="220"/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  <c r="W769" s="220"/>
      <c r="X769" s="220"/>
      <c r="Y769" s="220"/>
      <c r="Z769" s="220"/>
      <c r="AA769" s="220"/>
      <c r="AB769" s="220"/>
      <c r="AC769" s="220"/>
      <c r="AD769" s="220"/>
      <c r="AE769" s="220"/>
      <c r="AF769" s="220"/>
      <c r="AG769" s="220"/>
      <c r="AH769" s="220"/>
      <c r="AI769" s="220"/>
      <c r="AJ769" s="220"/>
      <c r="AK769" s="220"/>
      <c r="AL769" s="220"/>
    </row>
    <row r="770" ht="15.75" customHeight="1">
      <c r="A770" s="220"/>
      <c r="B770" s="220"/>
      <c r="C770" s="220"/>
      <c r="D770" s="220"/>
      <c r="E770" s="220"/>
      <c r="F770" s="220"/>
      <c r="G770" s="220"/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  <c r="W770" s="220"/>
      <c r="X770" s="220"/>
      <c r="Y770" s="220"/>
      <c r="Z770" s="220"/>
      <c r="AA770" s="220"/>
      <c r="AB770" s="220"/>
      <c r="AC770" s="220"/>
      <c r="AD770" s="220"/>
      <c r="AE770" s="220"/>
      <c r="AF770" s="220"/>
      <c r="AG770" s="220"/>
      <c r="AH770" s="220"/>
      <c r="AI770" s="220"/>
      <c r="AJ770" s="220"/>
      <c r="AK770" s="220"/>
      <c r="AL770" s="220"/>
    </row>
    <row r="771" ht="15.75" customHeight="1">
      <c r="A771" s="220"/>
      <c r="B771" s="220"/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  <c r="W771" s="220"/>
      <c r="X771" s="220"/>
      <c r="Y771" s="220"/>
      <c r="Z771" s="220"/>
      <c r="AA771" s="220"/>
      <c r="AB771" s="220"/>
      <c r="AC771" s="220"/>
      <c r="AD771" s="220"/>
      <c r="AE771" s="220"/>
      <c r="AF771" s="220"/>
      <c r="AG771" s="220"/>
      <c r="AH771" s="220"/>
      <c r="AI771" s="220"/>
      <c r="AJ771" s="220"/>
      <c r="AK771" s="220"/>
      <c r="AL771" s="220"/>
    </row>
    <row r="772" ht="15.75" customHeight="1">
      <c r="A772" s="220"/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  <c r="W772" s="220"/>
      <c r="X772" s="220"/>
      <c r="Y772" s="220"/>
      <c r="Z772" s="220"/>
      <c r="AA772" s="220"/>
      <c r="AB772" s="220"/>
      <c r="AC772" s="220"/>
      <c r="AD772" s="220"/>
      <c r="AE772" s="220"/>
      <c r="AF772" s="220"/>
      <c r="AG772" s="220"/>
      <c r="AH772" s="220"/>
      <c r="AI772" s="220"/>
      <c r="AJ772" s="220"/>
      <c r="AK772" s="220"/>
      <c r="AL772" s="220"/>
    </row>
    <row r="773" ht="15.75" customHeight="1">
      <c r="A773" s="220"/>
      <c r="B773" s="220"/>
      <c r="C773" s="220"/>
      <c r="D773" s="220"/>
      <c r="E773" s="220"/>
      <c r="F773" s="220"/>
      <c r="G773" s="220"/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  <c r="W773" s="220"/>
      <c r="X773" s="220"/>
      <c r="Y773" s="220"/>
      <c r="Z773" s="220"/>
      <c r="AA773" s="220"/>
      <c r="AB773" s="220"/>
      <c r="AC773" s="220"/>
      <c r="AD773" s="220"/>
      <c r="AE773" s="220"/>
      <c r="AF773" s="220"/>
      <c r="AG773" s="220"/>
      <c r="AH773" s="220"/>
      <c r="AI773" s="220"/>
      <c r="AJ773" s="220"/>
      <c r="AK773" s="220"/>
      <c r="AL773" s="220"/>
    </row>
    <row r="774" ht="15.75" customHeight="1">
      <c r="A774" s="220"/>
      <c r="B774" s="220"/>
      <c r="C774" s="220"/>
      <c r="D774" s="220"/>
      <c r="E774" s="220"/>
      <c r="F774" s="220"/>
      <c r="G774" s="220"/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  <c r="W774" s="220"/>
      <c r="X774" s="220"/>
      <c r="Y774" s="220"/>
      <c r="Z774" s="220"/>
      <c r="AA774" s="220"/>
      <c r="AB774" s="220"/>
      <c r="AC774" s="220"/>
      <c r="AD774" s="220"/>
      <c r="AE774" s="220"/>
      <c r="AF774" s="220"/>
      <c r="AG774" s="220"/>
      <c r="AH774" s="220"/>
      <c r="AI774" s="220"/>
      <c r="AJ774" s="220"/>
      <c r="AK774" s="220"/>
      <c r="AL774" s="220"/>
    </row>
    <row r="775" ht="15.75" customHeight="1">
      <c r="A775" s="220"/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  <c r="W775" s="220"/>
      <c r="X775" s="220"/>
      <c r="Y775" s="220"/>
      <c r="Z775" s="220"/>
      <c r="AA775" s="220"/>
      <c r="AB775" s="220"/>
      <c r="AC775" s="220"/>
      <c r="AD775" s="220"/>
      <c r="AE775" s="220"/>
      <c r="AF775" s="220"/>
      <c r="AG775" s="220"/>
      <c r="AH775" s="220"/>
      <c r="AI775" s="220"/>
      <c r="AJ775" s="220"/>
      <c r="AK775" s="220"/>
      <c r="AL775" s="220"/>
    </row>
    <row r="776" ht="15.75" customHeight="1">
      <c r="A776" s="220"/>
      <c r="B776" s="220"/>
      <c r="C776" s="220"/>
      <c r="D776" s="220"/>
      <c r="E776" s="220"/>
      <c r="F776" s="220"/>
      <c r="G776" s="220"/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  <c r="W776" s="220"/>
      <c r="X776" s="220"/>
      <c r="Y776" s="220"/>
      <c r="Z776" s="220"/>
      <c r="AA776" s="220"/>
      <c r="AB776" s="220"/>
      <c r="AC776" s="220"/>
      <c r="AD776" s="220"/>
      <c r="AE776" s="220"/>
      <c r="AF776" s="220"/>
      <c r="AG776" s="220"/>
      <c r="AH776" s="220"/>
      <c r="AI776" s="220"/>
      <c r="AJ776" s="220"/>
      <c r="AK776" s="220"/>
      <c r="AL776" s="220"/>
    </row>
    <row r="777" ht="15.75" customHeight="1">
      <c r="A777" s="220"/>
      <c r="B777" s="220"/>
      <c r="C777" s="220"/>
      <c r="D777" s="220"/>
      <c r="E777" s="220"/>
      <c r="F777" s="220"/>
      <c r="G777" s="220"/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  <c r="W777" s="220"/>
      <c r="X777" s="220"/>
      <c r="Y777" s="220"/>
      <c r="Z777" s="220"/>
      <c r="AA777" s="220"/>
      <c r="AB777" s="220"/>
      <c r="AC777" s="220"/>
      <c r="AD777" s="220"/>
      <c r="AE777" s="220"/>
      <c r="AF777" s="220"/>
      <c r="AG777" s="220"/>
      <c r="AH777" s="220"/>
      <c r="AI777" s="220"/>
      <c r="AJ777" s="220"/>
      <c r="AK777" s="220"/>
      <c r="AL777" s="220"/>
    </row>
    <row r="778" ht="15.75" customHeight="1">
      <c r="A778" s="220"/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  <c r="W778" s="220"/>
      <c r="X778" s="220"/>
      <c r="Y778" s="220"/>
      <c r="Z778" s="220"/>
      <c r="AA778" s="220"/>
      <c r="AB778" s="220"/>
      <c r="AC778" s="220"/>
      <c r="AD778" s="220"/>
      <c r="AE778" s="220"/>
      <c r="AF778" s="220"/>
      <c r="AG778" s="220"/>
      <c r="AH778" s="220"/>
      <c r="AI778" s="220"/>
      <c r="AJ778" s="220"/>
      <c r="AK778" s="220"/>
      <c r="AL778" s="220"/>
    </row>
    <row r="779" ht="15.75" customHeight="1">
      <c r="A779" s="220"/>
      <c r="B779" s="220"/>
      <c r="C779" s="220"/>
      <c r="D779" s="220"/>
      <c r="E779" s="220"/>
      <c r="F779" s="220"/>
      <c r="G779" s="220"/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  <c r="W779" s="220"/>
      <c r="X779" s="220"/>
      <c r="Y779" s="220"/>
      <c r="Z779" s="220"/>
      <c r="AA779" s="220"/>
      <c r="AB779" s="220"/>
      <c r="AC779" s="220"/>
      <c r="AD779" s="220"/>
      <c r="AE779" s="220"/>
      <c r="AF779" s="220"/>
      <c r="AG779" s="220"/>
      <c r="AH779" s="220"/>
      <c r="AI779" s="220"/>
      <c r="AJ779" s="220"/>
      <c r="AK779" s="220"/>
      <c r="AL779" s="220"/>
    </row>
    <row r="780" ht="15.75" customHeight="1">
      <c r="A780" s="220"/>
      <c r="B780" s="220"/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  <c r="W780" s="220"/>
      <c r="X780" s="220"/>
      <c r="Y780" s="220"/>
      <c r="Z780" s="220"/>
      <c r="AA780" s="220"/>
      <c r="AB780" s="220"/>
      <c r="AC780" s="220"/>
      <c r="AD780" s="220"/>
      <c r="AE780" s="220"/>
      <c r="AF780" s="220"/>
      <c r="AG780" s="220"/>
      <c r="AH780" s="220"/>
      <c r="AI780" s="220"/>
      <c r="AJ780" s="220"/>
      <c r="AK780" s="220"/>
      <c r="AL780" s="220"/>
    </row>
    <row r="781" ht="15.75" customHeight="1">
      <c r="A781" s="220"/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220"/>
      <c r="Y781" s="220"/>
      <c r="Z781" s="220"/>
      <c r="AA781" s="220"/>
      <c r="AB781" s="220"/>
      <c r="AC781" s="220"/>
      <c r="AD781" s="220"/>
      <c r="AE781" s="220"/>
      <c r="AF781" s="220"/>
      <c r="AG781" s="220"/>
      <c r="AH781" s="220"/>
      <c r="AI781" s="220"/>
      <c r="AJ781" s="220"/>
      <c r="AK781" s="220"/>
      <c r="AL781" s="220"/>
    </row>
    <row r="782" ht="15.75" customHeight="1">
      <c r="A782" s="220"/>
      <c r="B782" s="220"/>
      <c r="C782" s="220"/>
      <c r="D782" s="220"/>
      <c r="E782" s="220"/>
      <c r="F782" s="220"/>
      <c r="G782" s="220"/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  <c r="W782" s="220"/>
      <c r="X782" s="220"/>
      <c r="Y782" s="220"/>
      <c r="Z782" s="220"/>
      <c r="AA782" s="220"/>
      <c r="AB782" s="220"/>
      <c r="AC782" s="220"/>
      <c r="AD782" s="220"/>
      <c r="AE782" s="220"/>
      <c r="AF782" s="220"/>
      <c r="AG782" s="220"/>
      <c r="AH782" s="220"/>
      <c r="AI782" s="220"/>
      <c r="AJ782" s="220"/>
      <c r="AK782" s="220"/>
      <c r="AL782" s="220"/>
    </row>
    <row r="783" ht="15.75" customHeight="1">
      <c r="A783" s="220"/>
      <c r="B783" s="220"/>
      <c r="C783" s="220"/>
      <c r="D783" s="220"/>
      <c r="E783" s="220"/>
      <c r="F783" s="220"/>
      <c r="G783" s="220"/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  <c r="W783" s="220"/>
      <c r="X783" s="220"/>
      <c r="Y783" s="220"/>
      <c r="Z783" s="220"/>
      <c r="AA783" s="220"/>
      <c r="AB783" s="220"/>
      <c r="AC783" s="220"/>
      <c r="AD783" s="220"/>
      <c r="AE783" s="220"/>
      <c r="AF783" s="220"/>
      <c r="AG783" s="220"/>
      <c r="AH783" s="220"/>
      <c r="AI783" s="220"/>
      <c r="AJ783" s="220"/>
      <c r="AK783" s="220"/>
      <c r="AL783" s="220"/>
    </row>
    <row r="784" ht="15.75" customHeight="1">
      <c r="A784" s="220"/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  <c r="W784" s="220"/>
      <c r="X784" s="220"/>
      <c r="Y784" s="220"/>
      <c r="Z784" s="220"/>
      <c r="AA784" s="220"/>
      <c r="AB784" s="220"/>
      <c r="AC784" s="220"/>
      <c r="AD784" s="220"/>
      <c r="AE784" s="220"/>
      <c r="AF784" s="220"/>
      <c r="AG784" s="220"/>
      <c r="AH784" s="220"/>
      <c r="AI784" s="220"/>
      <c r="AJ784" s="220"/>
      <c r="AK784" s="220"/>
      <c r="AL784" s="220"/>
    </row>
    <row r="785" ht="15.75" customHeight="1">
      <c r="A785" s="220"/>
      <c r="B785" s="220"/>
      <c r="C785" s="220"/>
      <c r="D785" s="220"/>
      <c r="E785" s="220"/>
      <c r="F785" s="220"/>
      <c r="G785" s="220"/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  <c r="W785" s="220"/>
      <c r="X785" s="220"/>
      <c r="Y785" s="220"/>
      <c r="Z785" s="220"/>
      <c r="AA785" s="220"/>
      <c r="AB785" s="220"/>
      <c r="AC785" s="220"/>
      <c r="AD785" s="220"/>
      <c r="AE785" s="220"/>
      <c r="AF785" s="220"/>
      <c r="AG785" s="220"/>
      <c r="AH785" s="220"/>
      <c r="AI785" s="220"/>
      <c r="AJ785" s="220"/>
      <c r="AK785" s="220"/>
      <c r="AL785" s="220"/>
    </row>
    <row r="786" ht="15.75" customHeight="1">
      <c r="A786" s="220"/>
      <c r="B786" s="220"/>
      <c r="C786" s="220"/>
      <c r="D786" s="220"/>
      <c r="E786" s="220"/>
      <c r="F786" s="220"/>
      <c r="G786" s="220"/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  <c r="W786" s="220"/>
      <c r="X786" s="220"/>
      <c r="Y786" s="220"/>
      <c r="Z786" s="220"/>
      <c r="AA786" s="220"/>
      <c r="AB786" s="220"/>
      <c r="AC786" s="220"/>
      <c r="AD786" s="220"/>
      <c r="AE786" s="220"/>
      <c r="AF786" s="220"/>
      <c r="AG786" s="220"/>
      <c r="AH786" s="220"/>
      <c r="AI786" s="220"/>
      <c r="AJ786" s="220"/>
      <c r="AK786" s="220"/>
      <c r="AL786" s="220"/>
    </row>
    <row r="787" ht="15.75" customHeight="1">
      <c r="A787" s="220"/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  <c r="W787" s="220"/>
      <c r="X787" s="220"/>
      <c r="Y787" s="220"/>
      <c r="Z787" s="220"/>
      <c r="AA787" s="220"/>
      <c r="AB787" s="220"/>
      <c r="AC787" s="220"/>
      <c r="AD787" s="220"/>
      <c r="AE787" s="220"/>
      <c r="AF787" s="220"/>
      <c r="AG787" s="220"/>
      <c r="AH787" s="220"/>
      <c r="AI787" s="220"/>
      <c r="AJ787" s="220"/>
      <c r="AK787" s="220"/>
      <c r="AL787" s="220"/>
    </row>
    <row r="788" ht="15.75" customHeight="1">
      <c r="A788" s="220"/>
      <c r="B788" s="220"/>
      <c r="C788" s="220"/>
      <c r="D788" s="220"/>
      <c r="E788" s="220"/>
      <c r="F788" s="220"/>
      <c r="G788" s="220"/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  <c r="W788" s="220"/>
      <c r="X788" s="220"/>
      <c r="Y788" s="220"/>
      <c r="Z788" s="220"/>
      <c r="AA788" s="220"/>
      <c r="AB788" s="220"/>
      <c r="AC788" s="220"/>
      <c r="AD788" s="220"/>
      <c r="AE788" s="220"/>
      <c r="AF788" s="220"/>
      <c r="AG788" s="220"/>
      <c r="AH788" s="220"/>
      <c r="AI788" s="220"/>
      <c r="AJ788" s="220"/>
      <c r="AK788" s="220"/>
      <c r="AL788" s="220"/>
    </row>
    <row r="789" ht="15.75" customHeight="1">
      <c r="A789" s="220"/>
      <c r="B789" s="220"/>
      <c r="C789" s="220"/>
      <c r="D789" s="220"/>
      <c r="E789" s="220"/>
      <c r="F789" s="220"/>
      <c r="G789" s="220"/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  <c r="W789" s="220"/>
      <c r="X789" s="220"/>
      <c r="Y789" s="220"/>
      <c r="Z789" s="220"/>
      <c r="AA789" s="220"/>
      <c r="AB789" s="220"/>
      <c r="AC789" s="220"/>
      <c r="AD789" s="220"/>
      <c r="AE789" s="220"/>
      <c r="AF789" s="220"/>
      <c r="AG789" s="220"/>
      <c r="AH789" s="220"/>
      <c r="AI789" s="220"/>
      <c r="AJ789" s="220"/>
      <c r="AK789" s="220"/>
      <c r="AL789" s="220"/>
    </row>
    <row r="790" ht="15.75" customHeight="1">
      <c r="A790" s="220"/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  <c r="W790" s="220"/>
      <c r="X790" s="220"/>
      <c r="Y790" s="220"/>
      <c r="Z790" s="220"/>
      <c r="AA790" s="220"/>
      <c r="AB790" s="220"/>
      <c r="AC790" s="220"/>
      <c r="AD790" s="220"/>
      <c r="AE790" s="220"/>
      <c r="AF790" s="220"/>
      <c r="AG790" s="220"/>
      <c r="AH790" s="220"/>
      <c r="AI790" s="220"/>
      <c r="AJ790" s="220"/>
      <c r="AK790" s="220"/>
      <c r="AL790" s="220"/>
    </row>
    <row r="791" ht="15.75" customHeight="1">
      <c r="A791" s="220"/>
      <c r="B791" s="220"/>
      <c r="C791" s="220"/>
      <c r="D791" s="220"/>
      <c r="E791" s="220"/>
      <c r="F791" s="220"/>
      <c r="G791" s="220"/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  <c r="W791" s="220"/>
      <c r="X791" s="220"/>
      <c r="Y791" s="220"/>
      <c r="Z791" s="220"/>
      <c r="AA791" s="220"/>
      <c r="AB791" s="220"/>
      <c r="AC791" s="220"/>
      <c r="AD791" s="220"/>
      <c r="AE791" s="220"/>
      <c r="AF791" s="220"/>
      <c r="AG791" s="220"/>
      <c r="AH791" s="220"/>
      <c r="AI791" s="220"/>
      <c r="AJ791" s="220"/>
      <c r="AK791" s="220"/>
      <c r="AL791" s="220"/>
    </row>
    <row r="792" ht="15.75" customHeight="1">
      <c r="A792" s="220"/>
      <c r="B792" s="220"/>
      <c r="C792" s="220"/>
      <c r="D792" s="220"/>
      <c r="E792" s="220"/>
      <c r="F792" s="220"/>
      <c r="G792" s="220"/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  <c r="W792" s="220"/>
      <c r="X792" s="220"/>
      <c r="Y792" s="220"/>
      <c r="Z792" s="220"/>
      <c r="AA792" s="220"/>
      <c r="AB792" s="220"/>
      <c r="AC792" s="220"/>
      <c r="AD792" s="220"/>
      <c r="AE792" s="220"/>
      <c r="AF792" s="220"/>
      <c r="AG792" s="220"/>
      <c r="AH792" s="220"/>
      <c r="AI792" s="220"/>
      <c r="AJ792" s="220"/>
      <c r="AK792" s="220"/>
      <c r="AL792" s="220"/>
    </row>
    <row r="793" ht="15.75" customHeight="1">
      <c r="A793" s="220"/>
      <c r="B793" s="220"/>
      <c r="C793" s="220"/>
      <c r="D793" s="220"/>
      <c r="E793" s="220"/>
      <c r="F793" s="220"/>
      <c r="G793" s="220"/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  <c r="W793" s="220"/>
      <c r="X793" s="220"/>
      <c r="Y793" s="220"/>
      <c r="Z793" s="220"/>
      <c r="AA793" s="220"/>
      <c r="AB793" s="220"/>
      <c r="AC793" s="220"/>
      <c r="AD793" s="220"/>
      <c r="AE793" s="220"/>
      <c r="AF793" s="220"/>
      <c r="AG793" s="220"/>
      <c r="AH793" s="220"/>
      <c r="AI793" s="220"/>
      <c r="AJ793" s="220"/>
      <c r="AK793" s="220"/>
      <c r="AL793" s="220"/>
    </row>
    <row r="794" ht="15.75" customHeight="1">
      <c r="A794" s="220"/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  <c r="W794" s="220"/>
      <c r="X794" s="220"/>
      <c r="Y794" s="220"/>
      <c r="Z794" s="220"/>
      <c r="AA794" s="220"/>
      <c r="AB794" s="220"/>
      <c r="AC794" s="220"/>
      <c r="AD794" s="220"/>
      <c r="AE794" s="220"/>
      <c r="AF794" s="220"/>
      <c r="AG794" s="220"/>
      <c r="AH794" s="220"/>
      <c r="AI794" s="220"/>
      <c r="AJ794" s="220"/>
      <c r="AK794" s="220"/>
      <c r="AL794" s="220"/>
    </row>
    <row r="795" ht="15.75" customHeight="1">
      <c r="A795" s="220"/>
      <c r="B795" s="220"/>
      <c r="C795" s="220"/>
      <c r="D795" s="220"/>
      <c r="E795" s="220"/>
      <c r="F795" s="220"/>
      <c r="G795" s="220"/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  <c r="W795" s="220"/>
      <c r="X795" s="220"/>
      <c r="Y795" s="220"/>
      <c r="Z795" s="220"/>
      <c r="AA795" s="220"/>
      <c r="AB795" s="220"/>
      <c r="AC795" s="220"/>
      <c r="AD795" s="220"/>
      <c r="AE795" s="220"/>
      <c r="AF795" s="220"/>
      <c r="AG795" s="220"/>
      <c r="AH795" s="220"/>
      <c r="AI795" s="220"/>
      <c r="AJ795" s="220"/>
      <c r="AK795" s="220"/>
      <c r="AL795" s="220"/>
    </row>
    <row r="796" ht="15.75" customHeight="1">
      <c r="A796" s="220"/>
      <c r="B796" s="220"/>
      <c r="C796" s="220"/>
      <c r="D796" s="220"/>
      <c r="E796" s="220"/>
      <c r="F796" s="220"/>
      <c r="G796" s="220"/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  <c r="W796" s="220"/>
      <c r="X796" s="220"/>
      <c r="Y796" s="220"/>
      <c r="Z796" s="220"/>
      <c r="AA796" s="220"/>
      <c r="AB796" s="220"/>
      <c r="AC796" s="220"/>
      <c r="AD796" s="220"/>
      <c r="AE796" s="220"/>
      <c r="AF796" s="220"/>
      <c r="AG796" s="220"/>
      <c r="AH796" s="220"/>
      <c r="AI796" s="220"/>
      <c r="AJ796" s="220"/>
      <c r="AK796" s="220"/>
      <c r="AL796" s="220"/>
    </row>
    <row r="797" ht="15.75" customHeight="1">
      <c r="A797" s="220"/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  <c r="W797" s="220"/>
      <c r="X797" s="220"/>
      <c r="Y797" s="220"/>
      <c r="Z797" s="220"/>
      <c r="AA797" s="220"/>
      <c r="AB797" s="220"/>
      <c r="AC797" s="220"/>
      <c r="AD797" s="220"/>
      <c r="AE797" s="220"/>
      <c r="AF797" s="220"/>
      <c r="AG797" s="220"/>
      <c r="AH797" s="220"/>
      <c r="AI797" s="220"/>
      <c r="AJ797" s="220"/>
      <c r="AK797" s="220"/>
      <c r="AL797" s="220"/>
    </row>
    <row r="798" ht="15.75" customHeight="1">
      <c r="A798" s="220"/>
      <c r="B798" s="220"/>
      <c r="C798" s="220"/>
      <c r="D798" s="220"/>
      <c r="E798" s="220"/>
      <c r="F798" s="220"/>
      <c r="G798" s="220"/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  <c r="W798" s="220"/>
      <c r="X798" s="220"/>
      <c r="Y798" s="220"/>
      <c r="Z798" s="220"/>
      <c r="AA798" s="220"/>
      <c r="AB798" s="220"/>
      <c r="AC798" s="220"/>
      <c r="AD798" s="220"/>
      <c r="AE798" s="220"/>
      <c r="AF798" s="220"/>
      <c r="AG798" s="220"/>
      <c r="AH798" s="220"/>
      <c r="AI798" s="220"/>
      <c r="AJ798" s="220"/>
      <c r="AK798" s="220"/>
      <c r="AL798" s="220"/>
    </row>
    <row r="799" ht="15.75" customHeight="1">
      <c r="A799" s="220"/>
      <c r="B799" s="220"/>
      <c r="C799" s="220"/>
      <c r="D799" s="220"/>
      <c r="E799" s="220"/>
      <c r="F799" s="220"/>
      <c r="G799" s="220"/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  <c r="W799" s="220"/>
      <c r="X799" s="220"/>
      <c r="Y799" s="220"/>
      <c r="Z799" s="220"/>
      <c r="AA799" s="220"/>
      <c r="AB799" s="220"/>
      <c r="AC799" s="220"/>
      <c r="AD799" s="220"/>
      <c r="AE799" s="220"/>
      <c r="AF799" s="220"/>
      <c r="AG799" s="220"/>
      <c r="AH799" s="220"/>
      <c r="AI799" s="220"/>
      <c r="AJ799" s="220"/>
      <c r="AK799" s="220"/>
      <c r="AL799" s="220"/>
    </row>
    <row r="800" ht="15.75" customHeight="1">
      <c r="A800" s="220"/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  <c r="W800" s="220"/>
      <c r="X800" s="220"/>
      <c r="Y800" s="220"/>
      <c r="Z800" s="220"/>
      <c r="AA800" s="220"/>
      <c r="AB800" s="220"/>
      <c r="AC800" s="220"/>
      <c r="AD800" s="220"/>
      <c r="AE800" s="220"/>
      <c r="AF800" s="220"/>
      <c r="AG800" s="220"/>
      <c r="AH800" s="220"/>
      <c r="AI800" s="220"/>
      <c r="AJ800" s="220"/>
      <c r="AK800" s="220"/>
      <c r="AL800" s="220"/>
    </row>
    <row r="801" ht="15.75" customHeight="1">
      <c r="A801" s="220"/>
      <c r="B801" s="220"/>
      <c r="C801" s="220"/>
      <c r="D801" s="220"/>
      <c r="E801" s="220"/>
      <c r="F801" s="220"/>
      <c r="G801" s="220"/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  <c r="W801" s="220"/>
      <c r="X801" s="220"/>
      <c r="Y801" s="220"/>
      <c r="Z801" s="220"/>
      <c r="AA801" s="220"/>
      <c r="AB801" s="220"/>
      <c r="AC801" s="220"/>
      <c r="AD801" s="220"/>
      <c r="AE801" s="220"/>
      <c r="AF801" s="220"/>
      <c r="AG801" s="220"/>
      <c r="AH801" s="220"/>
      <c r="AI801" s="220"/>
      <c r="AJ801" s="220"/>
      <c r="AK801" s="220"/>
      <c r="AL801" s="220"/>
    </row>
    <row r="802" ht="15.75" customHeight="1">
      <c r="A802" s="220"/>
      <c r="B802" s="220"/>
      <c r="C802" s="220"/>
      <c r="D802" s="220"/>
      <c r="E802" s="220"/>
      <c r="F802" s="220"/>
      <c r="G802" s="220"/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  <c r="W802" s="220"/>
      <c r="X802" s="220"/>
      <c r="Y802" s="220"/>
      <c r="Z802" s="220"/>
      <c r="AA802" s="220"/>
      <c r="AB802" s="220"/>
      <c r="AC802" s="220"/>
      <c r="AD802" s="220"/>
      <c r="AE802" s="220"/>
      <c r="AF802" s="220"/>
      <c r="AG802" s="220"/>
      <c r="AH802" s="220"/>
      <c r="AI802" s="220"/>
      <c r="AJ802" s="220"/>
      <c r="AK802" s="220"/>
      <c r="AL802" s="220"/>
    </row>
    <row r="803" ht="15.75" customHeight="1">
      <c r="A803" s="220"/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  <c r="W803" s="220"/>
      <c r="X803" s="220"/>
      <c r="Y803" s="220"/>
      <c r="Z803" s="220"/>
      <c r="AA803" s="220"/>
      <c r="AB803" s="220"/>
      <c r="AC803" s="220"/>
      <c r="AD803" s="220"/>
      <c r="AE803" s="220"/>
      <c r="AF803" s="220"/>
      <c r="AG803" s="220"/>
      <c r="AH803" s="220"/>
      <c r="AI803" s="220"/>
      <c r="AJ803" s="220"/>
      <c r="AK803" s="220"/>
      <c r="AL803" s="220"/>
    </row>
    <row r="804" ht="15.75" customHeight="1">
      <c r="A804" s="220"/>
      <c r="B804" s="220"/>
      <c r="C804" s="220"/>
      <c r="D804" s="220"/>
      <c r="E804" s="220"/>
      <c r="F804" s="220"/>
      <c r="G804" s="220"/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  <c r="W804" s="220"/>
      <c r="X804" s="220"/>
      <c r="Y804" s="220"/>
      <c r="Z804" s="220"/>
      <c r="AA804" s="220"/>
      <c r="AB804" s="220"/>
      <c r="AC804" s="220"/>
      <c r="AD804" s="220"/>
      <c r="AE804" s="220"/>
      <c r="AF804" s="220"/>
      <c r="AG804" s="220"/>
      <c r="AH804" s="220"/>
      <c r="AI804" s="220"/>
      <c r="AJ804" s="220"/>
      <c r="AK804" s="220"/>
      <c r="AL804" s="220"/>
    </row>
    <row r="805" ht="15.75" customHeight="1">
      <c r="A805" s="220"/>
      <c r="B805" s="220"/>
      <c r="C805" s="220"/>
      <c r="D805" s="220"/>
      <c r="E805" s="220"/>
      <c r="F805" s="220"/>
      <c r="G805" s="220"/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  <c r="W805" s="220"/>
      <c r="X805" s="220"/>
      <c r="Y805" s="220"/>
      <c r="Z805" s="220"/>
      <c r="AA805" s="220"/>
      <c r="AB805" s="220"/>
      <c r="AC805" s="220"/>
      <c r="AD805" s="220"/>
      <c r="AE805" s="220"/>
      <c r="AF805" s="220"/>
      <c r="AG805" s="220"/>
      <c r="AH805" s="220"/>
      <c r="AI805" s="220"/>
      <c r="AJ805" s="220"/>
      <c r="AK805" s="220"/>
      <c r="AL805" s="220"/>
    </row>
    <row r="806" ht="15.75" customHeight="1">
      <c r="A806" s="220"/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  <c r="W806" s="220"/>
      <c r="X806" s="220"/>
      <c r="Y806" s="220"/>
      <c r="Z806" s="220"/>
      <c r="AA806" s="220"/>
      <c r="AB806" s="220"/>
      <c r="AC806" s="220"/>
      <c r="AD806" s="220"/>
      <c r="AE806" s="220"/>
      <c r="AF806" s="220"/>
      <c r="AG806" s="220"/>
      <c r="AH806" s="220"/>
      <c r="AI806" s="220"/>
      <c r="AJ806" s="220"/>
      <c r="AK806" s="220"/>
      <c r="AL806" s="220"/>
    </row>
    <row r="807" ht="15.75" customHeight="1">
      <c r="A807" s="220"/>
      <c r="B807" s="220"/>
      <c r="C807" s="220"/>
      <c r="D807" s="220"/>
      <c r="E807" s="220"/>
      <c r="F807" s="220"/>
      <c r="G807" s="220"/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  <c r="W807" s="220"/>
      <c r="X807" s="220"/>
      <c r="Y807" s="220"/>
      <c r="Z807" s="220"/>
      <c r="AA807" s="220"/>
      <c r="AB807" s="220"/>
      <c r="AC807" s="220"/>
      <c r="AD807" s="220"/>
      <c r="AE807" s="220"/>
      <c r="AF807" s="220"/>
      <c r="AG807" s="220"/>
      <c r="AH807" s="220"/>
      <c r="AI807" s="220"/>
      <c r="AJ807" s="220"/>
      <c r="AK807" s="220"/>
      <c r="AL807" s="220"/>
    </row>
    <row r="808" ht="15.75" customHeight="1">
      <c r="A808" s="220"/>
      <c r="B808" s="220"/>
      <c r="C808" s="220"/>
      <c r="D808" s="220"/>
      <c r="E808" s="220"/>
      <c r="F808" s="220"/>
      <c r="G808" s="220"/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  <c r="W808" s="220"/>
      <c r="X808" s="220"/>
      <c r="Y808" s="220"/>
      <c r="Z808" s="220"/>
      <c r="AA808" s="220"/>
      <c r="AB808" s="220"/>
      <c r="AC808" s="220"/>
      <c r="AD808" s="220"/>
      <c r="AE808" s="220"/>
      <c r="AF808" s="220"/>
      <c r="AG808" s="220"/>
      <c r="AH808" s="220"/>
      <c r="AI808" s="220"/>
      <c r="AJ808" s="220"/>
      <c r="AK808" s="220"/>
      <c r="AL808" s="220"/>
    </row>
    <row r="809" ht="15.75" customHeight="1">
      <c r="A809" s="220"/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  <c r="W809" s="220"/>
      <c r="X809" s="220"/>
      <c r="Y809" s="220"/>
      <c r="Z809" s="220"/>
      <c r="AA809" s="220"/>
      <c r="AB809" s="220"/>
      <c r="AC809" s="220"/>
      <c r="AD809" s="220"/>
      <c r="AE809" s="220"/>
      <c r="AF809" s="220"/>
      <c r="AG809" s="220"/>
      <c r="AH809" s="220"/>
      <c r="AI809" s="220"/>
      <c r="AJ809" s="220"/>
      <c r="AK809" s="220"/>
      <c r="AL809" s="220"/>
    </row>
    <row r="810" ht="15.75" customHeight="1">
      <c r="A810" s="220"/>
      <c r="B810" s="220"/>
      <c r="C810" s="220"/>
      <c r="D810" s="220"/>
      <c r="E810" s="220"/>
      <c r="F810" s="220"/>
      <c r="G810" s="220"/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  <c r="W810" s="220"/>
      <c r="X810" s="220"/>
      <c r="Y810" s="220"/>
      <c r="Z810" s="220"/>
      <c r="AA810" s="220"/>
      <c r="AB810" s="220"/>
      <c r="AC810" s="220"/>
      <c r="AD810" s="220"/>
      <c r="AE810" s="220"/>
      <c r="AF810" s="220"/>
      <c r="AG810" s="220"/>
      <c r="AH810" s="220"/>
      <c r="AI810" s="220"/>
      <c r="AJ810" s="220"/>
      <c r="AK810" s="220"/>
      <c r="AL810" s="220"/>
    </row>
    <row r="811" ht="15.75" customHeight="1">
      <c r="A811" s="220"/>
      <c r="B811" s="220"/>
      <c r="C811" s="220"/>
      <c r="D811" s="220"/>
      <c r="E811" s="220"/>
      <c r="F811" s="220"/>
      <c r="G811" s="220"/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  <c r="W811" s="220"/>
      <c r="X811" s="220"/>
      <c r="Y811" s="220"/>
      <c r="Z811" s="220"/>
      <c r="AA811" s="220"/>
      <c r="AB811" s="220"/>
      <c r="AC811" s="220"/>
      <c r="AD811" s="220"/>
      <c r="AE811" s="220"/>
      <c r="AF811" s="220"/>
      <c r="AG811" s="220"/>
      <c r="AH811" s="220"/>
      <c r="AI811" s="220"/>
      <c r="AJ811" s="220"/>
      <c r="AK811" s="220"/>
      <c r="AL811" s="220"/>
    </row>
    <row r="812" ht="15.75" customHeight="1">
      <c r="A812" s="220"/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  <c r="W812" s="220"/>
      <c r="X812" s="220"/>
      <c r="Y812" s="220"/>
      <c r="Z812" s="220"/>
      <c r="AA812" s="220"/>
      <c r="AB812" s="220"/>
      <c r="AC812" s="220"/>
      <c r="AD812" s="220"/>
      <c r="AE812" s="220"/>
      <c r="AF812" s="220"/>
      <c r="AG812" s="220"/>
      <c r="AH812" s="220"/>
      <c r="AI812" s="220"/>
      <c r="AJ812" s="220"/>
      <c r="AK812" s="220"/>
      <c r="AL812" s="220"/>
    </row>
    <row r="813" ht="15.75" customHeight="1">
      <c r="A813" s="220"/>
      <c r="B813" s="220"/>
      <c r="C813" s="220"/>
      <c r="D813" s="220"/>
      <c r="E813" s="220"/>
      <c r="F813" s="220"/>
      <c r="G813" s="220"/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  <c r="W813" s="220"/>
      <c r="X813" s="220"/>
      <c r="Y813" s="220"/>
      <c r="Z813" s="220"/>
      <c r="AA813" s="220"/>
      <c r="AB813" s="220"/>
      <c r="AC813" s="220"/>
      <c r="AD813" s="220"/>
      <c r="AE813" s="220"/>
      <c r="AF813" s="220"/>
      <c r="AG813" s="220"/>
      <c r="AH813" s="220"/>
      <c r="AI813" s="220"/>
      <c r="AJ813" s="220"/>
      <c r="AK813" s="220"/>
      <c r="AL813" s="220"/>
    </row>
    <row r="814" ht="15.75" customHeight="1">
      <c r="A814" s="220"/>
      <c r="B814" s="220"/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  <c r="W814" s="220"/>
      <c r="X814" s="220"/>
      <c r="Y814" s="220"/>
      <c r="Z814" s="220"/>
      <c r="AA814" s="220"/>
      <c r="AB814" s="220"/>
      <c r="AC814" s="220"/>
      <c r="AD814" s="220"/>
      <c r="AE814" s="220"/>
      <c r="AF814" s="220"/>
      <c r="AG814" s="220"/>
      <c r="AH814" s="220"/>
      <c r="AI814" s="220"/>
      <c r="AJ814" s="220"/>
      <c r="AK814" s="220"/>
      <c r="AL814" s="220"/>
    </row>
    <row r="815" ht="15.75" customHeight="1">
      <c r="A815" s="220"/>
      <c r="B815" s="220"/>
      <c r="C815" s="220"/>
      <c r="D815" s="220"/>
      <c r="E815" s="220"/>
      <c r="F815" s="220"/>
      <c r="G815" s="220"/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  <c r="W815" s="220"/>
      <c r="X815" s="220"/>
      <c r="Y815" s="220"/>
      <c r="Z815" s="220"/>
      <c r="AA815" s="220"/>
      <c r="AB815" s="220"/>
      <c r="AC815" s="220"/>
      <c r="AD815" s="220"/>
      <c r="AE815" s="220"/>
      <c r="AF815" s="220"/>
      <c r="AG815" s="220"/>
      <c r="AH815" s="220"/>
      <c r="AI815" s="220"/>
      <c r="AJ815" s="220"/>
      <c r="AK815" s="220"/>
      <c r="AL815" s="220"/>
    </row>
    <row r="816" ht="15.75" customHeight="1">
      <c r="A816" s="220"/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  <c r="W816" s="220"/>
      <c r="X816" s="220"/>
      <c r="Y816" s="220"/>
      <c r="Z816" s="220"/>
      <c r="AA816" s="220"/>
      <c r="AB816" s="220"/>
      <c r="AC816" s="220"/>
      <c r="AD816" s="220"/>
      <c r="AE816" s="220"/>
      <c r="AF816" s="220"/>
      <c r="AG816" s="220"/>
      <c r="AH816" s="220"/>
      <c r="AI816" s="220"/>
      <c r="AJ816" s="220"/>
      <c r="AK816" s="220"/>
      <c r="AL816" s="220"/>
    </row>
    <row r="817" ht="15.75" customHeight="1">
      <c r="A817" s="220"/>
      <c r="B817" s="220"/>
      <c r="C817" s="220"/>
      <c r="D817" s="220"/>
      <c r="E817" s="220"/>
      <c r="F817" s="220"/>
      <c r="G817" s="220"/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  <c r="W817" s="220"/>
      <c r="X817" s="220"/>
      <c r="Y817" s="220"/>
      <c r="Z817" s="220"/>
      <c r="AA817" s="220"/>
      <c r="AB817" s="220"/>
      <c r="AC817" s="220"/>
      <c r="AD817" s="220"/>
      <c r="AE817" s="220"/>
      <c r="AF817" s="220"/>
      <c r="AG817" s="220"/>
      <c r="AH817" s="220"/>
      <c r="AI817" s="220"/>
      <c r="AJ817" s="220"/>
      <c r="AK817" s="220"/>
      <c r="AL817" s="220"/>
    </row>
    <row r="818" ht="15.75" customHeight="1">
      <c r="A818" s="220"/>
      <c r="B818" s="220"/>
      <c r="C818" s="220"/>
      <c r="D818" s="220"/>
      <c r="E818" s="220"/>
      <c r="F818" s="220"/>
      <c r="G818" s="220"/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  <c r="W818" s="220"/>
      <c r="X818" s="220"/>
      <c r="Y818" s="220"/>
      <c r="Z818" s="220"/>
      <c r="AA818" s="220"/>
      <c r="AB818" s="220"/>
      <c r="AC818" s="220"/>
      <c r="AD818" s="220"/>
      <c r="AE818" s="220"/>
      <c r="AF818" s="220"/>
      <c r="AG818" s="220"/>
      <c r="AH818" s="220"/>
      <c r="AI818" s="220"/>
      <c r="AJ818" s="220"/>
      <c r="AK818" s="220"/>
      <c r="AL818" s="220"/>
    </row>
    <row r="819" ht="15.75" customHeight="1">
      <c r="A819" s="220"/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  <c r="W819" s="220"/>
      <c r="X819" s="220"/>
      <c r="Y819" s="220"/>
      <c r="Z819" s="220"/>
      <c r="AA819" s="220"/>
      <c r="AB819" s="220"/>
      <c r="AC819" s="220"/>
      <c r="AD819" s="220"/>
      <c r="AE819" s="220"/>
      <c r="AF819" s="220"/>
      <c r="AG819" s="220"/>
      <c r="AH819" s="220"/>
      <c r="AI819" s="220"/>
      <c r="AJ819" s="220"/>
      <c r="AK819" s="220"/>
      <c r="AL819" s="220"/>
    </row>
    <row r="820" ht="15.75" customHeight="1">
      <c r="A820" s="220"/>
      <c r="B820" s="220"/>
      <c r="C820" s="220"/>
      <c r="D820" s="220"/>
      <c r="E820" s="220"/>
      <c r="F820" s="220"/>
      <c r="G820" s="220"/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  <c r="W820" s="220"/>
      <c r="X820" s="220"/>
      <c r="Y820" s="220"/>
      <c r="Z820" s="220"/>
      <c r="AA820" s="220"/>
      <c r="AB820" s="220"/>
      <c r="AC820" s="220"/>
      <c r="AD820" s="220"/>
      <c r="AE820" s="220"/>
      <c r="AF820" s="220"/>
      <c r="AG820" s="220"/>
      <c r="AH820" s="220"/>
      <c r="AI820" s="220"/>
      <c r="AJ820" s="220"/>
      <c r="AK820" s="220"/>
      <c r="AL820" s="220"/>
    </row>
    <row r="821" ht="15.75" customHeight="1">
      <c r="A821" s="220"/>
      <c r="B821" s="220"/>
      <c r="C821" s="220"/>
      <c r="D821" s="220"/>
      <c r="E821" s="220"/>
      <c r="F821" s="220"/>
      <c r="G821" s="220"/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  <c r="W821" s="220"/>
      <c r="X821" s="220"/>
      <c r="Y821" s="220"/>
      <c r="Z821" s="220"/>
      <c r="AA821" s="220"/>
      <c r="AB821" s="220"/>
      <c r="AC821" s="220"/>
      <c r="AD821" s="220"/>
      <c r="AE821" s="220"/>
      <c r="AF821" s="220"/>
      <c r="AG821" s="220"/>
      <c r="AH821" s="220"/>
      <c r="AI821" s="220"/>
      <c r="AJ821" s="220"/>
      <c r="AK821" s="220"/>
      <c r="AL821" s="220"/>
    </row>
    <row r="822" ht="15.75" customHeight="1">
      <c r="A822" s="220"/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  <c r="W822" s="220"/>
      <c r="X822" s="220"/>
      <c r="Y822" s="220"/>
      <c r="Z822" s="220"/>
      <c r="AA822" s="220"/>
      <c r="AB822" s="220"/>
      <c r="AC822" s="220"/>
      <c r="AD822" s="220"/>
      <c r="AE822" s="220"/>
      <c r="AF822" s="220"/>
      <c r="AG822" s="220"/>
      <c r="AH822" s="220"/>
      <c r="AI822" s="220"/>
      <c r="AJ822" s="220"/>
      <c r="AK822" s="220"/>
      <c r="AL822" s="220"/>
    </row>
    <row r="823" ht="15.75" customHeight="1">
      <c r="A823" s="220"/>
      <c r="B823" s="220"/>
      <c r="C823" s="220"/>
      <c r="D823" s="220"/>
      <c r="E823" s="220"/>
      <c r="F823" s="220"/>
      <c r="G823" s="220"/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  <c r="W823" s="220"/>
      <c r="X823" s="220"/>
      <c r="Y823" s="220"/>
      <c r="Z823" s="220"/>
      <c r="AA823" s="220"/>
      <c r="AB823" s="220"/>
      <c r="AC823" s="220"/>
      <c r="AD823" s="220"/>
      <c r="AE823" s="220"/>
      <c r="AF823" s="220"/>
      <c r="AG823" s="220"/>
      <c r="AH823" s="220"/>
      <c r="AI823" s="220"/>
      <c r="AJ823" s="220"/>
      <c r="AK823" s="220"/>
      <c r="AL823" s="220"/>
    </row>
    <row r="824" ht="15.75" customHeight="1">
      <c r="A824" s="220"/>
      <c r="B824" s="220"/>
      <c r="C824" s="220"/>
      <c r="D824" s="220"/>
      <c r="E824" s="220"/>
      <c r="F824" s="220"/>
      <c r="G824" s="220"/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  <c r="W824" s="220"/>
      <c r="X824" s="220"/>
      <c r="Y824" s="220"/>
      <c r="Z824" s="220"/>
      <c r="AA824" s="220"/>
      <c r="AB824" s="220"/>
      <c r="AC824" s="220"/>
      <c r="AD824" s="220"/>
      <c r="AE824" s="220"/>
      <c r="AF824" s="220"/>
      <c r="AG824" s="220"/>
      <c r="AH824" s="220"/>
      <c r="AI824" s="220"/>
      <c r="AJ824" s="220"/>
      <c r="AK824" s="220"/>
      <c r="AL824" s="220"/>
    </row>
    <row r="825" ht="15.75" customHeight="1">
      <c r="A825" s="220"/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  <c r="W825" s="220"/>
      <c r="X825" s="220"/>
      <c r="Y825" s="220"/>
      <c r="Z825" s="220"/>
      <c r="AA825" s="220"/>
      <c r="AB825" s="220"/>
      <c r="AC825" s="220"/>
      <c r="AD825" s="220"/>
      <c r="AE825" s="220"/>
      <c r="AF825" s="220"/>
      <c r="AG825" s="220"/>
      <c r="AH825" s="220"/>
      <c r="AI825" s="220"/>
      <c r="AJ825" s="220"/>
      <c r="AK825" s="220"/>
      <c r="AL825" s="220"/>
    </row>
    <row r="826" ht="15.75" customHeight="1">
      <c r="A826" s="220"/>
      <c r="B826" s="220"/>
      <c r="C826" s="220"/>
      <c r="D826" s="220"/>
      <c r="E826" s="220"/>
      <c r="F826" s="220"/>
      <c r="G826" s="220"/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  <c r="W826" s="220"/>
      <c r="X826" s="220"/>
      <c r="Y826" s="220"/>
      <c r="Z826" s="220"/>
      <c r="AA826" s="220"/>
      <c r="AB826" s="220"/>
      <c r="AC826" s="220"/>
      <c r="AD826" s="220"/>
      <c r="AE826" s="220"/>
      <c r="AF826" s="220"/>
      <c r="AG826" s="220"/>
      <c r="AH826" s="220"/>
      <c r="AI826" s="220"/>
      <c r="AJ826" s="220"/>
      <c r="AK826" s="220"/>
      <c r="AL826" s="220"/>
    </row>
    <row r="827" ht="15.75" customHeight="1">
      <c r="A827" s="220"/>
      <c r="B827" s="220"/>
      <c r="C827" s="220"/>
      <c r="D827" s="220"/>
      <c r="E827" s="220"/>
      <c r="F827" s="220"/>
      <c r="G827" s="220"/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  <c r="W827" s="220"/>
      <c r="X827" s="220"/>
      <c r="Y827" s="220"/>
      <c r="Z827" s="220"/>
      <c r="AA827" s="220"/>
      <c r="AB827" s="220"/>
      <c r="AC827" s="220"/>
      <c r="AD827" s="220"/>
      <c r="AE827" s="220"/>
      <c r="AF827" s="220"/>
      <c r="AG827" s="220"/>
      <c r="AH827" s="220"/>
      <c r="AI827" s="220"/>
      <c r="AJ827" s="220"/>
      <c r="AK827" s="220"/>
      <c r="AL827" s="220"/>
    </row>
    <row r="828" ht="15.75" customHeight="1">
      <c r="A828" s="220"/>
      <c r="B828" s="220"/>
      <c r="C828" s="220"/>
      <c r="D828" s="220"/>
      <c r="E828" s="220"/>
      <c r="F828" s="220"/>
      <c r="G828" s="220"/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  <c r="W828" s="220"/>
      <c r="X828" s="220"/>
      <c r="Y828" s="220"/>
      <c r="Z828" s="220"/>
      <c r="AA828" s="220"/>
      <c r="AB828" s="220"/>
      <c r="AC828" s="220"/>
      <c r="AD828" s="220"/>
      <c r="AE828" s="220"/>
      <c r="AF828" s="220"/>
      <c r="AG828" s="220"/>
      <c r="AH828" s="220"/>
      <c r="AI828" s="220"/>
      <c r="AJ828" s="220"/>
      <c r="AK828" s="220"/>
      <c r="AL828" s="220"/>
    </row>
    <row r="829" ht="15.75" customHeight="1">
      <c r="A829" s="220"/>
      <c r="B829" s="220"/>
      <c r="C829" s="220"/>
      <c r="D829" s="220"/>
      <c r="E829" s="220"/>
      <c r="F829" s="220"/>
      <c r="G829" s="220"/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220"/>
      <c r="Y829" s="220"/>
      <c r="Z829" s="220"/>
      <c r="AA829" s="220"/>
      <c r="AB829" s="220"/>
      <c r="AC829" s="220"/>
      <c r="AD829" s="220"/>
      <c r="AE829" s="220"/>
      <c r="AF829" s="220"/>
      <c r="AG829" s="220"/>
      <c r="AH829" s="220"/>
      <c r="AI829" s="220"/>
      <c r="AJ829" s="220"/>
      <c r="AK829" s="220"/>
      <c r="AL829" s="220"/>
    </row>
    <row r="830" ht="15.75" customHeight="1">
      <c r="A830" s="220"/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  <c r="W830" s="220"/>
      <c r="X830" s="220"/>
      <c r="Y830" s="220"/>
      <c r="Z830" s="220"/>
      <c r="AA830" s="220"/>
      <c r="AB830" s="220"/>
      <c r="AC830" s="220"/>
      <c r="AD830" s="220"/>
      <c r="AE830" s="220"/>
      <c r="AF830" s="220"/>
      <c r="AG830" s="220"/>
      <c r="AH830" s="220"/>
      <c r="AI830" s="220"/>
      <c r="AJ830" s="220"/>
      <c r="AK830" s="220"/>
      <c r="AL830" s="220"/>
    </row>
    <row r="831" ht="15.75" customHeight="1">
      <c r="A831" s="220"/>
      <c r="B831" s="220"/>
      <c r="C831" s="220"/>
      <c r="D831" s="220"/>
      <c r="E831" s="220"/>
      <c r="F831" s="220"/>
      <c r="G831" s="220"/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  <c r="W831" s="220"/>
      <c r="X831" s="220"/>
      <c r="Y831" s="220"/>
      <c r="Z831" s="220"/>
      <c r="AA831" s="220"/>
      <c r="AB831" s="220"/>
      <c r="AC831" s="220"/>
      <c r="AD831" s="220"/>
      <c r="AE831" s="220"/>
      <c r="AF831" s="220"/>
      <c r="AG831" s="220"/>
      <c r="AH831" s="220"/>
      <c r="AI831" s="220"/>
      <c r="AJ831" s="220"/>
      <c r="AK831" s="220"/>
      <c r="AL831" s="220"/>
    </row>
    <row r="832" ht="15.75" customHeight="1">
      <c r="A832" s="220"/>
      <c r="B832" s="220"/>
      <c r="C832" s="220"/>
      <c r="D832" s="220"/>
      <c r="E832" s="220"/>
      <c r="F832" s="220"/>
      <c r="G832" s="220"/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  <c r="W832" s="220"/>
      <c r="X832" s="220"/>
      <c r="Y832" s="220"/>
      <c r="Z832" s="220"/>
      <c r="AA832" s="220"/>
      <c r="AB832" s="220"/>
      <c r="AC832" s="220"/>
      <c r="AD832" s="220"/>
      <c r="AE832" s="220"/>
      <c r="AF832" s="220"/>
      <c r="AG832" s="220"/>
      <c r="AH832" s="220"/>
      <c r="AI832" s="220"/>
      <c r="AJ832" s="220"/>
      <c r="AK832" s="220"/>
      <c r="AL832" s="220"/>
    </row>
    <row r="833" ht="15.75" customHeight="1">
      <c r="A833" s="220"/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  <c r="W833" s="220"/>
      <c r="X833" s="220"/>
      <c r="Y833" s="220"/>
      <c r="Z833" s="220"/>
      <c r="AA833" s="220"/>
      <c r="AB833" s="220"/>
      <c r="AC833" s="220"/>
      <c r="AD833" s="220"/>
      <c r="AE833" s="220"/>
      <c r="AF833" s="220"/>
      <c r="AG833" s="220"/>
      <c r="AH833" s="220"/>
      <c r="AI833" s="220"/>
      <c r="AJ833" s="220"/>
      <c r="AK833" s="220"/>
      <c r="AL833" s="220"/>
    </row>
    <row r="834" ht="15.75" customHeight="1">
      <c r="A834" s="220"/>
      <c r="B834" s="220"/>
      <c r="C834" s="220"/>
      <c r="D834" s="220"/>
      <c r="E834" s="220"/>
      <c r="F834" s="220"/>
      <c r="G834" s="220"/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  <c r="W834" s="220"/>
      <c r="X834" s="220"/>
      <c r="Y834" s="220"/>
      <c r="Z834" s="220"/>
      <c r="AA834" s="220"/>
      <c r="AB834" s="220"/>
      <c r="AC834" s="220"/>
      <c r="AD834" s="220"/>
      <c r="AE834" s="220"/>
      <c r="AF834" s="220"/>
      <c r="AG834" s="220"/>
      <c r="AH834" s="220"/>
      <c r="AI834" s="220"/>
      <c r="AJ834" s="220"/>
      <c r="AK834" s="220"/>
      <c r="AL834" s="220"/>
    </row>
    <row r="835" ht="15.75" customHeight="1">
      <c r="A835" s="220"/>
      <c r="B835" s="220"/>
      <c r="C835" s="220"/>
      <c r="D835" s="220"/>
      <c r="E835" s="220"/>
      <c r="F835" s="220"/>
      <c r="G835" s="220"/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  <c r="W835" s="220"/>
      <c r="X835" s="220"/>
      <c r="Y835" s="220"/>
      <c r="Z835" s="220"/>
      <c r="AA835" s="220"/>
      <c r="AB835" s="220"/>
      <c r="AC835" s="220"/>
      <c r="AD835" s="220"/>
      <c r="AE835" s="220"/>
      <c r="AF835" s="220"/>
      <c r="AG835" s="220"/>
      <c r="AH835" s="220"/>
      <c r="AI835" s="220"/>
      <c r="AJ835" s="220"/>
      <c r="AK835" s="220"/>
      <c r="AL835" s="220"/>
    </row>
    <row r="836" ht="15.75" customHeight="1">
      <c r="A836" s="220"/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  <c r="W836" s="220"/>
      <c r="X836" s="220"/>
      <c r="Y836" s="220"/>
      <c r="Z836" s="220"/>
      <c r="AA836" s="220"/>
      <c r="AB836" s="220"/>
      <c r="AC836" s="220"/>
      <c r="AD836" s="220"/>
      <c r="AE836" s="220"/>
      <c r="AF836" s="220"/>
      <c r="AG836" s="220"/>
      <c r="AH836" s="220"/>
      <c r="AI836" s="220"/>
      <c r="AJ836" s="220"/>
      <c r="AK836" s="220"/>
      <c r="AL836" s="220"/>
    </row>
    <row r="837" ht="15.75" customHeight="1">
      <c r="A837" s="220"/>
      <c r="B837" s="220"/>
      <c r="C837" s="220"/>
      <c r="D837" s="220"/>
      <c r="E837" s="220"/>
      <c r="F837" s="220"/>
      <c r="G837" s="220"/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  <c r="W837" s="220"/>
      <c r="X837" s="220"/>
      <c r="Y837" s="220"/>
      <c r="Z837" s="220"/>
      <c r="AA837" s="220"/>
      <c r="AB837" s="220"/>
      <c r="AC837" s="220"/>
      <c r="AD837" s="220"/>
      <c r="AE837" s="220"/>
      <c r="AF837" s="220"/>
      <c r="AG837" s="220"/>
      <c r="AH837" s="220"/>
      <c r="AI837" s="220"/>
      <c r="AJ837" s="220"/>
      <c r="AK837" s="220"/>
      <c r="AL837" s="220"/>
    </row>
    <row r="838" ht="15.75" customHeight="1">
      <c r="A838" s="220"/>
      <c r="B838" s="220"/>
      <c r="C838" s="220"/>
      <c r="D838" s="220"/>
      <c r="E838" s="220"/>
      <c r="F838" s="220"/>
      <c r="G838" s="220"/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  <c r="W838" s="220"/>
      <c r="X838" s="220"/>
      <c r="Y838" s="220"/>
      <c r="Z838" s="220"/>
      <c r="AA838" s="220"/>
      <c r="AB838" s="220"/>
      <c r="AC838" s="220"/>
      <c r="AD838" s="220"/>
      <c r="AE838" s="220"/>
      <c r="AF838" s="220"/>
      <c r="AG838" s="220"/>
      <c r="AH838" s="220"/>
      <c r="AI838" s="220"/>
      <c r="AJ838" s="220"/>
      <c r="AK838" s="220"/>
      <c r="AL838" s="220"/>
    </row>
    <row r="839" ht="15.75" customHeight="1">
      <c r="A839" s="220"/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  <c r="W839" s="220"/>
      <c r="X839" s="220"/>
      <c r="Y839" s="220"/>
      <c r="Z839" s="220"/>
      <c r="AA839" s="220"/>
      <c r="AB839" s="220"/>
      <c r="AC839" s="220"/>
      <c r="AD839" s="220"/>
      <c r="AE839" s="220"/>
      <c r="AF839" s="220"/>
      <c r="AG839" s="220"/>
      <c r="AH839" s="220"/>
      <c r="AI839" s="220"/>
      <c r="AJ839" s="220"/>
      <c r="AK839" s="220"/>
      <c r="AL839" s="220"/>
    </row>
    <row r="840" ht="15.75" customHeight="1">
      <c r="A840" s="220"/>
      <c r="B840" s="220"/>
      <c r="C840" s="220"/>
      <c r="D840" s="220"/>
      <c r="E840" s="220"/>
      <c r="F840" s="220"/>
      <c r="G840" s="220"/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  <c r="W840" s="220"/>
      <c r="X840" s="220"/>
      <c r="Y840" s="220"/>
      <c r="Z840" s="220"/>
      <c r="AA840" s="220"/>
      <c r="AB840" s="220"/>
      <c r="AC840" s="220"/>
      <c r="AD840" s="220"/>
      <c r="AE840" s="220"/>
      <c r="AF840" s="220"/>
      <c r="AG840" s="220"/>
      <c r="AH840" s="220"/>
      <c r="AI840" s="220"/>
      <c r="AJ840" s="220"/>
      <c r="AK840" s="220"/>
      <c r="AL840" s="220"/>
    </row>
    <row r="841" ht="15.75" customHeight="1">
      <c r="A841" s="220"/>
      <c r="B841" s="220"/>
      <c r="C841" s="220"/>
      <c r="D841" s="220"/>
      <c r="E841" s="220"/>
      <c r="F841" s="220"/>
      <c r="G841" s="220"/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  <c r="W841" s="220"/>
      <c r="X841" s="220"/>
      <c r="Y841" s="220"/>
      <c r="Z841" s="220"/>
      <c r="AA841" s="220"/>
      <c r="AB841" s="220"/>
      <c r="AC841" s="220"/>
      <c r="AD841" s="220"/>
      <c r="AE841" s="220"/>
      <c r="AF841" s="220"/>
      <c r="AG841" s="220"/>
      <c r="AH841" s="220"/>
      <c r="AI841" s="220"/>
      <c r="AJ841" s="220"/>
      <c r="AK841" s="220"/>
      <c r="AL841" s="220"/>
    </row>
    <row r="842" ht="15.75" customHeight="1">
      <c r="A842" s="220"/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  <c r="W842" s="220"/>
      <c r="X842" s="220"/>
      <c r="Y842" s="220"/>
      <c r="Z842" s="220"/>
      <c r="AA842" s="220"/>
      <c r="AB842" s="220"/>
      <c r="AC842" s="220"/>
      <c r="AD842" s="220"/>
      <c r="AE842" s="220"/>
      <c r="AF842" s="220"/>
      <c r="AG842" s="220"/>
      <c r="AH842" s="220"/>
      <c r="AI842" s="220"/>
      <c r="AJ842" s="220"/>
      <c r="AK842" s="220"/>
      <c r="AL842" s="220"/>
    </row>
    <row r="843" ht="15.75" customHeight="1">
      <c r="A843" s="220"/>
      <c r="B843" s="220"/>
      <c r="C843" s="220"/>
      <c r="D843" s="220"/>
      <c r="E843" s="220"/>
      <c r="F843" s="220"/>
      <c r="G843" s="220"/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  <c r="W843" s="220"/>
      <c r="X843" s="220"/>
      <c r="Y843" s="220"/>
      <c r="Z843" s="220"/>
      <c r="AA843" s="220"/>
      <c r="AB843" s="220"/>
      <c r="AC843" s="220"/>
      <c r="AD843" s="220"/>
      <c r="AE843" s="220"/>
      <c r="AF843" s="220"/>
      <c r="AG843" s="220"/>
      <c r="AH843" s="220"/>
      <c r="AI843" s="220"/>
      <c r="AJ843" s="220"/>
      <c r="AK843" s="220"/>
      <c r="AL843" s="220"/>
    </row>
    <row r="844" ht="15.75" customHeight="1">
      <c r="A844" s="220"/>
      <c r="B844" s="220"/>
      <c r="C844" s="220"/>
      <c r="D844" s="220"/>
      <c r="E844" s="220"/>
      <c r="F844" s="220"/>
      <c r="G844" s="220"/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  <c r="W844" s="220"/>
      <c r="X844" s="220"/>
      <c r="Y844" s="220"/>
      <c r="Z844" s="220"/>
      <c r="AA844" s="220"/>
      <c r="AB844" s="220"/>
      <c r="AC844" s="220"/>
      <c r="AD844" s="220"/>
      <c r="AE844" s="220"/>
      <c r="AF844" s="220"/>
      <c r="AG844" s="220"/>
      <c r="AH844" s="220"/>
      <c r="AI844" s="220"/>
      <c r="AJ844" s="220"/>
      <c r="AK844" s="220"/>
      <c r="AL844" s="220"/>
    </row>
    <row r="845" ht="15.75" customHeight="1">
      <c r="A845" s="220"/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  <c r="W845" s="220"/>
      <c r="X845" s="220"/>
      <c r="Y845" s="220"/>
      <c r="Z845" s="220"/>
      <c r="AA845" s="220"/>
      <c r="AB845" s="220"/>
      <c r="AC845" s="220"/>
      <c r="AD845" s="220"/>
      <c r="AE845" s="220"/>
      <c r="AF845" s="220"/>
      <c r="AG845" s="220"/>
      <c r="AH845" s="220"/>
      <c r="AI845" s="220"/>
      <c r="AJ845" s="220"/>
      <c r="AK845" s="220"/>
      <c r="AL845" s="220"/>
    </row>
    <row r="846" ht="15.75" customHeight="1">
      <c r="A846" s="220"/>
      <c r="B846" s="220"/>
      <c r="C846" s="220"/>
      <c r="D846" s="220"/>
      <c r="E846" s="220"/>
      <c r="F846" s="220"/>
      <c r="G846" s="220"/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  <c r="W846" s="220"/>
      <c r="X846" s="220"/>
      <c r="Y846" s="220"/>
      <c r="Z846" s="220"/>
      <c r="AA846" s="220"/>
      <c r="AB846" s="220"/>
      <c r="AC846" s="220"/>
      <c r="AD846" s="220"/>
      <c r="AE846" s="220"/>
      <c r="AF846" s="220"/>
      <c r="AG846" s="220"/>
      <c r="AH846" s="220"/>
      <c r="AI846" s="220"/>
      <c r="AJ846" s="220"/>
      <c r="AK846" s="220"/>
      <c r="AL846" s="220"/>
    </row>
    <row r="847" ht="15.75" customHeight="1">
      <c r="A847" s="220"/>
      <c r="B847" s="220"/>
      <c r="C847" s="220"/>
      <c r="D847" s="220"/>
      <c r="E847" s="220"/>
      <c r="F847" s="220"/>
      <c r="G847" s="220"/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  <c r="W847" s="220"/>
      <c r="X847" s="220"/>
      <c r="Y847" s="220"/>
      <c r="Z847" s="220"/>
      <c r="AA847" s="220"/>
      <c r="AB847" s="220"/>
      <c r="AC847" s="220"/>
      <c r="AD847" s="220"/>
      <c r="AE847" s="220"/>
      <c r="AF847" s="220"/>
      <c r="AG847" s="220"/>
      <c r="AH847" s="220"/>
      <c r="AI847" s="220"/>
      <c r="AJ847" s="220"/>
      <c r="AK847" s="220"/>
      <c r="AL847" s="220"/>
    </row>
    <row r="848" ht="15.75" customHeight="1">
      <c r="A848" s="220"/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  <c r="W848" s="220"/>
      <c r="X848" s="220"/>
      <c r="Y848" s="220"/>
      <c r="Z848" s="220"/>
      <c r="AA848" s="220"/>
      <c r="AB848" s="220"/>
      <c r="AC848" s="220"/>
      <c r="AD848" s="220"/>
      <c r="AE848" s="220"/>
      <c r="AF848" s="220"/>
      <c r="AG848" s="220"/>
      <c r="AH848" s="220"/>
      <c r="AI848" s="220"/>
      <c r="AJ848" s="220"/>
      <c r="AK848" s="220"/>
      <c r="AL848" s="220"/>
    </row>
    <row r="849" ht="15.75" customHeight="1">
      <c r="A849" s="220"/>
      <c r="B849" s="220"/>
      <c r="C849" s="220"/>
      <c r="D849" s="220"/>
      <c r="E849" s="220"/>
      <c r="F849" s="220"/>
      <c r="G849" s="220"/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  <c r="W849" s="220"/>
      <c r="X849" s="220"/>
      <c r="Y849" s="220"/>
      <c r="Z849" s="220"/>
      <c r="AA849" s="220"/>
      <c r="AB849" s="220"/>
      <c r="AC849" s="220"/>
      <c r="AD849" s="220"/>
      <c r="AE849" s="220"/>
      <c r="AF849" s="220"/>
      <c r="AG849" s="220"/>
      <c r="AH849" s="220"/>
      <c r="AI849" s="220"/>
      <c r="AJ849" s="220"/>
      <c r="AK849" s="220"/>
      <c r="AL849" s="220"/>
    </row>
    <row r="850" ht="15.75" customHeight="1">
      <c r="A850" s="220"/>
      <c r="B850" s="220"/>
      <c r="C850" s="220"/>
      <c r="D850" s="220"/>
      <c r="E850" s="220"/>
      <c r="F850" s="220"/>
      <c r="G850" s="220"/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  <c r="W850" s="220"/>
      <c r="X850" s="220"/>
      <c r="Y850" s="220"/>
      <c r="Z850" s="220"/>
      <c r="AA850" s="220"/>
      <c r="AB850" s="220"/>
      <c r="AC850" s="220"/>
      <c r="AD850" s="220"/>
      <c r="AE850" s="220"/>
      <c r="AF850" s="220"/>
      <c r="AG850" s="220"/>
      <c r="AH850" s="220"/>
      <c r="AI850" s="220"/>
      <c r="AJ850" s="220"/>
      <c r="AK850" s="220"/>
      <c r="AL850" s="220"/>
    </row>
    <row r="851" ht="15.75" customHeight="1">
      <c r="A851" s="220"/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  <c r="W851" s="220"/>
      <c r="X851" s="220"/>
      <c r="Y851" s="220"/>
      <c r="Z851" s="220"/>
      <c r="AA851" s="220"/>
      <c r="AB851" s="220"/>
      <c r="AC851" s="220"/>
      <c r="AD851" s="220"/>
      <c r="AE851" s="220"/>
      <c r="AF851" s="220"/>
      <c r="AG851" s="220"/>
      <c r="AH851" s="220"/>
      <c r="AI851" s="220"/>
      <c r="AJ851" s="220"/>
      <c r="AK851" s="220"/>
      <c r="AL851" s="220"/>
    </row>
    <row r="852" ht="15.75" customHeight="1">
      <c r="A852" s="220"/>
      <c r="B852" s="220"/>
      <c r="C852" s="220"/>
      <c r="D852" s="220"/>
      <c r="E852" s="220"/>
      <c r="F852" s="220"/>
      <c r="G852" s="220"/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  <c r="W852" s="220"/>
      <c r="X852" s="220"/>
      <c r="Y852" s="220"/>
      <c r="Z852" s="220"/>
      <c r="AA852" s="220"/>
      <c r="AB852" s="220"/>
      <c r="AC852" s="220"/>
      <c r="AD852" s="220"/>
      <c r="AE852" s="220"/>
      <c r="AF852" s="220"/>
      <c r="AG852" s="220"/>
      <c r="AH852" s="220"/>
      <c r="AI852" s="220"/>
      <c r="AJ852" s="220"/>
      <c r="AK852" s="220"/>
      <c r="AL852" s="220"/>
    </row>
    <row r="853" ht="15.75" customHeight="1">
      <c r="A853" s="220"/>
      <c r="B853" s="220"/>
      <c r="C853" s="220"/>
      <c r="D853" s="220"/>
      <c r="E853" s="220"/>
      <c r="F853" s="220"/>
      <c r="G853" s="220"/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  <c r="W853" s="220"/>
      <c r="X853" s="220"/>
      <c r="Y853" s="220"/>
      <c r="Z853" s="220"/>
      <c r="AA853" s="220"/>
      <c r="AB853" s="220"/>
      <c r="AC853" s="220"/>
      <c r="AD853" s="220"/>
      <c r="AE853" s="220"/>
      <c r="AF853" s="220"/>
      <c r="AG853" s="220"/>
      <c r="AH853" s="220"/>
      <c r="AI853" s="220"/>
      <c r="AJ853" s="220"/>
      <c r="AK853" s="220"/>
      <c r="AL853" s="220"/>
    </row>
    <row r="854" ht="15.75" customHeight="1">
      <c r="A854" s="220"/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  <c r="W854" s="220"/>
      <c r="X854" s="220"/>
      <c r="Y854" s="220"/>
      <c r="Z854" s="220"/>
      <c r="AA854" s="220"/>
      <c r="AB854" s="220"/>
      <c r="AC854" s="220"/>
      <c r="AD854" s="220"/>
      <c r="AE854" s="220"/>
      <c r="AF854" s="220"/>
      <c r="AG854" s="220"/>
      <c r="AH854" s="220"/>
      <c r="AI854" s="220"/>
      <c r="AJ854" s="220"/>
      <c r="AK854" s="220"/>
      <c r="AL854" s="220"/>
    </row>
    <row r="855" ht="15.75" customHeight="1">
      <c r="A855" s="220"/>
      <c r="B855" s="220"/>
      <c r="C855" s="220"/>
      <c r="D855" s="220"/>
      <c r="E855" s="220"/>
      <c r="F855" s="220"/>
      <c r="G855" s="220"/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  <c r="W855" s="220"/>
      <c r="X855" s="220"/>
      <c r="Y855" s="220"/>
      <c r="Z855" s="220"/>
      <c r="AA855" s="220"/>
      <c r="AB855" s="220"/>
      <c r="AC855" s="220"/>
      <c r="AD855" s="220"/>
      <c r="AE855" s="220"/>
      <c r="AF855" s="220"/>
      <c r="AG855" s="220"/>
      <c r="AH855" s="220"/>
      <c r="AI855" s="220"/>
      <c r="AJ855" s="220"/>
      <c r="AK855" s="220"/>
      <c r="AL855" s="220"/>
    </row>
    <row r="856" ht="15.75" customHeight="1">
      <c r="A856" s="220"/>
      <c r="B856" s="220"/>
      <c r="C856" s="220"/>
      <c r="D856" s="220"/>
      <c r="E856" s="220"/>
      <c r="F856" s="220"/>
      <c r="G856" s="220"/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  <c r="W856" s="220"/>
      <c r="X856" s="220"/>
      <c r="Y856" s="220"/>
      <c r="Z856" s="220"/>
      <c r="AA856" s="220"/>
      <c r="AB856" s="220"/>
      <c r="AC856" s="220"/>
      <c r="AD856" s="220"/>
      <c r="AE856" s="220"/>
      <c r="AF856" s="220"/>
      <c r="AG856" s="220"/>
      <c r="AH856" s="220"/>
      <c r="AI856" s="220"/>
      <c r="AJ856" s="220"/>
      <c r="AK856" s="220"/>
      <c r="AL856" s="220"/>
    </row>
    <row r="857" ht="15.75" customHeight="1">
      <c r="A857" s="220"/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  <c r="W857" s="220"/>
      <c r="X857" s="220"/>
      <c r="Y857" s="220"/>
      <c r="Z857" s="220"/>
      <c r="AA857" s="220"/>
      <c r="AB857" s="220"/>
      <c r="AC857" s="220"/>
      <c r="AD857" s="220"/>
      <c r="AE857" s="220"/>
      <c r="AF857" s="220"/>
      <c r="AG857" s="220"/>
      <c r="AH857" s="220"/>
      <c r="AI857" s="220"/>
      <c r="AJ857" s="220"/>
      <c r="AK857" s="220"/>
      <c r="AL857" s="220"/>
    </row>
    <row r="858" ht="15.75" customHeight="1">
      <c r="A858" s="220"/>
      <c r="B858" s="220"/>
      <c r="C858" s="220"/>
      <c r="D858" s="220"/>
      <c r="E858" s="220"/>
      <c r="F858" s="220"/>
      <c r="G858" s="220"/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  <c r="W858" s="220"/>
      <c r="X858" s="220"/>
      <c r="Y858" s="220"/>
      <c r="Z858" s="220"/>
      <c r="AA858" s="220"/>
      <c r="AB858" s="220"/>
      <c r="AC858" s="220"/>
      <c r="AD858" s="220"/>
      <c r="AE858" s="220"/>
      <c r="AF858" s="220"/>
      <c r="AG858" s="220"/>
      <c r="AH858" s="220"/>
      <c r="AI858" s="220"/>
      <c r="AJ858" s="220"/>
      <c r="AK858" s="220"/>
      <c r="AL858" s="220"/>
    </row>
    <row r="859" ht="15.75" customHeight="1">
      <c r="A859" s="220"/>
      <c r="B859" s="220"/>
      <c r="C859" s="220"/>
      <c r="D859" s="220"/>
      <c r="E859" s="220"/>
      <c r="F859" s="220"/>
      <c r="G859" s="220"/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  <c r="W859" s="220"/>
      <c r="X859" s="220"/>
      <c r="Y859" s="220"/>
      <c r="Z859" s="220"/>
      <c r="AA859" s="220"/>
      <c r="AB859" s="220"/>
      <c r="AC859" s="220"/>
      <c r="AD859" s="220"/>
      <c r="AE859" s="220"/>
      <c r="AF859" s="220"/>
      <c r="AG859" s="220"/>
      <c r="AH859" s="220"/>
      <c r="AI859" s="220"/>
      <c r="AJ859" s="220"/>
      <c r="AK859" s="220"/>
      <c r="AL859" s="220"/>
    </row>
    <row r="860" ht="15.75" customHeight="1">
      <c r="A860" s="220"/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  <c r="W860" s="220"/>
      <c r="X860" s="220"/>
      <c r="Y860" s="220"/>
      <c r="Z860" s="220"/>
      <c r="AA860" s="220"/>
      <c r="AB860" s="220"/>
      <c r="AC860" s="220"/>
      <c r="AD860" s="220"/>
      <c r="AE860" s="220"/>
      <c r="AF860" s="220"/>
      <c r="AG860" s="220"/>
      <c r="AH860" s="220"/>
      <c r="AI860" s="220"/>
      <c r="AJ860" s="220"/>
      <c r="AK860" s="220"/>
      <c r="AL860" s="220"/>
    </row>
    <row r="861" ht="15.75" customHeight="1">
      <c r="A861" s="220"/>
      <c r="B861" s="220"/>
      <c r="C861" s="220"/>
      <c r="D861" s="220"/>
      <c r="E861" s="220"/>
      <c r="F861" s="220"/>
      <c r="G861" s="220"/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  <c r="W861" s="220"/>
      <c r="X861" s="220"/>
      <c r="Y861" s="220"/>
      <c r="Z861" s="220"/>
      <c r="AA861" s="220"/>
      <c r="AB861" s="220"/>
      <c r="AC861" s="220"/>
      <c r="AD861" s="220"/>
      <c r="AE861" s="220"/>
      <c r="AF861" s="220"/>
      <c r="AG861" s="220"/>
      <c r="AH861" s="220"/>
      <c r="AI861" s="220"/>
      <c r="AJ861" s="220"/>
      <c r="AK861" s="220"/>
      <c r="AL861" s="220"/>
    </row>
    <row r="862" ht="15.75" customHeight="1">
      <c r="A862" s="220"/>
      <c r="B862" s="220"/>
      <c r="C862" s="220"/>
      <c r="D862" s="220"/>
      <c r="E862" s="220"/>
      <c r="F862" s="220"/>
      <c r="G862" s="220"/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  <c r="W862" s="220"/>
      <c r="X862" s="220"/>
      <c r="Y862" s="220"/>
      <c r="Z862" s="220"/>
      <c r="AA862" s="220"/>
      <c r="AB862" s="220"/>
      <c r="AC862" s="220"/>
      <c r="AD862" s="220"/>
      <c r="AE862" s="220"/>
      <c r="AF862" s="220"/>
      <c r="AG862" s="220"/>
      <c r="AH862" s="220"/>
      <c r="AI862" s="220"/>
      <c r="AJ862" s="220"/>
      <c r="AK862" s="220"/>
      <c r="AL862" s="220"/>
    </row>
    <row r="863" ht="15.75" customHeight="1">
      <c r="A863" s="220"/>
      <c r="B863" s="220"/>
      <c r="C863" s="220"/>
      <c r="D863" s="220"/>
      <c r="E863" s="220"/>
      <c r="F863" s="220"/>
      <c r="G863" s="220"/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  <c r="W863" s="220"/>
      <c r="X863" s="220"/>
      <c r="Y863" s="220"/>
      <c r="Z863" s="220"/>
      <c r="AA863" s="220"/>
      <c r="AB863" s="220"/>
      <c r="AC863" s="220"/>
      <c r="AD863" s="220"/>
      <c r="AE863" s="220"/>
      <c r="AF863" s="220"/>
      <c r="AG863" s="220"/>
      <c r="AH863" s="220"/>
      <c r="AI863" s="220"/>
      <c r="AJ863" s="220"/>
      <c r="AK863" s="220"/>
      <c r="AL863" s="220"/>
    </row>
    <row r="864" ht="15.75" customHeight="1">
      <c r="A864" s="220"/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  <c r="W864" s="220"/>
      <c r="X864" s="220"/>
      <c r="Y864" s="220"/>
      <c r="Z864" s="220"/>
      <c r="AA864" s="220"/>
      <c r="AB864" s="220"/>
      <c r="AC864" s="220"/>
      <c r="AD864" s="220"/>
      <c r="AE864" s="220"/>
      <c r="AF864" s="220"/>
      <c r="AG864" s="220"/>
      <c r="AH864" s="220"/>
      <c r="AI864" s="220"/>
      <c r="AJ864" s="220"/>
      <c r="AK864" s="220"/>
      <c r="AL864" s="220"/>
    </row>
    <row r="865" ht="15.75" customHeight="1">
      <c r="A865" s="220"/>
      <c r="B865" s="220"/>
      <c r="C865" s="220"/>
      <c r="D865" s="220"/>
      <c r="E865" s="220"/>
      <c r="F865" s="220"/>
      <c r="G865" s="220"/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  <c r="W865" s="220"/>
      <c r="X865" s="220"/>
      <c r="Y865" s="220"/>
      <c r="Z865" s="220"/>
      <c r="AA865" s="220"/>
      <c r="AB865" s="220"/>
      <c r="AC865" s="220"/>
      <c r="AD865" s="220"/>
      <c r="AE865" s="220"/>
      <c r="AF865" s="220"/>
      <c r="AG865" s="220"/>
      <c r="AH865" s="220"/>
      <c r="AI865" s="220"/>
      <c r="AJ865" s="220"/>
      <c r="AK865" s="220"/>
      <c r="AL865" s="220"/>
    </row>
    <row r="866" ht="15.75" customHeight="1">
      <c r="A866" s="220"/>
      <c r="B866" s="220"/>
      <c r="C866" s="220"/>
      <c r="D866" s="220"/>
      <c r="E866" s="220"/>
      <c r="F866" s="220"/>
      <c r="G866" s="220"/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  <c r="W866" s="220"/>
      <c r="X866" s="220"/>
      <c r="Y866" s="220"/>
      <c r="Z866" s="220"/>
      <c r="AA866" s="220"/>
      <c r="AB866" s="220"/>
      <c r="AC866" s="220"/>
      <c r="AD866" s="220"/>
      <c r="AE866" s="220"/>
      <c r="AF866" s="220"/>
      <c r="AG866" s="220"/>
      <c r="AH866" s="220"/>
      <c r="AI866" s="220"/>
      <c r="AJ866" s="220"/>
      <c r="AK866" s="220"/>
      <c r="AL866" s="220"/>
    </row>
    <row r="867" ht="15.75" customHeight="1">
      <c r="A867" s="220"/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  <c r="W867" s="220"/>
      <c r="X867" s="220"/>
      <c r="Y867" s="220"/>
      <c r="Z867" s="220"/>
      <c r="AA867" s="220"/>
      <c r="AB867" s="220"/>
      <c r="AC867" s="220"/>
      <c r="AD867" s="220"/>
      <c r="AE867" s="220"/>
      <c r="AF867" s="220"/>
      <c r="AG867" s="220"/>
      <c r="AH867" s="220"/>
      <c r="AI867" s="220"/>
      <c r="AJ867" s="220"/>
      <c r="AK867" s="220"/>
      <c r="AL867" s="220"/>
    </row>
    <row r="868" ht="15.75" customHeight="1">
      <c r="A868" s="220"/>
      <c r="B868" s="220"/>
      <c r="C868" s="220"/>
      <c r="D868" s="220"/>
      <c r="E868" s="220"/>
      <c r="F868" s="220"/>
      <c r="G868" s="220"/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  <c r="W868" s="220"/>
      <c r="X868" s="220"/>
      <c r="Y868" s="220"/>
      <c r="Z868" s="220"/>
      <c r="AA868" s="220"/>
      <c r="AB868" s="220"/>
      <c r="AC868" s="220"/>
      <c r="AD868" s="220"/>
      <c r="AE868" s="220"/>
      <c r="AF868" s="220"/>
      <c r="AG868" s="220"/>
      <c r="AH868" s="220"/>
      <c r="AI868" s="220"/>
      <c r="AJ868" s="220"/>
      <c r="AK868" s="220"/>
      <c r="AL868" s="220"/>
    </row>
    <row r="869" ht="15.75" customHeight="1">
      <c r="A869" s="220"/>
      <c r="B869" s="220"/>
      <c r="C869" s="220"/>
      <c r="D869" s="220"/>
      <c r="E869" s="220"/>
      <c r="F869" s="220"/>
      <c r="G869" s="220"/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  <c r="W869" s="220"/>
      <c r="X869" s="220"/>
      <c r="Y869" s="220"/>
      <c r="Z869" s="220"/>
      <c r="AA869" s="220"/>
      <c r="AB869" s="220"/>
      <c r="AC869" s="220"/>
      <c r="AD869" s="220"/>
      <c r="AE869" s="220"/>
      <c r="AF869" s="220"/>
      <c r="AG869" s="220"/>
      <c r="AH869" s="220"/>
      <c r="AI869" s="220"/>
      <c r="AJ869" s="220"/>
      <c r="AK869" s="220"/>
      <c r="AL869" s="220"/>
    </row>
    <row r="870" ht="15.75" customHeight="1">
      <c r="A870" s="220"/>
      <c r="B870" s="220"/>
      <c r="C870" s="220"/>
      <c r="D870" s="220"/>
      <c r="E870" s="220"/>
      <c r="F870" s="220"/>
      <c r="G870" s="220"/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  <c r="W870" s="220"/>
      <c r="X870" s="220"/>
      <c r="Y870" s="220"/>
      <c r="Z870" s="220"/>
      <c r="AA870" s="220"/>
      <c r="AB870" s="220"/>
      <c r="AC870" s="220"/>
      <c r="AD870" s="220"/>
      <c r="AE870" s="220"/>
      <c r="AF870" s="220"/>
      <c r="AG870" s="220"/>
      <c r="AH870" s="220"/>
      <c r="AI870" s="220"/>
      <c r="AJ870" s="220"/>
      <c r="AK870" s="220"/>
      <c r="AL870" s="220"/>
    </row>
    <row r="871" ht="15.75" customHeight="1">
      <c r="A871" s="220"/>
      <c r="B871" s="220"/>
      <c r="C871" s="220"/>
      <c r="D871" s="220"/>
      <c r="E871" s="220"/>
      <c r="F871" s="220"/>
      <c r="G871" s="220"/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  <c r="W871" s="220"/>
      <c r="X871" s="220"/>
      <c r="Y871" s="220"/>
      <c r="Z871" s="220"/>
      <c r="AA871" s="220"/>
      <c r="AB871" s="220"/>
      <c r="AC871" s="220"/>
      <c r="AD871" s="220"/>
      <c r="AE871" s="220"/>
      <c r="AF871" s="220"/>
      <c r="AG871" s="220"/>
      <c r="AH871" s="220"/>
      <c r="AI871" s="220"/>
      <c r="AJ871" s="220"/>
      <c r="AK871" s="220"/>
      <c r="AL871" s="220"/>
    </row>
    <row r="872" ht="15.75" customHeight="1">
      <c r="A872" s="220"/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  <c r="W872" s="220"/>
      <c r="X872" s="220"/>
      <c r="Y872" s="220"/>
      <c r="Z872" s="220"/>
      <c r="AA872" s="220"/>
      <c r="AB872" s="220"/>
      <c r="AC872" s="220"/>
      <c r="AD872" s="220"/>
      <c r="AE872" s="220"/>
      <c r="AF872" s="220"/>
      <c r="AG872" s="220"/>
      <c r="AH872" s="220"/>
      <c r="AI872" s="220"/>
      <c r="AJ872" s="220"/>
      <c r="AK872" s="220"/>
      <c r="AL872" s="220"/>
    </row>
    <row r="873" ht="15.75" customHeight="1">
      <c r="A873" s="220"/>
      <c r="B873" s="220"/>
      <c r="C873" s="220"/>
      <c r="D873" s="220"/>
      <c r="E873" s="220"/>
      <c r="F873" s="220"/>
      <c r="G873" s="220"/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  <c r="W873" s="220"/>
      <c r="X873" s="220"/>
      <c r="Y873" s="220"/>
      <c r="Z873" s="220"/>
      <c r="AA873" s="220"/>
      <c r="AB873" s="220"/>
      <c r="AC873" s="220"/>
      <c r="AD873" s="220"/>
      <c r="AE873" s="220"/>
      <c r="AF873" s="220"/>
      <c r="AG873" s="220"/>
      <c r="AH873" s="220"/>
      <c r="AI873" s="220"/>
      <c r="AJ873" s="220"/>
      <c r="AK873" s="220"/>
      <c r="AL873" s="220"/>
    </row>
    <row r="874" ht="15.75" customHeight="1">
      <c r="A874" s="220"/>
      <c r="B874" s="220"/>
      <c r="C874" s="220"/>
      <c r="D874" s="220"/>
      <c r="E874" s="220"/>
      <c r="F874" s="220"/>
      <c r="G874" s="220"/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  <c r="W874" s="220"/>
      <c r="X874" s="220"/>
      <c r="Y874" s="220"/>
      <c r="Z874" s="220"/>
      <c r="AA874" s="220"/>
      <c r="AB874" s="220"/>
      <c r="AC874" s="220"/>
      <c r="AD874" s="220"/>
      <c r="AE874" s="220"/>
      <c r="AF874" s="220"/>
      <c r="AG874" s="220"/>
      <c r="AH874" s="220"/>
      <c r="AI874" s="220"/>
      <c r="AJ874" s="220"/>
      <c r="AK874" s="220"/>
      <c r="AL874" s="220"/>
    </row>
    <row r="875" ht="15.75" customHeight="1">
      <c r="A875" s="220"/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  <c r="W875" s="220"/>
      <c r="X875" s="220"/>
      <c r="Y875" s="220"/>
      <c r="Z875" s="220"/>
      <c r="AA875" s="220"/>
      <c r="AB875" s="220"/>
      <c r="AC875" s="220"/>
      <c r="AD875" s="220"/>
      <c r="AE875" s="220"/>
      <c r="AF875" s="220"/>
      <c r="AG875" s="220"/>
      <c r="AH875" s="220"/>
      <c r="AI875" s="220"/>
      <c r="AJ875" s="220"/>
      <c r="AK875" s="220"/>
      <c r="AL875" s="220"/>
    </row>
    <row r="876" ht="15.75" customHeight="1">
      <c r="A876" s="220"/>
      <c r="B876" s="220"/>
      <c r="C876" s="220"/>
      <c r="D876" s="220"/>
      <c r="E876" s="220"/>
      <c r="F876" s="220"/>
      <c r="G876" s="220"/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  <c r="W876" s="220"/>
      <c r="X876" s="220"/>
      <c r="Y876" s="220"/>
      <c r="Z876" s="220"/>
      <c r="AA876" s="220"/>
      <c r="AB876" s="220"/>
      <c r="AC876" s="220"/>
      <c r="AD876" s="220"/>
      <c r="AE876" s="220"/>
      <c r="AF876" s="220"/>
      <c r="AG876" s="220"/>
      <c r="AH876" s="220"/>
      <c r="AI876" s="220"/>
      <c r="AJ876" s="220"/>
      <c r="AK876" s="220"/>
      <c r="AL876" s="220"/>
    </row>
    <row r="877" ht="15.75" customHeight="1">
      <c r="A877" s="220"/>
      <c r="B877" s="220"/>
      <c r="C877" s="220"/>
      <c r="D877" s="220"/>
      <c r="E877" s="220"/>
      <c r="F877" s="220"/>
      <c r="G877" s="220"/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  <c r="W877" s="220"/>
      <c r="X877" s="220"/>
      <c r="Y877" s="220"/>
      <c r="Z877" s="220"/>
      <c r="AA877" s="220"/>
      <c r="AB877" s="220"/>
      <c r="AC877" s="220"/>
      <c r="AD877" s="220"/>
      <c r="AE877" s="220"/>
      <c r="AF877" s="220"/>
      <c r="AG877" s="220"/>
      <c r="AH877" s="220"/>
      <c r="AI877" s="220"/>
      <c r="AJ877" s="220"/>
      <c r="AK877" s="220"/>
      <c r="AL877" s="220"/>
    </row>
    <row r="878" ht="15.75" customHeight="1">
      <c r="A878" s="220"/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  <c r="W878" s="220"/>
      <c r="X878" s="220"/>
      <c r="Y878" s="220"/>
      <c r="Z878" s="220"/>
      <c r="AA878" s="220"/>
      <c r="AB878" s="220"/>
      <c r="AC878" s="220"/>
      <c r="AD878" s="220"/>
      <c r="AE878" s="220"/>
      <c r="AF878" s="220"/>
      <c r="AG878" s="220"/>
      <c r="AH878" s="220"/>
      <c r="AI878" s="220"/>
      <c r="AJ878" s="220"/>
      <c r="AK878" s="220"/>
      <c r="AL878" s="220"/>
    </row>
    <row r="879" ht="15.75" customHeight="1">
      <c r="A879" s="220"/>
      <c r="B879" s="220"/>
      <c r="C879" s="220"/>
      <c r="D879" s="220"/>
      <c r="E879" s="220"/>
      <c r="F879" s="220"/>
      <c r="G879" s="220"/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  <c r="W879" s="220"/>
      <c r="X879" s="220"/>
      <c r="Y879" s="220"/>
      <c r="Z879" s="220"/>
      <c r="AA879" s="220"/>
      <c r="AB879" s="220"/>
      <c r="AC879" s="220"/>
      <c r="AD879" s="220"/>
      <c r="AE879" s="220"/>
      <c r="AF879" s="220"/>
      <c r="AG879" s="220"/>
      <c r="AH879" s="220"/>
      <c r="AI879" s="220"/>
      <c r="AJ879" s="220"/>
      <c r="AK879" s="220"/>
      <c r="AL879" s="220"/>
    </row>
    <row r="880" ht="15.75" customHeight="1">
      <c r="A880" s="220"/>
      <c r="B880" s="220"/>
      <c r="C880" s="220"/>
      <c r="D880" s="220"/>
      <c r="E880" s="220"/>
      <c r="F880" s="220"/>
      <c r="G880" s="220"/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  <c r="W880" s="220"/>
      <c r="X880" s="220"/>
      <c r="Y880" s="220"/>
      <c r="Z880" s="220"/>
      <c r="AA880" s="220"/>
      <c r="AB880" s="220"/>
      <c r="AC880" s="220"/>
      <c r="AD880" s="220"/>
      <c r="AE880" s="220"/>
      <c r="AF880" s="220"/>
      <c r="AG880" s="220"/>
      <c r="AH880" s="220"/>
      <c r="AI880" s="220"/>
      <c r="AJ880" s="220"/>
      <c r="AK880" s="220"/>
      <c r="AL880" s="220"/>
    </row>
    <row r="881" ht="15.75" customHeight="1">
      <c r="A881" s="220"/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  <c r="W881" s="220"/>
      <c r="X881" s="220"/>
      <c r="Y881" s="220"/>
      <c r="Z881" s="220"/>
      <c r="AA881" s="220"/>
      <c r="AB881" s="220"/>
      <c r="AC881" s="220"/>
      <c r="AD881" s="220"/>
      <c r="AE881" s="220"/>
      <c r="AF881" s="220"/>
      <c r="AG881" s="220"/>
      <c r="AH881" s="220"/>
      <c r="AI881" s="220"/>
      <c r="AJ881" s="220"/>
      <c r="AK881" s="220"/>
      <c r="AL881" s="220"/>
    </row>
    <row r="882" ht="15.75" customHeight="1">
      <c r="A882" s="220"/>
      <c r="B882" s="220"/>
      <c r="C882" s="220"/>
      <c r="D882" s="220"/>
      <c r="E882" s="220"/>
      <c r="F882" s="220"/>
      <c r="G882" s="220"/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  <c r="W882" s="220"/>
      <c r="X882" s="220"/>
      <c r="Y882" s="220"/>
      <c r="Z882" s="220"/>
      <c r="AA882" s="220"/>
      <c r="AB882" s="220"/>
      <c r="AC882" s="220"/>
      <c r="AD882" s="220"/>
      <c r="AE882" s="220"/>
      <c r="AF882" s="220"/>
      <c r="AG882" s="220"/>
      <c r="AH882" s="220"/>
      <c r="AI882" s="220"/>
      <c r="AJ882" s="220"/>
      <c r="AK882" s="220"/>
      <c r="AL882" s="220"/>
    </row>
    <row r="883" ht="15.75" customHeight="1">
      <c r="A883" s="220"/>
      <c r="B883" s="220"/>
      <c r="C883" s="220"/>
      <c r="D883" s="220"/>
      <c r="E883" s="220"/>
      <c r="F883" s="220"/>
      <c r="G883" s="220"/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  <c r="W883" s="220"/>
      <c r="X883" s="220"/>
      <c r="Y883" s="220"/>
      <c r="Z883" s="220"/>
      <c r="AA883" s="220"/>
      <c r="AB883" s="220"/>
      <c r="AC883" s="220"/>
      <c r="AD883" s="220"/>
      <c r="AE883" s="220"/>
      <c r="AF883" s="220"/>
      <c r="AG883" s="220"/>
      <c r="AH883" s="220"/>
      <c r="AI883" s="220"/>
      <c r="AJ883" s="220"/>
      <c r="AK883" s="220"/>
      <c r="AL883" s="220"/>
    </row>
    <row r="884" ht="15.75" customHeight="1">
      <c r="A884" s="220"/>
      <c r="B884" s="220"/>
      <c r="C884" s="220"/>
      <c r="D884" s="220"/>
      <c r="E884" s="220"/>
      <c r="F884" s="220"/>
      <c r="G884" s="220"/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  <c r="W884" s="220"/>
      <c r="X884" s="220"/>
      <c r="Y884" s="220"/>
      <c r="Z884" s="220"/>
      <c r="AA884" s="220"/>
      <c r="AB884" s="220"/>
      <c r="AC884" s="220"/>
      <c r="AD884" s="220"/>
      <c r="AE884" s="220"/>
      <c r="AF884" s="220"/>
      <c r="AG884" s="220"/>
      <c r="AH884" s="220"/>
      <c r="AI884" s="220"/>
      <c r="AJ884" s="220"/>
      <c r="AK884" s="220"/>
      <c r="AL884" s="220"/>
    </row>
    <row r="885" ht="15.75" customHeight="1">
      <c r="A885" s="220"/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  <c r="W885" s="220"/>
      <c r="X885" s="220"/>
      <c r="Y885" s="220"/>
      <c r="Z885" s="220"/>
      <c r="AA885" s="220"/>
      <c r="AB885" s="220"/>
      <c r="AC885" s="220"/>
      <c r="AD885" s="220"/>
      <c r="AE885" s="220"/>
      <c r="AF885" s="220"/>
      <c r="AG885" s="220"/>
      <c r="AH885" s="220"/>
      <c r="AI885" s="220"/>
      <c r="AJ885" s="220"/>
      <c r="AK885" s="220"/>
      <c r="AL885" s="220"/>
    </row>
    <row r="886" ht="15.75" customHeight="1">
      <c r="A886" s="220"/>
      <c r="B886" s="220"/>
      <c r="C886" s="220"/>
      <c r="D886" s="220"/>
      <c r="E886" s="220"/>
      <c r="F886" s="220"/>
      <c r="G886" s="220"/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  <c r="W886" s="220"/>
      <c r="X886" s="220"/>
      <c r="Y886" s="220"/>
      <c r="Z886" s="220"/>
      <c r="AA886" s="220"/>
      <c r="AB886" s="220"/>
      <c r="AC886" s="220"/>
      <c r="AD886" s="220"/>
      <c r="AE886" s="220"/>
      <c r="AF886" s="220"/>
      <c r="AG886" s="220"/>
      <c r="AH886" s="220"/>
      <c r="AI886" s="220"/>
      <c r="AJ886" s="220"/>
      <c r="AK886" s="220"/>
      <c r="AL886" s="220"/>
    </row>
    <row r="887" ht="15.75" customHeight="1">
      <c r="A887" s="220"/>
      <c r="B887" s="220"/>
      <c r="C887" s="220"/>
      <c r="D887" s="220"/>
      <c r="E887" s="220"/>
      <c r="F887" s="220"/>
      <c r="G887" s="220"/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  <c r="W887" s="220"/>
      <c r="X887" s="220"/>
      <c r="Y887" s="220"/>
      <c r="Z887" s="220"/>
      <c r="AA887" s="220"/>
      <c r="AB887" s="220"/>
      <c r="AC887" s="220"/>
      <c r="AD887" s="220"/>
      <c r="AE887" s="220"/>
      <c r="AF887" s="220"/>
      <c r="AG887" s="220"/>
      <c r="AH887" s="220"/>
      <c r="AI887" s="220"/>
      <c r="AJ887" s="220"/>
      <c r="AK887" s="220"/>
      <c r="AL887" s="220"/>
    </row>
    <row r="888" ht="15.75" customHeight="1">
      <c r="A888" s="220"/>
      <c r="B888" s="220"/>
      <c r="C888" s="220"/>
      <c r="D888" s="220"/>
      <c r="E888" s="220"/>
      <c r="F888" s="220"/>
      <c r="G888" s="220"/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  <c r="W888" s="220"/>
      <c r="X888" s="220"/>
      <c r="Y888" s="220"/>
      <c r="Z888" s="220"/>
      <c r="AA888" s="220"/>
      <c r="AB888" s="220"/>
      <c r="AC888" s="220"/>
      <c r="AD888" s="220"/>
      <c r="AE888" s="220"/>
      <c r="AF888" s="220"/>
      <c r="AG888" s="220"/>
      <c r="AH888" s="220"/>
      <c r="AI888" s="220"/>
      <c r="AJ888" s="220"/>
      <c r="AK888" s="220"/>
      <c r="AL888" s="220"/>
    </row>
    <row r="889" ht="15.75" customHeight="1">
      <c r="A889" s="220"/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  <c r="W889" s="220"/>
      <c r="X889" s="220"/>
      <c r="Y889" s="220"/>
      <c r="Z889" s="220"/>
      <c r="AA889" s="220"/>
      <c r="AB889" s="220"/>
      <c r="AC889" s="220"/>
      <c r="AD889" s="220"/>
      <c r="AE889" s="220"/>
      <c r="AF889" s="220"/>
      <c r="AG889" s="220"/>
      <c r="AH889" s="220"/>
      <c r="AI889" s="220"/>
      <c r="AJ889" s="220"/>
      <c r="AK889" s="220"/>
      <c r="AL889" s="220"/>
    </row>
    <row r="890" ht="15.75" customHeight="1">
      <c r="A890" s="220"/>
      <c r="B890" s="220"/>
      <c r="C890" s="220"/>
      <c r="D890" s="220"/>
      <c r="E890" s="220"/>
      <c r="F890" s="220"/>
      <c r="G890" s="220"/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  <c r="W890" s="220"/>
      <c r="X890" s="220"/>
      <c r="Y890" s="220"/>
      <c r="Z890" s="220"/>
      <c r="AA890" s="220"/>
      <c r="AB890" s="220"/>
      <c r="AC890" s="220"/>
      <c r="AD890" s="220"/>
      <c r="AE890" s="220"/>
      <c r="AF890" s="220"/>
      <c r="AG890" s="220"/>
      <c r="AH890" s="220"/>
      <c r="AI890" s="220"/>
      <c r="AJ890" s="220"/>
      <c r="AK890" s="220"/>
      <c r="AL890" s="220"/>
    </row>
    <row r="891" ht="15.75" customHeight="1">
      <c r="A891" s="220"/>
      <c r="B891" s="220"/>
      <c r="C891" s="220"/>
      <c r="D891" s="220"/>
      <c r="E891" s="220"/>
      <c r="F891" s="220"/>
      <c r="G891" s="220"/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  <c r="W891" s="220"/>
      <c r="X891" s="220"/>
      <c r="Y891" s="220"/>
      <c r="Z891" s="220"/>
      <c r="AA891" s="220"/>
      <c r="AB891" s="220"/>
      <c r="AC891" s="220"/>
      <c r="AD891" s="220"/>
      <c r="AE891" s="220"/>
      <c r="AF891" s="220"/>
      <c r="AG891" s="220"/>
      <c r="AH891" s="220"/>
      <c r="AI891" s="220"/>
      <c r="AJ891" s="220"/>
      <c r="AK891" s="220"/>
      <c r="AL891" s="220"/>
    </row>
    <row r="892" ht="15.75" customHeight="1">
      <c r="A892" s="220"/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  <c r="W892" s="220"/>
      <c r="X892" s="220"/>
      <c r="Y892" s="220"/>
      <c r="Z892" s="220"/>
      <c r="AA892" s="220"/>
      <c r="AB892" s="220"/>
      <c r="AC892" s="220"/>
      <c r="AD892" s="220"/>
      <c r="AE892" s="220"/>
      <c r="AF892" s="220"/>
      <c r="AG892" s="220"/>
      <c r="AH892" s="220"/>
      <c r="AI892" s="220"/>
      <c r="AJ892" s="220"/>
      <c r="AK892" s="220"/>
      <c r="AL892" s="220"/>
    </row>
    <row r="893" ht="15.75" customHeight="1">
      <c r="A893" s="220"/>
      <c r="B893" s="220"/>
      <c r="C893" s="220"/>
      <c r="D893" s="220"/>
      <c r="E893" s="220"/>
      <c r="F893" s="220"/>
      <c r="G893" s="220"/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  <c r="W893" s="220"/>
      <c r="X893" s="220"/>
      <c r="Y893" s="220"/>
      <c r="Z893" s="220"/>
      <c r="AA893" s="220"/>
      <c r="AB893" s="220"/>
      <c r="AC893" s="220"/>
      <c r="AD893" s="220"/>
      <c r="AE893" s="220"/>
      <c r="AF893" s="220"/>
      <c r="AG893" s="220"/>
      <c r="AH893" s="220"/>
      <c r="AI893" s="220"/>
      <c r="AJ893" s="220"/>
      <c r="AK893" s="220"/>
      <c r="AL893" s="220"/>
    </row>
    <row r="894" ht="15.75" customHeight="1">
      <c r="A894" s="220"/>
      <c r="B894" s="220"/>
      <c r="C894" s="220"/>
      <c r="D894" s="220"/>
      <c r="E894" s="220"/>
      <c r="F894" s="220"/>
      <c r="G894" s="220"/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  <c r="W894" s="220"/>
      <c r="X894" s="220"/>
      <c r="Y894" s="220"/>
      <c r="Z894" s="220"/>
      <c r="AA894" s="220"/>
      <c r="AB894" s="220"/>
      <c r="AC894" s="220"/>
      <c r="AD894" s="220"/>
      <c r="AE894" s="220"/>
      <c r="AF894" s="220"/>
      <c r="AG894" s="220"/>
      <c r="AH894" s="220"/>
      <c r="AI894" s="220"/>
      <c r="AJ894" s="220"/>
      <c r="AK894" s="220"/>
      <c r="AL894" s="220"/>
    </row>
    <row r="895" ht="15.75" customHeight="1">
      <c r="A895" s="220"/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  <c r="W895" s="220"/>
      <c r="X895" s="220"/>
      <c r="Y895" s="220"/>
      <c r="Z895" s="220"/>
      <c r="AA895" s="220"/>
      <c r="AB895" s="220"/>
      <c r="AC895" s="220"/>
      <c r="AD895" s="220"/>
      <c r="AE895" s="220"/>
      <c r="AF895" s="220"/>
      <c r="AG895" s="220"/>
      <c r="AH895" s="220"/>
      <c r="AI895" s="220"/>
      <c r="AJ895" s="220"/>
      <c r="AK895" s="220"/>
      <c r="AL895" s="220"/>
    </row>
    <row r="896" ht="15.75" customHeight="1">
      <c r="A896" s="220"/>
      <c r="B896" s="220"/>
      <c r="C896" s="220"/>
      <c r="D896" s="220"/>
      <c r="E896" s="220"/>
      <c r="F896" s="220"/>
      <c r="G896" s="220"/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220"/>
      <c r="Y896" s="220"/>
      <c r="Z896" s="220"/>
      <c r="AA896" s="220"/>
      <c r="AB896" s="220"/>
      <c r="AC896" s="220"/>
      <c r="AD896" s="220"/>
      <c r="AE896" s="220"/>
      <c r="AF896" s="220"/>
      <c r="AG896" s="220"/>
      <c r="AH896" s="220"/>
      <c r="AI896" s="220"/>
      <c r="AJ896" s="220"/>
      <c r="AK896" s="220"/>
      <c r="AL896" s="220"/>
    </row>
    <row r="897" ht="15.75" customHeight="1">
      <c r="A897" s="220"/>
      <c r="B897" s="220"/>
      <c r="C897" s="220"/>
      <c r="D897" s="220"/>
      <c r="E897" s="220"/>
      <c r="F897" s="220"/>
      <c r="G897" s="220"/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  <c r="W897" s="220"/>
      <c r="X897" s="220"/>
      <c r="Y897" s="220"/>
      <c r="Z897" s="220"/>
      <c r="AA897" s="220"/>
      <c r="AB897" s="220"/>
      <c r="AC897" s="220"/>
      <c r="AD897" s="220"/>
      <c r="AE897" s="220"/>
      <c r="AF897" s="220"/>
      <c r="AG897" s="220"/>
      <c r="AH897" s="220"/>
      <c r="AI897" s="220"/>
      <c r="AJ897" s="220"/>
      <c r="AK897" s="220"/>
      <c r="AL897" s="220"/>
    </row>
    <row r="898" ht="15.75" customHeight="1">
      <c r="A898" s="220"/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  <c r="W898" s="220"/>
      <c r="X898" s="220"/>
      <c r="Y898" s="220"/>
      <c r="Z898" s="220"/>
      <c r="AA898" s="220"/>
      <c r="AB898" s="220"/>
      <c r="AC898" s="220"/>
      <c r="AD898" s="220"/>
      <c r="AE898" s="220"/>
      <c r="AF898" s="220"/>
      <c r="AG898" s="220"/>
      <c r="AH898" s="220"/>
      <c r="AI898" s="220"/>
      <c r="AJ898" s="220"/>
      <c r="AK898" s="220"/>
      <c r="AL898" s="220"/>
    </row>
    <row r="899" ht="15.75" customHeight="1">
      <c r="A899" s="220"/>
      <c r="B899" s="220"/>
      <c r="C899" s="220"/>
      <c r="D899" s="220"/>
      <c r="E899" s="220"/>
      <c r="F899" s="220"/>
      <c r="G899" s="220"/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  <c r="W899" s="220"/>
      <c r="X899" s="220"/>
      <c r="Y899" s="220"/>
      <c r="Z899" s="220"/>
      <c r="AA899" s="220"/>
      <c r="AB899" s="220"/>
      <c r="AC899" s="220"/>
      <c r="AD899" s="220"/>
      <c r="AE899" s="220"/>
      <c r="AF899" s="220"/>
      <c r="AG899" s="220"/>
      <c r="AH899" s="220"/>
      <c r="AI899" s="220"/>
      <c r="AJ899" s="220"/>
      <c r="AK899" s="220"/>
      <c r="AL899" s="220"/>
    </row>
    <row r="900" ht="15.75" customHeight="1">
      <c r="A900" s="220"/>
      <c r="B900" s="220"/>
      <c r="C900" s="220"/>
      <c r="D900" s="220"/>
      <c r="E900" s="220"/>
      <c r="F900" s="220"/>
      <c r="G900" s="220"/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  <c r="W900" s="220"/>
      <c r="X900" s="220"/>
      <c r="Y900" s="220"/>
      <c r="Z900" s="220"/>
      <c r="AA900" s="220"/>
      <c r="AB900" s="220"/>
      <c r="AC900" s="220"/>
      <c r="AD900" s="220"/>
      <c r="AE900" s="220"/>
      <c r="AF900" s="220"/>
      <c r="AG900" s="220"/>
      <c r="AH900" s="220"/>
      <c r="AI900" s="220"/>
      <c r="AJ900" s="220"/>
      <c r="AK900" s="220"/>
      <c r="AL900" s="220"/>
    </row>
    <row r="901" ht="15.75" customHeight="1">
      <c r="A901" s="220"/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  <c r="W901" s="220"/>
      <c r="X901" s="220"/>
      <c r="Y901" s="220"/>
      <c r="Z901" s="220"/>
      <c r="AA901" s="220"/>
      <c r="AB901" s="220"/>
      <c r="AC901" s="220"/>
      <c r="AD901" s="220"/>
      <c r="AE901" s="220"/>
      <c r="AF901" s="220"/>
      <c r="AG901" s="220"/>
      <c r="AH901" s="220"/>
      <c r="AI901" s="220"/>
      <c r="AJ901" s="220"/>
      <c r="AK901" s="220"/>
      <c r="AL901" s="220"/>
    </row>
    <row r="902" ht="15.75" customHeight="1">
      <c r="A902" s="220"/>
      <c r="B902" s="220"/>
      <c r="C902" s="220"/>
      <c r="D902" s="220"/>
      <c r="E902" s="220"/>
      <c r="F902" s="220"/>
      <c r="G902" s="220"/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  <c r="W902" s="220"/>
      <c r="X902" s="220"/>
      <c r="Y902" s="220"/>
      <c r="Z902" s="220"/>
      <c r="AA902" s="220"/>
      <c r="AB902" s="220"/>
      <c r="AC902" s="220"/>
      <c r="AD902" s="220"/>
      <c r="AE902" s="220"/>
      <c r="AF902" s="220"/>
      <c r="AG902" s="220"/>
      <c r="AH902" s="220"/>
      <c r="AI902" s="220"/>
      <c r="AJ902" s="220"/>
      <c r="AK902" s="220"/>
      <c r="AL902" s="220"/>
    </row>
    <row r="903" ht="15.75" customHeight="1">
      <c r="A903" s="220"/>
      <c r="B903" s="220"/>
      <c r="C903" s="220"/>
      <c r="D903" s="220"/>
      <c r="E903" s="220"/>
      <c r="F903" s="220"/>
      <c r="G903" s="220"/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  <c r="W903" s="220"/>
      <c r="X903" s="220"/>
      <c r="Y903" s="220"/>
      <c r="Z903" s="220"/>
      <c r="AA903" s="220"/>
      <c r="AB903" s="220"/>
      <c r="AC903" s="220"/>
      <c r="AD903" s="220"/>
      <c r="AE903" s="220"/>
      <c r="AF903" s="220"/>
      <c r="AG903" s="220"/>
      <c r="AH903" s="220"/>
      <c r="AI903" s="220"/>
      <c r="AJ903" s="220"/>
      <c r="AK903" s="220"/>
      <c r="AL903" s="220"/>
    </row>
    <row r="904" ht="15.75" customHeight="1">
      <c r="A904" s="220"/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  <c r="W904" s="220"/>
      <c r="X904" s="220"/>
      <c r="Y904" s="220"/>
      <c r="Z904" s="220"/>
      <c r="AA904" s="220"/>
      <c r="AB904" s="220"/>
      <c r="AC904" s="220"/>
      <c r="AD904" s="220"/>
      <c r="AE904" s="220"/>
      <c r="AF904" s="220"/>
      <c r="AG904" s="220"/>
      <c r="AH904" s="220"/>
      <c r="AI904" s="220"/>
      <c r="AJ904" s="220"/>
      <c r="AK904" s="220"/>
      <c r="AL904" s="220"/>
    </row>
    <row r="905" ht="15.75" customHeight="1">
      <c r="A905" s="220"/>
      <c r="B905" s="220"/>
      <c r="C905" s="220"/>
      <c r="D905" s="220"/>
      <c r="E905" s="220"/>
      <c r="F905" s="220"/>
      <c r="G905" s="220"/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  <c r="W905" s="220"/>
      <c r="X905" s="220"/>
      <c r="Y905" s="220"/>
      <c r="Z905" s="220"/>
      <c r="AA905" s="220"/>
      <c r="AB905" s="220"/>
      <c r="AC905" s="220"/>
      <c r="AD905" s="220"/>
      <c r="AE905" s="220"/>
      <c r="AF905" s="220"/>
      <c r="AG905" s="220"/>
      <c r="AH905" s="220"/>
      <c r="AI905" s="220"/>
      <c r="AJ905" s="220"/>
      <c r="AK905" s="220"/>
      <c r="AL905" s="220"/>
    </row>
    <row r="906" ht="15.75" customHeight="1">
      <c r="A906" s="220"/>
      <c r="B906" s="220"/>
      <c r="C906" s="220"/>
      <c r="D906" s="220"/>
      <c r="E906" s="220"/>
      <c r="F906" s="220"/>
      <c r="G906" s="220"/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  <c r="W906" s="220"/>
      <c r="X906" s="220"/>
      <c r="Y906" s="220"/>
      <c r="Z906" s="220"/>
      <c r="AA906" s="220"/>
      <c r="AB906" s="220"/>
      <c r="AC906" s="220"/>
      <c r="AD906" s="220"/>
      <c r="AE906" s="220"/>
      <c r="AF906" s="220"/>
      <c r="AG906" s="220"/>
      <c r="AH906" s="220"/>
      <c r="AI906" s="220"/>
      <c r="AJ906" s="220"/>
      <c r="AK906" s="220"/>
      <c r="AL906" s="220"/>
    </row>
    <row r="907" ht="15.75" customHeight="1">
      <c r="A907" s="220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  <c r="W907" s="220"/>
      <c r="X907" s="220"/>
      <c r="Y907" s="220"/>
      <c r="Z907" s="220"/>
      <c r="AA907" s="220"/>
      <c r="AB907" s="220"/>
      <c r="AC907" s="220"/>
      <c r="AD907" s="220"/>
      <c r="AE907" s="220"/>
      <c r="AF907" s="220"/>
      <c r="AG907" s="220"/>
      <c r="AH907" s="220"/>
      <c r="AI907" s="220"/>
      <c r="AJ907" s="220"/>
      <c r="AK907" s="220"/>
      <c r="AL907" s="220"/>
    </row>
    <row r="908" ht="15.75" customHeight="1">
      <c r="A908" s="220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  <c r="W908" s="220"/>
      <c r="X908" s="220"/>
      <c r="Y908" s="220"/>
      <c r="Z908" s="220"/>
      <c r="AA908" s="220"/>
      <c r="AB908" s="220"/>
      <c r="AC908" s="220"/>
      <c r="AD908" s="220"/>
      <c r="AE908" s="220"/>
      <c r="AF908" s="220"/>
      <c r="AG908" s="220"/>
      <c r="AH908" s="220"/>
      <c r="AI908" s="220"/>
      <c r="AJ908" s="220"/>
      <c r="AK908" s="220"/>
      <c r="AL908" s="220"/>
    </row>
    <row r="909" ht="15.75" customHeight="1">
      <c r="A909" s="220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  <c r="W909" s="220"/>
      <c r="X909" s="220"/>
      <c r="Y909" s="220"/>
      <c r="Z909" s="220"/>
      <c r="AA909" s="220"/>
      <c r="AB909" s="220"/>
      <c r="AC909" s="220"/>
      <c r="AD909" s="220"/>
      <c r="AE909" s="220"/>
      <c r="AF909" s="220"/>
      <c r="AG909" s="220"/>
      <c r="AH909" s="220"/>
      <c r="AI909" s="220"/>
      <c r="AJ909" s="220"/>
      <c r="AK909" s="220"/>
      <c r="AL909" s="220"/>
    </row>
    <row r="910" ht="15.75" customHeight="1">
      <c r="A910" s="220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  <c r="W910" s="220"/>
      <c r="X910" s="220"/>
      <c r="Y910" s="220"/>
      <c r="Z910" s="220"/>
      <c r="AA910" s="220"/>
      <c r="AB910" s="220"/>
      <c r="AC910" s="220"/>
      <c r="AD910" s="220"/>
      <c r="AE910" s="220"/>
      <c r="AF910" s="220"/>
      <c r="AG910" s="220"/>
      <c r="AH910" s="220"/>
      <c r="AI910" s="220"/>
      <c r="AJ910" s="220"/>
      <c r="AK910" s="220"/>
      <c r="AL910" s="220"/>
    </row>
    <row r="911" ht="15.75" customHeight="1">
      <c r="A911" s="220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  <c r="W911" s="220"/>
      <c r="X911" s="220"/>
      <c r="Y911" s="220"/>
      <c r="Z911" s="220"/>
      <c r="AA911" s="220"/>
      <c r="AB911" s="220"/>
      <c r="AC911" s="220"/>
      <c r="AD911" s="220"/>
      <c r="AE911" s="220"/>
      <c r="AF911" s="220"/>
      <c r="AG911" s="220"/>
      <c r="AH911" s="220"/>
      <c r="AI911" s="220"/>
      <c r="AJ911" s="220"/>
      <c r="AK911" s="220"/>
      <c r="AL911" s="220"/>
    </row>
    <row r="912" ht="15.75" customHeight="1">
      <c r="A912" s="220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  <c r="W912" s="220"/>
      <c r="X912" s="220"/>
      <c r="Y912" s="220"/>
      <c r="Z912" s="220"/>
      <c r="AA912" s="220"/>
      <c r="AB912" s="220"/>
      <c r="AC912" s="220"/>
      <c r="AD912" s="220"/>
      <c r="AE912" s="220"/>
      <c r="AF912" s="220"/>
      <c r="AG912" s="220"/>
      <c r="AH912" s="220"/>
      <c r="AI912" s="220"/>
      <c r="AJ912" s="220"/>
      <c r="AK912" s="220"/>
      <c r="AL912" s="220"/>
    </row>
    <row r="913" ht="15.75" customHeight="1">
      <c r="A913" s="220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  <c r="W913" s="220"/>
      <c r="X913" s="220"/>
      <c r="Y913" s="220"/>
      <c r="Z913" s="220"/>
      <c r="AA913" s="220"/>
      <c r="AB913" s="220"/>
      <c r="AC913" s="220"/>
      <c r="AD913" s="220"/>
      <c r="AE913" s="220"/>
      <c r="AF913" s="220"/>
      <c r="AG913" s="220"/>
      <c r="AH913" s="220"/>
      <c r="AI913" s="220"/>
      <c r="AJ913" s="220"/>
      <c r="AK913" s="220"/>
      <c r="AL913" s="220"/>
    </row>
    <row r="914" ht="15.75" customHeight="1">
      <c r="A914" s="220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20"/>
      <c r="AA914" s="220"/>
      <c r="AB914" s="220"/>
      <c r="AC914" s="220"/>
      <c r="AD914" s="220"/>
      <c r="AE914" s="220"/>
      <c r="AF914" s="220"/>
      <c r="AG914" s="220"/>
      <c r="AH914" s="220"/>
      <c r="AI914" s="220"/>
      <c r="AJ914" s="220"/>
      <c r="AK914" s="220"/>
      <c r="AL914" s="220"/>
    </row>
    <row r="915" ht="15.75" customHeight="1">
      <c r="A915" s="220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  <c r="W915" s="220"/>
      <c r="X915" s="220"/>
      <c r="Y915" s="220"/>
      <c r="Z915" s="220"/>
      <c r="AA915" s="220"/>
      <c r="AB915" s="220"/>
      <c r="AC915" s="220"/>
      <c r="AD915" s="220"/>
      <c r="AE915" s="220"/>
      <c r="AF915" s="220"/>
      <c r="AG915" s="220"/>
      <c r="AH915" s="220"/>
      <c r="AI915" s="220"/>
      <c r="AJ915" s="220"/>
      <c r="AK915" s="220"/>
      <c r="AL915" s="220"/>
    </row>
    <row r="916" ht="15.75" customHeight="1">
      <c r="A916" s="220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  <c r="W916" s="220"/>
      <c r="X916" s="220"/>
      <c r="Y916" s="220"/>
      <c r="Z916" s="220"/>
      <c r="AA916" s="220"/>
      <c r="AB916" s="220"/>
      <c r="AC916" s="220"/>
      <c r="AD916" s="220"/>
      <c r="AE916" s="220"/>
      <c r="AF916" s="220"/>
      <c r="AG916" s="220"/>
      <c r="AH916" s="220"/>
      <c r="AI916" s="220"/>
      <c r="AJ916" s="220"/>
      <c r="AK916" s="220"/>
      <c r="AL916" s="220"/>
    </row>
    <row r="917" ht="15.75" customHeight="1">
      <c r="A917" s="220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  <c r="W917" s="220"/>
      <c r="X917" s="220"/>
      <c r="Y917" s="220"/>
      <c r="Z917" s="220"/>
      <c r="AA917" s="220"/>
      <c r="AB917" s="220"/>
      <c r="AC917" s="220"/>
      <c r="AD917" s="220"/>
      <c r="AE917" s="220"/>
      <c r="AF917" s="220"/>
      <c r="AG917" s="220"/>
      <c r="AH917" s="220"/>
      <c r="AI917" s="220"/>
      <c r="AJ917" s="220"/>
      <c r="AK917" s="220"/>
      <c r="AL917" s="220"/>
    </row>
    <row r="918" ht="15.75" customHeight="1">
      <c r="A918" s="220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  <c r="W918" s="220"/>
      <c r="X918" s="220"/>
      <c r="Y918" s="220"/>
      <c r="Z918" s="220"/>
      <c r="AA918" s="220"/>
      <c r="AB918" s="220"/>
      <c r="AC918" s="220"/>
      <c r="AD918" s="220"/>
      <c r="AE918" s="220"/>
      <c r="AF918" s="220"/>
      <c r="AG918" s="220"/>
      <c r="AH918" s="220"/>
      <c r="AI918" s="220"/>
      <c r="AJ918" s="220"/>
      <c r="AK918" s="220"/>
      <c r="AL918" s="220"/>
    </row>
    <row r="919" ht="15.75" customHeight="1">
      <c r="A919" s="220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  <c r="W919" s="220"/>
      <c r="X919" s="220"/>
      <c r="Y919" s="220"/>
      <c r="Z919" s="220"/>
      <c r="AA919" s="220"/>
      <c r="AB919" s="220"/>
      <c r="AC919" s="220"/>
      <c r="AD919" s="220"/>
      <c r="AE919" s="220"/>
      <c r="AF919" s="220"/>
      <c r="AG919" s="220"/>
      <c r="AH919" s="220"/>
      <c r="AI919" s="220"/>
      <c r="AJ919" s="220"/>
      <c r="AK919" s="220"/>
      <c r="AL919" s="220"/>
    </row>
    <row r="920" ht="15.75" customHeight="1">
      <c r="A920" s="220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  <c r="W920" s="220"/>
      <c r="X920" s="220"/>
      <c r="Y920" s="220"/>
      <c r="Z920" s="220"/>
      <c r="AA920" s="220"/>
      <c r="AB920" s="220"/>
      <c r="AC920" s="220"/>
      <c r="AD920" s="220"/>
      <c r="AE920" s="220"/>
      <c r="AF920" s="220"/>
      <c r="AG920" s="220"/>
      <c r="AH920" s="220"/>
      <c r="AI920" s="220"/>
      <c r="AJ920" s="220"/>
      <c r="AK920" s="220"/>
      <c r="AL920" s="220"/>
    </row>
    <row r="921" ht="15.75" customHeight="1">
      <c r="A921" s="220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0"/>
      <c r="AA921" s="220"/>
      <c r="AB921" s="220"/>
      <c r="AC921" s="220"/>
      <c r="AD921" s="220"/>
      <c r="AE921" s="220"/>
      <c r="AF921" s="220"/>
      <c r="AG921" s="220"/>
      <c r="AH921" s="220"/>
      <c r="AI921" s="220"/>
      <c r="AJ921" s="220"/>
      <c r="AK921" s="220"/>
      <c r="AL921" s="220"/>
    </row>
    <row r="922" ht="15.75" customHeight="1">
      <c r="A922" s="220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  <c r="W922" s="220"/>
      <c r="X922" s="220"/>
      <c r="Y922" s="220"/>
      <c r="Z922" s="220"/>
      <c r="AA922" s="220"/>
      <c r="AB922" s="220"/>
      <c r="AC922" s="220"/>
      <c r="AD922" s="220"/>
      <c r="AE922" s="220"/>
      <c r="AF922" s="220"/>
      <c r="AG922" s="220"/>
      <c r="AH922" s="220"/>
      <c r="AI922" s="220"/>
      <c r="AJ922" s="220"/>
      <c r="AK922" s="220"/>
      <c r="AL922" s="220"/>
    </row>
    <row r="923" ht="15.75" customHeight="1">
      <c r="A923" s="220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  <c r="W923" s="220"/>
      <c r="X923" s="220"/>
      <c r="Y923" s="220"/>
      <c r="Z923" s="220"/>
      <c r="AA923" s="220"/>
      <c r="AB923" s="220"/>
      <c r="AC923" s="220"/>
      <c r="AD923" s="220"/>
      <c r="AE923" s="220"/>
      <c r="AF923" s="220"/>
      <c r="AG923" s="220"/>
      <c r="AH923" s="220"/>
      <c r="AI923" s="220"/>
      <c r="AJ923" s="220"/>
      <c r="AK923" s="220"/>
      <c r="AL923" s="220"/>
    </row>
    <row r="924" ht="15.75" customHeight="1">
      <c r="A924" s="220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  <c r="W924" s="220"/>
      <c r="X924" s="220"/>
      <c r="Y924" s="220"/>
      <c r="Z924" s="220"/>
      <c r="AA924" s="220"/>
      <c r="AB924" s="220"/>
      <c r="AC924" s="220"/>
      <c r="AD924" s="220"/>
      <c r="AE924" s="220"/>
      <c r="AF924" s="220"/>
      <c r="AG924" s="220"/>
      <c r="AH924" s="220"/>
      <c r="AI924" s="220"/>
      <c r="AJ924" s="220"/>
      <c r="AK924" s="220"/>
      <c r="AL924" s="220"/>
    </row>
    <row r="925" ht="15.75" customHeight="1">
      <c r="A925" s="220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  <c r="W925" s="220"/>
      <c r="X925" s="220"/>
      <c r="Y925" s="220"/>
      <c r="Z925" s="220"/>
      <c r="AA925" s="220"/>
      <c r="AB925" s="220"/>
      <c r="AC925" s="220"/>
      <c r="AD925" s="220"/>
      <c r="AE925" s="220"/>
      <c r="AF925" s="220"/>
      <c r="AG925" s="220"/>
      <c r="AH925" s="220"/>
      <c r="AI925" s="220"/>
      <c r="AJ925" s="220"/>
      <c r="AK925" s="220"/>
      <c r="AL925" s="220"/>
    </row>
    <row r="926" ht="15.75" customHeight="1">
      <c r="A926" s="220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  <c r="W926" s="220"/>
      <c r="X926" s="220"/>
      <c r="Y926" s="220"/>
      <c r="Z926" s="220"/>
      <c r="AA926" s="220"/>
      <c r="AB926" s="220"/>
      <c r="AC926" s="220"/>
      <c r="AD926" s="220"/>
      <c r="AE926" s="220"/>
      <c r="AF926" s="220"/>
      <c r="AG926" s="220"/>
      <c r="AH926" s="220"/>
      <c r="AI926" s="220"/>
      <c r="AJ926" s="220"/>
      <c r="AK926" s="220"/>
      <c r="AL926" s="220"/>
    </row>
    <row r="927" ht="15.75" customHeight="1">
      <c r="A927" s="220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  <c r="W927" s="220"/>
      <c r="X927" s="220"/>
      <c r="Y927" s="220"/>
      <c r="Z927" s="220"/>
      <c r="AA927" s="220"/>
      <c r="AB927" s="220"/>
      <c r="AC927" s="220"/>
      <c r="AD927" s="220"/>
      <c r="AE927" s="220"/>
      <c r="AF927" s="220"/>
      <c r="AG927" s="220"/>
      <c r="AH927" s="220"/>
      <c r="AI927" s="220"/>
      <c r="AJ927" s="220"/>
      <c r="AK927" s="220"/>
      <c r="AL927" s="220"/>
    </row>
    <row r="928" ht="15.75" customHeight="1">
      <c r="A928" s="220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  <c r="W928" s="220"/>
      <c r="X928" s="220"/>
      <c r="Y928" s="220"/>
      <c r="Z928" s="220"/>
      <c r="AA928" s="220"/>
      <c r="AB928" s="220"/>
      <c r="AC928" s="220"/>
      <c r="AD928" s="220"/>
      <c r="AE928" s="220"/>
      <c r="AF928" s="220"/>
      <c r="AG928" s="220"/>
      <c r="AH928" s="220"/>
      <c r="AI928" s="220"/>
      <c r="AJ928" s="220"/>
      <c r="AK928" s="220"/>
      <c r="AL928" s="220"/>
    </row>
    <row r="929" ht="15.75" customHeight="1">
      <c r="A929" s="220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  <c r="W929" s="220"/>
      <c r="X929" s="220"/>
      <c r="Y929" s="220"/>
      <c r="Z929" s="220"/>
      <c r="AA929" s="220"/>
      <c r="AB929" s="220"/>
      <c r="AC929" s="220"/>
      <c r="AD929" s="220"/>
      <c r="AE929" s="220"/>
      <c r="AF929" s="220"/>
      <c r="AG929" s="220"/>
      <c r="AH929" s="220"/>
      <c r="AI929" s="220"/>
      <c r="AJ929" s="220"/>
      <c r="AK929" s="220"/>
      <c r="AL929" s="220"/>
    </row>
    <row r="930" ht="15.75" customHeight="1">
      <c r="A930" s="220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  <c r="W930" s="220"/>
      <c r="X930" s="220"/>
      <c r="Y930" s="220"/>
      <c r="Z930" s="220"/>
      <c r="AA930" s="220"/>
      <c r="AB930" s="220"/>
      <c r="AC930" s="220"/>
      <c r="AD930" s="220"/>
      <c r="AE930" s="220"/>
      <c r="AF930" s="220"/>
      <c r="AG930" s="220"/>
      <c r="AH930" s="220"/>
      <c r="AI930" s="220"/>
      <c r="AJ930" s="220"/>
      <c r="AK930" s="220"/>
      <c r="AL930" s="220"/>
    </row>
    <row r="931" ht="15.75" customHeight="1">
      <c r="A931" s="220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  <c r="W931" s="220"/>
      <c r="X931" s="220"/>
      <c r="Y931" s="220"/>
      <c r="Z931" s="220"/>
      <c r="AA931" s="220"/>
      <c r="AB931" s="220"/>
      <c r="AC931" s="220"/>
      <c r="AD931" s="220"/>
      <c r="AE931" s="220"/>
      <c r="AF931" s="220"/>
      <c r="AG931" s="220"/>
      <c r="AH931" s="220"/>
      <c r="AI931" s="220"/>
      <c r="AJ931" s="220"/>
      <c r="AK931" s="220"/>
      <c r="AL931" s="220"/>
    </row>
    <row r="932" ht="15.75" customHeight="1">
      <c r="A932" s="220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  <c r="W932" s="220"/>
      <c r="X932" s="220"/>
      <c r="Y932" s="220"/>
      <c r="Z932" s="220"/>
      <c r="AA932" s="220"/>
      <c r="AB932" s="220"/>
      <c r="AC932" s="220"/>
      <c r="AD932" s="220"/>
      <c r="AE932" s="220"/>
      <c r="AF932" s="220"/>
      <c r="AG932" s="220"/>
      <c r="AH932" s="220"/>
      <c r="AI932" s="220"/>
      <c r="AJ932" s="220"/>
      <c r="AK932" s="220"/>
      <c r="AL932" s="220"/>
    </row>
    <row r="933" ht="15.75" customHeight="1">
      <c r="A933" s="220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  <c r="W933" s="220"/>
      <c r="X933" s="220"/>
      <c r="Y933" s="220"/>
      <c r="Z933" s="220"/>
      <c r="AA933" s="220"/>
      <c r="AB933" s="220"/>
      <c r="AC933" s="220"/>
      <c r="AD933" s="220"/>
      <c r="AE933" s="220"/>
      <c r="AF933" s="220"/>
      <c r="AG933" s="220"/>
      <c r="AH933" s="220"/>
      <c r="AI933" s="220"/>
      <c r="AJ933" s="220"/>
      <c r="AK933" s="220"/>
      <c r="AL933" s="220"/>
    </row>
    <row r="934" ht="15.75" customHeight="1">
      <c r="A934" s="220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  <c r="W934" s="220"/>
      <c r="X934" s="220"/>
      <c r="Y934" s="220"/>
      <c r="Z934" s="220"/>
      <c r="AA934" s="220"/>
      <c r="AB934" s="220"/>
      <c r="AC934" s="220"/>
      <c r="AD934" s="220"/>
      <c r="AE934" s="220"/>
      <c r="AF934" s="220"/>
      <c r="AG934" s="220"/>
      <c r="AH934" s="220"/>
      <c r="AI934" s="220"/>
      <c r="AJ934" s="220"/>
      <c r="AK934" s="220"/>
      <c r="AL934" s="220"/>
    </row>
    <row r="935" ht="15.75" customHeight="1">
      <c r="A935" s="220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  <c r="W935" s="220"/>
      <c r="X935" s="220"/>
      <c r="Y935" s="220"/>
      <c r="Z935" s="220"/>
      <c r="AA935" s="220"/>
      <c r="AB935" s="220"/>
      <c r="AC935" s="220"/>
      <c r="AD935" s="220"/>
      <c r="AE935" s="220"/>
      <c r="AF935" s="220"/>
      <c r="AG935" s="220"/>
      <c r="AH935" s="220"/>
      <c r="AI935" s="220"/>
      <c r="AJ935" s="220"/>
      <c r="AK935" s="220"/>
      <c r="AL935" s="220"/>
    </row>
    <row r="936" ht="15.75" customHeight="1">
      <c r="A936" s="220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  <c r="W936" s="220"/>
      <c r="X936" s="220"/>
      <c r="Y936" s="220"/>
      <c r="Z936" s="220"/>
      <c r="AA936" s="220"/>
      <c r="AB936" s="220"/>
      <c r="AC936" s="220"/>
      <c r="AD936" s="220"/>
      <c r="AE936" s="220"/>
      <c r="AF936" s="220"/>
      <c r="AG936" s="220"/>
      <c r="AH936" s="220"/>
      <c r="AI936" s="220"/>
      <c r="AJ936" s="220"/>
      <c r="AK936" s="220"/>
      <c r="AL936" s="220"/>
    </row>
    <row r="937" ht="15.75" customHeight="1">
      <c r="A937" s="220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  <c r="W937" s="220"/>
      <c r="X937" s="220"/>
      <c r="Y937" s="220"/>
      <c r="Z937" s="220"/>
      <c r="AA937" s="220"/>
      <c r="AB937" s="220"/>
      <c r="AC937" s="220"/>
      <c r="AD937" s="220"/>
      <c r="AE937" s="220"/>
      <c r="AF937" s="220"/>
      <c r="AG937" s="220"/>
      <c r="AH937" s="220"/>
      <c r="AI937" s="220"/>
      <c r="AJ937" s="220"/>
      <c r="AK937" s="220"/>
      <c r="AL937" s="220"/>
    </row>
    <row r="938" ht="15.75" customHeight="1">
      <c r="A938" s="220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  <c r="W938" s="220"/>
      <c r="X938" s="220"/>
      <c r="Y938" s="220"/>
      <c r="Z938" s="220"/>
      <c r="AA938" s="220"/>
      <c r="AB938" s="220"/>
      <c r="AC938" s="220"/>
      <c r="AD938" s="220"/>
      <c r="AE938" s="220"/>
      <c r="AF938" s="220"/>
      <c r="AG938" s="220"/>
      <c r="AH938" s="220"/>
      <c r="AI938" s="220"/>
      <c r="AJ938" s="220"/>
      <c r="AK938" s="220"/>
      <c r="AL938" s="220"/>
    </row>
    <row r="939" ht="15.75" customHeight="1">
      <c r="A939" s="220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  <c r="W939" s="220"/>
      <c r="X939" s="220"/>
      <c r="Y939" s="220"/>
      <c r="Z939" s="220"/>
      <c r="AA939" s="220"/>
      <c r="AB939" s="220"/>
      <c r="AC939" s="220"/>
      <c r="AD939" s="220"/>
      <c r="AE939" s="220"/>
      <c r="AF939" s="220"/>
      <c r="AG939" s="220"/>
      <c r="AH939" s="220"/>
      <c r="AI939" s="220"/>
      <c r="AJ939" s="220"/>
      <c r="AK939" s="220"/>
      <c r="AL939" s="220"/>
    </row>
    <row r="940" ht="15.75" customHeight="1">
      <c r="A940" s="220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  <c r="W940" s="220"/>
      <c r="X940" s="220"/>
      <c r="Y940" s="220"/>
      <c r="Z940" s="220"/>
      <c r="AA940" s="220"/>
      <c r="AB940" s="220"/>
      <c r="AC940" s="220"/>
      <c r="AD940" s="220"/>
      <c r="AE940" s="220"/>
      <c r="AF940" s="220"/>
      <c r="AG940" s="220"/>
      <c r="AH940" s="220"/>
      <c r="AI940" s="220"/>
      <c r="AJ940" s="220"/>
      <c r="AK940" s="220"/>
      <c r="AL940" s="220"/>
    </row>
    <row r="941" ht="15.75" customHeight="1">
      <c r="A941" s="220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  <c r="W941" s="220"/>
      <c r="X941" s="220"/>
      <c r="Y941" s="220"/>
      <c r="Z941" s="220"/>
      <c r="AA941" s="220"/>
      <c r="AB941" s="220"/>
      <c r="AC941" s="220"/>
      <c r="AD941" s="220"/>
      <c r="AE941" s="220"/>
      <c r="AF941" s="220"/>
      <c r="AG941" s="220"/>
      <c r="AH941" s="220"/>
      <c r="AI941" s="220"/>
      <c r="AJ941" s="220"/>
      <c r="AK941" s="220"/>
      <c r="AL941" s="220"/>
    </row>
    <row r="942" ht="15.75" customHeight="1">
      <c r="A942" s="220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  <c r="W942" s="220"/>
      <c r="X942" s="220"/>
      <c r="Y942" s="220"/>
      <c r="Z942" s="220"/>
      <c r="AA942" s="220"/>
      <c r="AB942" s="220"/>
      <c r="AC942" s="220"/>
      <c r="AD942" s="220"/>
      <c r="AE942" s="220"/>
      <c r="AF942" s="220"/>
      <c r="AG942" s="220"/>
      <c r="AH942" s="220"/>
      <c r="AI942" s="220"/>
      <c r="AJ942" s="220"/>
      <c r="AK942" s="220"/>
      <c r="AL942" s="220"/>
    </row>
    <row r="943" ht="15.75" customHeight="1">
      <c r="A943" s="220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  <c r="W943" s="220"/>
      <c r="X943" s="220"/>
      <c r="Y943" s="220"/>
      <c r="Z943" s="220"/>
      <c r="AA943" s="220"/>
      <c r="AB943" s="220"/>
      <c r="AC943" s="220"/>
      <c r="AD943" s="220"/>
      <c r="AE943" s="220"/>
      <c r="AF943" s="220"/>
      <c r="AG943" s="220"/>
      <c r="AH943" s="220"/>
      <c r="AI943" s="220"/>
      <c r="AJ943" s="220"/>
      <c r="AK943" s="220"/>
      <c r="AL943" s="220"/>
    </row>
    <row r="944" ht="15.75" customHeight="1">
      <c r="A944" s="220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  <c r="W944" s="220"/>
      <c r="X944" s="220"/>
      <c r="Y944" s="220"/>
      <c r="Z944" s="220"/>
      <c r="AA944" s="220"/>
      <c r="AB944" s="220"/>
      <c r="AC944" s="220"/>
      <c r="AD944" s="220"/>
      <c r="AE944" s="220"/>
      <c r="AF944" s="220"/>
      <c r="AG944" s="220"/>
      <c r="AH944" s="220"/>
      <c r="AI944" s="220"/>
      <c r="AJ944" s="220"/>
      <c r="AK944" s="220"/>
      <c r="AL944" s="220"/>
    </row>
    <row r="945" ht="15.75" customHeight="1">
      <c r="A945" s="220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  <c r="W945" s="220"/>
      <c r="X945" s="220"/>
      <c r="Y945" s="220"/>
      <c r="Z945" s="220"/>
      <c r="AA945" s="220"/>
      <c r="AB945" s="220"/>
      <c r="AC945" s="220"/>
      <c r="AD945" s="220"/>
      <c r="AE945" s="220"/>
      <c r="AF945" s="220"/>
      <c r="AG945" s="220"/>
      <c r="AH945" s="220"/>
      <c r="AI945" s="220"/>
      <c r="AJ945" s="220"/>
      <c r="AK945" s="220"/>
      <c r="AL945" s="220"/>
    </row>
    <row r="946" ht="15.75" customHeight="1">
      <c r="A946" s="220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  <c r="W946" s="220"/>
      <c r="X946" s="220"/>
      <c r="Y946" s="220"/>
      <c r="Z946" s="220"/>
      <c r="AA946" s="220"/>
      <c r="AB946" s="220"/>
      <c r="AC946" s="220"/>
      <c r="AD946" s="220"/>
      <c r="AE946" s="220"/>
      <c r="AF946" s="220"/>
      <c r="AG946" s="220"/>
      <c r="AH946" s="220"/>
      <c r="AI946" s="220"/>
      <c r="AJ946" s="220"/>
      <c r="AK946" s="220"/>
      <c r="AL946" s="220"/>
    </row>
    <row r="947" ht="15.75" customHeight="1">
      <c r="A947" s="220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  <c r="W947" s="220"/>
      <c r="X947" s="220"/>
      <c r="Y947" s="220"/>
      <c r="Z947" s="220"/>
      <c r="AA947" s="220"/>
      <c r="AB947" s="220"/>
      <c r="AC947" s="220"/>
      <c r="AD947" s="220"/>
      <c r="AE947" s="220"/>
      <c r="AF947" s="220"/>
      <c r="AG947" s="220"/>
      <c r="AH947" s="220"/>
      <c r="AI947" s="220"/>
      <c r="AJ947" s="220"/>
      <c r="AK947" s="220"/>
      <c r="AL947" s="220"/>
    </row>
    <row r="948" ht="15.75" customHeight="1">
      <c r="A948" s="220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  <c r="W948" s="220"/>
      <c r="X948" s="220"/>
      <c r="Y948" s="220"/>
      <c r="Z948" s="220"/>
      <c r="AA948" s="220"/>
      <c r="AB948" s="220"/>
      <c r="AC948" s="220"/>
      <c r="AD948" s="220"/>
      <c r="AE948" s="220"/>
      <c r="AF948" s="220"/>
      <c r="AG948" s="220"/>
      <c r="AH948" s="220"/>
      <c r="AI948" s="220"/>
      <c r="AJ948" s="220"/>
      <c r="AK948" s="220"/>
      <c r="AL948" s="220"/>
    </row>
    <row r="949" ht="15.75" customHeight="1">
      <c r="A949" s="220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  <c r="W949" s="220"/>
      <c r="X949" s="220"/>
      <c r="Y949" s="220"/>
      <c r="Z949" s="220"/>
      <c r="AA949" s="220"/>
      <c r="AB949" s="220"/>
      <c r="AC949" s="220"/>
      <c r="AD949" s="220"/>
      <c r="AE949" s="220"/>
      <c r="AF949" s="220"/>
      <c r="AG949" s="220"/>
      <c r="AH949" s="220"/>
      <c r="AI949" s="220"/>
      <c r="AJ949" s="220"/>
      <c r="AK949" s="220"/>
      <c r="AL949" s="220"/>
    </row>
    <row r="950" ht="15.75" customHeight="1">
      <c r="A950" s="220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  <c r="W950" s="220"/>
      <c r="X950" s="220"/>
      <c r="Y950" s="220"/>
      <c r="Z950" s="220"/>
      <c r="AA950" s="220"/>
      <c r="AB950" s="220"/>
      <c r="AC950" s="220"/>
      <c r="AD950" s="220"/>
      <c r="AE950" s="220"/>
      <c r="AF950" s="220"/>
      <c r="AG950" s="220"/>
      <c r="AH950" s="220"/>
      <c r="AI950" s="220"/>
      <c r="AJ950" s="220"/>
      <c r="AK950" s="220"/>
      <c r="AL950" s="220"/>
    </row>
    <row r="951" ht="15.75" customHeight="1">
      <c r="A951" s="220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  <c r="W951" s="220"/>
      <c r="X951" s="220"/>
      <c r="Y951" s="220"/>
      <c r="Z951" s="220"/>
      <c r="AA951" s="220"/>
      <c r="AB951" s="220"/>
      <c r="AC951" s="220"/>
      <c r="AD951" s="220"/>
      <c r="AE951" s="220"/>
      <c r="AF951" s="220"/>
      <c r="AG951" s="220"/>
      <c r="AH951" s="220"/>
      <c r="AI951" s="220"/>
      <c r="AJ951" s="220"/>
      <c r="AK951" s="220"/>
      <c r="AL951" s="220"/>
    </row>
    <row r="952" ht="15.75" customHeight="1">
      <c r="A952" s="220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  <c r="W952" s="220"/>
      <c r="X952" s="220"/>
      <c r="Y952" s="220"/>
      <c r="Z952" s="220"/>
      <c r="AA952" s="220"/>
      <c r="AB952" s="220"/>
      <c r="AC952" s="220"/>
      <c r="AD952" s="220"/>
      <c r="AE952" s="220"/>
      <c r="AF952" s="220"/>
      <c r="AG952" s="220"/>
      <c r="AH952" s="220"/>
      <c r="AI952" s="220"/>
      <c r="AJ952" s="220"/>
      <c r="AK952" s="220"/>
      <c r="AL952" s="220"/>
    </row>
    <row r="953" ht="15.75" customHeight="1">
      <c r="A953" s="220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  <c r="W953" s="220"/>
      <c r="X953" s="220"/>
      <c r="Y953" s="220"/>
      <c r="Z953" s="220"/>
      <c r="AA953" s="220"/>
      <c r="AB953" s="220"/>
      <c r="AC953" s="220"/>
      <c r="AD953" s="220"/>
      <c r="AE953" s="220"/>
      <c r="AF953" s="220"/>
      <c r="AG953" s="220"/>
      <c r="AH953" s="220"/>
      <c r="AI953" s="220"/>
      <c r="AJ953" s="220"/>
      <c r="AK953" s="220"/>
      <c r="AL953" s="220"/>
    </row>
    <row r="954" ht="15.75" customHeight="1">
      <c r="A954" s="220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  <c r="W954" s="220"/>
      <c r="X954" s="220"/>
      <c r="Y954" s="220"/>
      <c r="Z954" s="220"/>
      <c r="AA954" s="220"/>
      <c r="AB954" s="220"/>
      <c r="AC954" s="220"/>
      <c r="AD954" s="220"/>
      <c r="AE954" s="220"/>
      <c r="AF954" s="220"/>
      <c r="AG954" s="220"/>
      <c r="AH954" s="220"/>
      <c r="AI954" s="220"/>
      <c r="AJ954" s="220"/>
      <c r="AK954" s="220"/>
      <c r="AL954" s="220"/>
    </row>
    <row r="955" ht="15.75" customHeight="1">
      <c r="A955" s="220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  <c r="W955" s="220"/>
      <c r="X955" s="220"/>
      <c r="Y955" s="220"/>
      <c r="Z955" s="220"/>
      <c r="AA955" s="220"/>
      <c r="AB955" s="220"/>
      <c r="AC955" s="220"/>
      <c r="AD955" s="220"/>
      <c r="AE955" s="220"/>
      <c r="AF955" s="220"/>
      <c r="AG955" s="220"/>
      <c r="AH955" s="220"/>
      <c r="AI955" s="220"/>
      <c r="AJ955" s="220"/>
      <c r="AK955" s="220"/>
      <c r="AL955" s="220"/>
    </row>
    <row r="956" ht="15.75" customHeight="1">
      <c r="A956" s="220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  <c r="W956" s="220"/>
      <c r="X956" s="220"/>
      <c r="Y956" s="220"/>
      <c r="Z956" s="220"/>
      <c r="AA956" s="220"/>
      <c r="AB956" s="220"/>
      <c r="AC956" s="220"/>
      <c r="AD956" s="220"/>
      <c r="AE956" s="220"/>
      <c r="AF956" s="220"/>
      <c r="AG956" s="220"/>
      <c r="AH956" s="220"/>
      <c r="AI956" s="220"/>
      <c r="AJ956" s="220"/>
      <c r="AK956" s="220"/>
      <c r="AL956" s="220"/>
    </row>
    <row r="957" ht="15.75" customHeight="1">
      <c r="A957" s="220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  <c r="W957" s="220"/>
      <c r="X957" s="220"/>
      <c r="Y957" s="220"/>
      <c r="Z957" s="220"/>
      <c r="AA957" s="220"/>
      <c r="AB957" s="220"/>
      <c r="AC957" s="220"/>
      <c r="AD957" s="220"/>
      <c r="AE957" s="220"/>
      <c r="AF957" s="220"/>
      <c r="AG957" s="220"/>
      <c r="AH957" s="220"/>
      <c r="AI957" s="220"/>
      <c r="AJ957" s="220"/>
      <c r="AK957" s="220"/>
      <c r="AL957" s="220"/>
    </row>
    <row r="958" ht="15.75" customHeight="1">
      <c r="A958" s="220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  <c r="W958" s="220"/>
      <c r="X958" s="220"/>
      <c r="Y958" s="220"/>
      <c r="Z958" s="220"/>
      <c r="AA958" s="220"/>
      <c r="AB958" s="220"/>
      <c r="AC958" s="220"/>
      <c r="AD958" s="220"/>
      <c r="AE958" s="220"/>
      <c r="AF958" s="220"/>
      <c r="AG958" s="220"/>
      <c r="AH958" s="220"/>
      <c r="AI958" s="220"/>
      <c r="AJ958" s="220"/>
      <c r="AK958" s="220"/>
      <c r="AL958" s="220"/>
    </row>
    <row r="959" ht="15.75" customHeight="1">
      <c r="A959" s="220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  <c r="W959" s="220"/>
      <c r="X959" s="220"/>
      <c r="Y959" s="220"/>
      <c r="Z959" s="220"/>
      <c r="AA959" s="220"/>
      <c r="AB959" s="220"/>
      <c r="AC959" s="220"/>
      <c r="AD959" s="220"/>
      <c r="AE959" s="220"/>
      <c r="AF959" s="220"/>
      <c r="AG959" s="220"/>
      <c r="AH959" s="220"/>
      <c r="AI959" s="220"/>
      <c r="AJ959" s="220"/>
      <c r="AK959" s="220"/>
      <c r="AL959" s="220"/>
    </row>
    <row r="960" ht="15.75" customHeight="1">
      <c r="A960" s="220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  <c r="W960" s="220"/>
      <c r="X960" s="220"/>
      <c r="Y960" s="220"/>
      <c r="Z960" s="220"/>
      <c r="AA960" s="220"/>
      <c r="AB960" s="220"/>
      <c r="AC960" s="220"/>
      <c r="AD960" s="220"/>
      <c r="AE960" s="220"/>
      <c r="AF960" s="220"/>
      <c r="AG960" s="220"/>
      <c r="AH960" s="220"/>
      <c r="AI960" s="220"/>
      <c r="AJ960" s="220"/>
      <c r="AK960" s="220"/>
      <c r="AL960" s="220"/>
    </row>
    <row r="961" ht="15.75" customHeight="1">
      <c r="A961" s="220"/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  <c r="W961" s="220"/>
      <c r="X961" s="220"/>
      <c r="Y961" s="220"/>
      <c r="Z961" s="220"/>
      <c r="AA961" s="220"/>
      <c r="AB961" s="220"/>
      <c r="AC961" s="220"/>
      <c r="AD961" s="220"/>
      <c r="AE961" s="220"/>
      <c r="AF961" s="220"/>
      <c r="AG961" s="220"/>
      <c r="AH961" s="220"/>
      <c r="AI961" s="220"/>
      <c r="AJ961" s="220"/>
      <c r="AK961" s="220"/>
      <c r="AL961" s="220"/>
    </row>
    <row r="962" ht="15.75" customHeight="1">
      <c r="A962" s="220"/>
      <c r="B962" s="220"/>
      <c r="C962" s="220"/>
      <c r="D962" s="220"/>
      <c r="E962" s="220"/>
      <c r="F962" s="220"/>
      <c r="G962" s="220"/>
      <c r="H962" s="220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  <c r="W962" s="220"/>
      <c r="X962" s="220"/>
      <c r="Y962" s="220"/>
      <c r="Z962" s="220"/>
      <c r="AA962" s="220"/>
      <c r="AB962" s="220"/>
      <c r="AC962" s="220"/>
      <c r="AD962" s="220"/>
      <c r="AE962" s="220"/>
      <c r="AF962" s="220"/>
      <c r="AG962" s="220"/>
      <c r="AH962" s="220"/>
      <c r="AI962" s="220"/>
      <c r="AJ962" s="220"/>
      <c r="AK962" s="220"/>
      <c r="AL962" s="220"/>
    </row>
    <row r="963" ht="15.75" customHeight="1">
      <c r="A963" s="220"/>
      <c r="B963" s="220"/>
      <c r="C963" s="220"/>
      <c r="D963" s="220"/>
      <c r="E963" s="220"/>
      <c r="F963" s="220"/>
      <c r="G963" s="220"/>
      <c r="H963" s="220"/>
      <c r="I963" s="220"/>
      <c r="J963" s="220"/>
      <c r="K963" s="220"/>
      <c r="L963" s="220"/>
      <c r="M963" s="220"/>
      <c r="N963" s="220"/>
      <c r="O963" s="220"/>
      <c r="P963" s="220"/>
      <c r="Q963" s="220"/>
      <c r="R963" s="220"/>
      <c r="S963" s="220"/>
      <c r="T963" s="220"/>
      <c r="U963" s="220"/>
      <c r="V963" s="220"/>
      <c r="W963" s="220"/>
      <c r="X963" s="220"/>
      <c r="Y963" s="220"/>
      <c r="Z963" s="220"/>
      <c r="AA963" s="220"/>
      <c r="AB963" s="220"/>
      <c r="AC963" s="220"/>
      <c r="AD963" s="220"/>
      <c r="AE963" s="220"/>
      <c r="AF963" s="220"/>
      <c r="AG963" s="220"/>
      <c r="AH963" s="220"/>
      <c r="AI963" s="220"/>
      <c r="AJ963" s="220"/>
      <c r="AK963" s="220"/>
      <c r="AL963" s="220"/>
    </row>
    <row r="964" ht="15.75" customHeight="1">
      <c r="A964" s="220"/>
      <c r="B964" s="220"/>
      <c r="C964" s="220"/>
      <c r="D964" s="220"/>
      <c r="E964" s="220"/>
      <c r="F964" s="220"/>
      <c r="G964" s="220"/>
      <c r="H964" s="220"/>
      <c r="I964" s="220"/>
      <c r="J964" s="220"/>
      <c r="K964" s="220"/>
      <c r="L964" s="220"/>
      <c r="M964" s="220"/>
      <c r="N964" s="220"/>
      <c r="O964" s="220"/>
      <c r="P964" s="220"/>
      <c r="Q964" s="220"/>
      <c r="R964" s="220"/>
      <c r="S964" s="220"/>
      <c r="T964" s="220"/>
      <c r="U964" s="220"/>
      <c r="V964" s="220"/>
      <c r="W964" s="220"/>
      <c r="X964" s="220"/>
      <c r="Y964" s="220"/>
      <c r="Z964" s="220"/>
      <c r="AA964" s="220"/>
      <c r="AB964" s="220"/>
      <c r="AC964" s="220"/>
      <c r="AD964" s="220"/>
      <c r="AE964" s="220"/>
      <c r="AF964" s="220"/>
      <c r="AG964" s="220"/>
      <c r="AH964" s="220"/>
      <c r="AI964" s="220"/>
      <c r="AJ964" s="220"/>
      <c r="AK964" s="220"/>
      <c r="AL964" s="220"/>
    </row>
    <row r="965" ht="15.75" customHeight="1">
      <c r="A965" s="220"/>
      <c r="B965" s="220"/>
      <c r="C965" s="220"/>
      <c r="D965" s="220"/>
      <c r="E965" s="220"/>
      <c r="F965" s="220"/>
      <c r="G965" s="220"/>
      <c r="H965" s="220"/>
      <c r="I965" s="220"/>
      <c r="J965" s="220"/>
      <c r="K965" s="220"/>
      <c r="L965" s="220"/>
      <c r="M965" s="220"/>
      <c r="N965" s="220"/>
      <c r="O965" s="220"/>
      <c r="P965" s="220"/>
      <c r="Q965" s="220"/>
      <c r="R965" s="220"/>
      <c r="S965" s="220"/>
      <c r="T965" s="220"/>
      <c r="U965" s="220"/>
      <c r="V965" s="220"/>
      <c r="W965" s="220"/>
      <c r="X965" s="220"/>
      <c r="Y965" s="220"/>
      <c r="Z965" s="220"/>
      <c r="AA965" s="220"/>
      <c r="AB965" s="220"/>
      <c r="AC965" s="220"/>
      <c r="AD965" s="220"/>
      <c r="AE965" s="220"/>
      <c r="AF965" s="220"/>
      <c r="AG965" s="220"/>
      <c r="AH965" s="220"/>
      <c r="AI965" s="220"/>
      <c r="AJ965" s="220"/>
      <c r="AK965" s="220"/>
      <c r="AL965" s="220"/>
    </row>
    <row r="966" ht="15.75" customHeight="1">
      <c r="A966" s="220"/>
      <c r="B966" s="220"/>
      <c r="C966" s="220"/>
      <c r="D966" s="220"/>
      <c r="E966" s="220"/>
      <c r="F966" s="220"/>
      <c r="G966" s="220"/>
      <c r="H966" s="220"/>
      <c r="I966" s="220"/>
      <c r="J966" s="220"/>
      <c r="K966" s="220"/>
      <c r="L966" s="220"/>
      <c r="M966" s="220"/>
      <c r="N966" s="220"/>
      <c r="O966" s="220"/>
      <c r="P966" s="220"/>
      <c r="Q966" s="220"/>
      <c r="R966" s="220"/>
      <c r="S966" s="220"/>
      <c r="T966" s="220"/>
      <c r="U966" s="220"/>
      <c r="V966" s="220"/>
      <c r="W966" s="220"/>
      <c r="X966" s="220"/>
      <c r="Y966" s="220"/>
      <c r="Z966" s="220"/>
      <c r="AA966" s="220"/>
      <c r="AB966" s="220"/>
      <c r="AC966" s="220"/>
      <c r="AD966" s="220"/>
      <c r="AE966" s="220"/>
      <c r="AF966" s="220"/>
      <c r="AG966" s="220"/>
      <c r="AH966" s="220"/>
      <c r="AI966" s="220"/>
      <c r="AJ966" s="220"/>
      <c r="AK966" s="220"/>
      <c r="AL966" s="220"/>
    </row>
    <row r="967" ht="15.75" customHeight="1">
      <c r="A967" s="220"/>
      <c r="B967" s="220"/>
      <c r="C967" s="220"/>
      <c r="D967" s="220"/>
      <c r="E967" s="220"/>
      <c r="F967" s="220"/>
      <c r="G967" s="220"/>
      <c r="H967" s="220"/>
      <c r="I967" s="220"/>
      <c r="J967" s="220"/>
      <c r="K967" s="220"/>
      <c r="L967" s="220"/>
      <c r="M967" s="220"/>
      <c r="N967" s="220"/>
      <c r="O967" s="220"/>
      <c r="P967" s="220"/>
      <c r="Q967" s="220"/>
      <c r="R967" s="220"/>
      <c r="S967" s="220"/>
      <c r="T967" s="220"/>
      <c r="U967" s="220"/>
      <c r="V967" s="220"/>
      <c r="W967" s="220"/>
      <c r="X967" s="220"/>
      <c r="Y967" s="220"/>
      <c r="Z967" s="220"/>
      <c r="AA967" s="220"/>
      <c r="AB967" s="220"/>
      <c r="AC967" s="220"/>
      <c r="AD967" s="220"/>
      <c r="AE967" s="220"/>
      <c r="AF967" s="220"/>
      <c r="AG967" s="220"/>
      <c r="AH967" s="220"/>
      <c r="AI967" s="220"/>
      <c r="AJ967" s="220"/>
      <c r="AK967" s="220"/>
      <c r="AL967" s="220"/>
    </row>
    <row r="968" ht="15.75" customHeight="1">
      <c r="A968" s="220"/>
      <c r="B968" s="220"/>
      <c r="C968" s="220"/>
      <c r="D968" s="220"/>
      <c r="E968" s="220"/>
      <c r="F968" s="220"/>
      <c r="G968" s="220"/>
      <c r="H968" s="220"/>
      <c r="I968" s="220"/>
      <c r="J968" s="220"/>
      <c r="K968" s="220"/>
      <c r="L968" s="220"/>
      <c r="M968" s="220"/>
      <c r="N968" s="220"/>
      <c r="O968" s="220"/>
      <c r="P968" s="220"/>
      <c r="Q968" s="220"/>
      <c r="R968" s="220"/>
      <c r="S968" s="220"/>
      <c r="T968" s="220"/>
      <c r="U968" s="220"/>
      <c r="V968" s="220"/>
      <c r="W968" s="220"/>
      <c r="X968" s="220"/>
      <c r="Y968" s="220"/>
      <c r="Z968" s="220"/>
      <c r="AA968" s="220"/>
      <c r="AB968" s="220"/>
      <c r="AC968" s="220"/>
      <c r="AD968" s="220"/>
      <c r="AE968" s="220"/>
      <c r="AF968" s="220"/>
      <c r="AG968" s="220"/>
      <c r="AH968" s="220"/>
      <c r="AI968" s="220"/>
      <c r="AJ968" s="220"/>
      <c r="AK968" s="220"/>
      <c r="AL968" s="220"/>
    </row>
    <row r="969" ht="15.75" customHeight="1">
      <c r="A969" s="220"/>
      <c r="B969" s="220"/>
      <c r="C969" s="220"/>
      <c r="D969" s="220"/>
      <c r="E969" s="220"/>
      <c r="F969" s="220"/>
      <c r="G969" s="220"/>
      <c r="H969" s="220"/>
      <c r="I969" s="220"/>
      <c r="J969" s="220"/>
      <c r="K969" s="220"/>
      <c r="L969" s="220"/>
      <c r="M969" s="220"/>
      <c r="N969" s="220"/>
      <c r="O969" s="220"/>
      <c r="P969" s="220"/>
      <c r="Q969" s="220"/>
      <c r="R969" s="220"/>
      <c r="S969" s="220"/>
      <c r="T969" s="220"/>
      <c r="U969" s="220"/>
      <c r="V969" s="220"/>
      <c r="W969" s="220"/>
      <c r="X969" s="220"/>
      <c r="Y969" s="220"/>
      <c r="Z969" s="220"/>
      <c r="AA969" s="220"/>
      <c r="AB969" s="220"/>
      <c r="AC969" s="220"/>
      <c r="AD969" s="220"/>
      <c r="AE969" s="220"/>
      <c r="AF969" s="220"/>
      <c r="AG969" s="220"/>
      <c r="AH969" s="220"/>
      <c r="AI969" s="220"/>
      <c r="AJ969" s="220"/>
      <c r="AK969" s="220"/>
      <c r="AL969" s="220"/>
    </row>
    <row r="970" ht="15.75" customHeight="1">
      <c r="A970" s="220"/>
      <c r="B970" s="220"/>
      <c r="C970" s="220"/>
      <c r="D970" s="220"/>
      <c r="E970" s="220"/>
      <c r="F970" s="220"/>
      <c r="G970" s="220"/>
      <c r="H970" s="220"/>
      <c r="I970" s="220"/>
      <c r="J970" s="220"/>
      <c r="K970" s="220"/>
      <c r="L970" s="220"/>
      <c r="M970" s="220"/>
      <c r="N970" s="220"/>
      <c r="O970" s="220"/>
      <c r="P970" s="220"/>
      <c r="Q970" s="220"/>
      <c r="R970" s="220"/>
      <c r="S970" s="220"/>
      <c r="T970" s="220"/>
      <c r="U970" s="220"/>
      <c r="V970" s="220"/>
      <c r="W970" s="220"/>
      <c r="X970" s="220"/>
      <c r="Y970" s="220"/>
      <c r="Z970" s="220"/>
      <c r="AA970" s="220"/>
      <c r="AB970" s="220"/>
      <c r="AC970" s="220"/>
      <c r="AD970" s="220"/>
      <c r="AE970" s="220"/>
      <c r="AF970" s="220"/>
      <c r="AG970" s="220"/>
      <c r="AH970" s="220"/>
      <c r="AI970" s="220"/>
      <c r="AJ970" s="220"/>
      <c r="AK970" s="220"/>
      <c r="AL970" s="220"/>
    </row>
    <row r="971" ht="15.75" customHeight="1">
      <c r="A971" s="220"/>
      <c r="B971" s="220"/>
      <c r="C971" s="220"/>
      <c r="D971" s="220"/>
      <c r="E971" s="220"/>
      <c r="F971" s="220"/>
      <c r="G971" s="220"/>
      <c r="H971" s="220"/>
      <c r="I971" s="220"/>
      <c r="J971" s="220"/>
      <c r="K971" s="220"/>
      <c r="L971" s="220"/>
      <c r="M971" s="220"/>
      <c r="N971" s="220"/>
      <c r="O971" s="220"/>
      <c r="P971" s="220"/>
      <c r="Q971" s="220"/>
      <c r="R971" s="220"/>
      <c r="S971" s="220"/>
      <c r="T971" s="220"/>
      <c r="U971" s="220"/>
      <c r="V971" s="220"/>
      <c r="W971" s="220"/>
      <c r="X971" s="220"/>
      <c r="Y971" s="220"/>
      <c r="Z971" s="220"/>
      <c r="AA971" s="220"/>
      <c r="AB971" s="220"/>
      <c r="AC971" s="220"/>
      <c r="AD971" s="220"/>
      <c r="AE971" s="220"/>
      <c r="AF971" s="220"/>
      <c r="AG971" s="220"/>
      <c r="AH971" s="220"/>
      <c r="AI971" s="220"/>
      <c r="AJ971" s="220"/>
      <c r="AK971" s="220"/>
      <c r="AL971" s="220"/>
    </row>
    <row r="972" ht="15.75" customHeight="1">
      <c r="A972" s="220"/>
      <c r="B972" s="220"/>
      <c r="C972" s="220"/>
      <c r="D972" s="220"/>
      <c r="E972" s="220"/>
      <c r="F972" s="220"/>
      <c r="G972" s="220"/>
      <c r="H972" s="220"/>
      <c r="I972" s="220"/>
      <c r="J972" s="220"/>
      <c r="K972" s="220"/>
      <c r="L972" s="220"/>
      <c r="M972" s="220"/>
      <c r="N972" s="220"/>
      <c r="O972" s="220"/>
      <c r="P972" s="220"/>
      <c r="Q972" s="220"/>
      <c r="R972" s="220"/>
      <c r="S972" s="220"/>
      <c r="T972" s="220"/>
      <c r="U972" s="220"/>
      <c r="V972" s="220"/>
      <c r="W972" s="220"/>
      <c r="X972" s="220"/>
      <c r="Y972" s="220"/>
      <c r="Z972" s="220"/>
      <c r="AA972" s="220"/>
      <c r="AB972" s="220"/>
      <c r="AC972" s="220"/>
      <c r="AD972" s="220"/>
      <c r="AE972" s="220"/>
      <c r="AF972" s="220"/>
      <c r="AG972" s="220"/>
      <c r="AH972" s="220"/>
      <c r="AI972" s="220"/>
      <c r="AJ972" s="220"/>
      <c r="AK972" s="220"/>
      <c r="AL972" s="220"/>
    </row>
    <row r="973" ht="15.75" customHeight="1">
      <c r="A973" s="220"/>
      <c r="B973" s="220"/>
      <c r="C973" s="220"/>
      <c r="D973" s="220"/>
      <c r="E973" s="220"/>
      <c r="F973" s="220"/>
      <c r="G973" s="220"/>
      <c r="H973" s="220"/>
      <c r="I973" s="220"/>
      <c r="J973" s="220"/>
      <c r="K973" s="220"/>
      <c r="L973" s="220"/>
      <c r="M973" s="220"/>
      <c r="N973" s="220"/>
      <c r="O973" s="220"/>
      <c r="P973" s="220"/>
      <c r="Q973" s="220"/>
      <c r="R973" s="220"/>
      <c r="S973" s="220"/>
      <c r="T973" s="220"/>
      <c r="U973" s="220"/>
      <c r="V973" s="220"/>
      <c r="W973" s="220"/>
      <c r="X973" s="220"/>
      <c r="Y973" s="220"/>
      <c r="Z973" s="220"/>
      <c r="AA973" s="220"/>
      <c r="AB973" s="220"/>
      <c r="AC973" s="220"/>
      <c r="AD973" s="220"/>
      <c r="AE973" s="220"/>
      <c r="AF973" s="220"/>
      <c r="AG973" s="220"/>
      <c r="AH973" s="220"/>
      <c r="AI973" s="220"/>
      <c r="AJ973" s="220"/>
      <c r="AK973" s="220"/>
      <c r="AL973" s="220"/>
    </row>
    <row r="974" ht="15.75" customHeight="1">
      <c r="A974" s="220"/>
      <c r="B974" s="220"/>
      <c r="C974" s="220"/>
      <c r="D974" s="220"/>
      <c r="E974" s="220"/>
      <c r="F974" s="220"/>
      <c r="G974" s="220"/>
      <c r="H974" s="220"/>
      <c r="I974" s="220"/>
      <c r="J974" s="220"/>
      <c r="K974" s="220"/>
      <c r="L974" s="220"/>
      <c r="M974" s="220"/>
      <c r="N974" s="220"/>
      <c r="O974" s="220"/>
      <c r="P974" s="220"/>
      <c r="Q974" s="220"/>
      <c r="R974" s="220"/>
      <c r="S974" s="220"/>
      <c r="T974" s="220"/>
      <c r="U974" s="220"/>
      <c r="V974" s="220"/>
      <c r="W974" s="220"/>
      <c r="X974" s="220"/>
      <c r="Y974" s="220"/>
      <c r="Z974" s="220"/>
      <c r="AA974" s="220"/>
      <c r="AB974" s="220"/>
      <c r="AC974" s="220"/>
      <c r="AD974" s="220"/>
      <c r="AE974" s="220"/>
      <c r="AF974" s="220"/>
      <c r="AG974" s="220"/>
      <c r="AH974" s="220"/>
      <c r="AI974" s="220"/>
      <c r="AJ974" s="220"/>
      <c r="AK974" s="220"/>
      <c r="AL974" s="220"/>
    </row>
    <row r="975" ht="15.75" customHeight="1">
      <c r="A975" s="220"/>
      <c r="B975" s="220"/>
      <c r="C975" s="220"/>
      <c r="D975" s="220"/>
      <c r="E975" s="220"/>
      <c r="F975" s="220"/>
      <c r="G975" s="220"/>
      <c r="H975" s="220"/>
      <c r="I975" s="220"/>
      <c r="J975" s="220"/>
      <c r="K975" s="220"/>
      <c r="L975" s="220"/>
      <c r="M975" s="220"/>
      <c r="N975" s="220"/>
      <c r="O975" s="220"/>
      <c r="P975" s="220"/>
      <c r="Q975" s="220"/>
      <c r="R975" s="220"/>
      <c r="S975" s="220"/>
      <c r="T975" s="220"/>
      <c r="U975" s="220"/>
      <c r="V975" s="220"/>
      <c r="W975" s="220"/>
      <c r="X975" s="220"/>
      <c r="Y975" s="220"/>
      <c r="Z975" s="220"/>
      <c r="AA975" s="220"/>
      <c r="AB975" s="220"/>
      <c r="AC975" s="220"/>
      <c r="AD975" s="220"/>
      <c r="AE975" s="220"/>
      <c r="AF975" s="220"/>
      <c r="AG975" s="220"/>
      <c r="AH975" s="220"/>
      <c r="AI975" s="220"/>
      <c r="AJ975" s="220"/>
      <c r="AK975" s="220"/>
      <c r="AL975" s="220"/>
    </row>
    <row r="976" ht="15.75" customHeight="1">
      <c r="A976" s="220"/>
      <c r="B976" s="220"/>
      <c r="C976" s="220"/>
      <c r="D976" s="220"/>
      <c r="E976" s="220"/>
      <c r="F976" s="220"/>
      <c r="G976" s="220"/>
      <c r="H976" s="220"/>
      <c r="I976" s="220"/>
      <c r="J976" s="220"/>
      <c r="K976" s="220"/>
      <c r="L976" s="220"/>
      <c r="M976" s="220"/>
      <c r="N976" s="220"/>
      <c r="O976" s="220"/>
      <c r="P976" s="220"/>
      <c r="Q976" s="220"/>
      <c r="R976" s="220"/>
      <c r="S976" s="220"/>
      <c r="T976" s="220"/>
      <c r="U976" s="220"/>
      <c r="V976" s="220"/>
      <c r="W976" s="220"/>
      <c r="X976" s="220"/>
      <c r="Y976" s="220"/>
      <c r="Z976" s="220"/>
      <c r="AA976" s="220"/>
      <c r="AB976" s="220"/>
      <c r="AC976" s="220"/>
      <c r="AD976" s="220"/>
      <c r="AE976" s="220"/>
      <c r="AF976" s="220"/>
      <c r="AG976" s="220"/>
      <c r="AH976" s="220"/>
      <c r="AI976" s="220"/>
      <c r="AJ976" s="220"/>
      <c r="AK976" s="220"/>
      <c r="AL976" s="220"/>
    </row>
    <row r="977" ht="15.75" customHeight="1">
      <c r="A977" s="220"/>
      <c r="B977" s="220"/>
      <c r="C977" s="220"/>
      <c r="D977" s="220"/>
      <c r="E977" s="220"/>
      <c r="F977" s="220"/>
      <c r="G977" s="220"/>
      <c r="H977" s="220"/>
      <c r="I977" s="220"/>
      <c r="J977" s="220"/>
      <c r="K977" s="220"/>
      <c r="L977" s="220"/>
      <c r="M977" s="220"/>
      <c r="N977" s="220"/>
      <c r="O977" s="220"/>
      <c r="P977" s="220"/>
      <c r="Q977" s="220"/>
      <c r="R977" s="220"/>
      <c r="S977" s="220"/>
      <c r="T977" s="220"/>
      <c r="U977" s="220"/>
      <c r="V977" s="220"/>
      <c r="W977" s="220"/>
      <c r="X977" s="220"/>
      <c r="Y977" s="220"/>
      <c r="Z977" s="220"/>
      <c r="AA977" s="220"/>
      <c r="AB977" s="220"/>
      <c r="AC977" s="220"/>
      <c r="AD977" s="220"/>
      <c r="AE977" s="220"/>
      <c r="AF977" s="220"/>
      <c r="AG977" s="220"/>
      <c r="AH977" s="220"/>
      <c r="AI977" s="220"/>
      <c r="AJ977" s="220"/>
      <c r="AK977" s="220"/>
      <c r="AL977" s="220"/>
    </row>
    <row r="978" ht="15.75" customHeight="1">
      <c r="A978" s="220"/>
      <c r="B978" s="220"/>
      <c r="C978" s="220"/>
      <c r="D978" s="220"/>
      <c r="E978" s="220"/>
      <c r="F978" s="220"/>
      <c r="G978" s="220"/>
      <c r="H978" s="220"/>
      <c r="I978" s="220"/>
      <c r="J978" s="220"/>
      <c r="K978" s="220"/>
      <c r="L978" s="220"/>
      <c r="M978" s="220"/>
      <c r="N978" s="220"/>
      <c r="O978" s="220"/>
      <c r="P978" s="220"/>
      <c r="Q978" s="220"/>
      <c r="R978" s="220"/>
      <c r="S978" s="220"/>
      <c r="T978" s="220"/>
      <c r="U978" s="220"/>
      <c r="V978" s="220"/>
      <c r="W978" s="220"/>
      <c r="X978" s="220"/>
      <c r="Y978" s="220"/>
      <c r="Z978" s="220"/>
      <c r="AA978" s="220"/>
      <c r="AB978" s="220"/>
      <c r="AC978" s="220"/>
      <c r="AD978" s="220"/>
      <c r="AE978" s="220"/>
      <c r="AF978" s="220"/>
      <c r="AG978" s="220"/>
      <c r="AH978" s="220"/>
      <c r="AI978" s="220"/>
      <c r="AJ978" s="220"/>
      <c r="AK978" s="220"/>
      <c r="AL978" s="220"/>
    </row>
    <row r="979" ht="15.75" customHeight="1">
      <c r="A979" s="220"/>
      <c r="B979" s="220"/>
      <c r="C979" s="220"/>
      <c r="D979" s="220"/>
      <c r="E979" s="220"/>
      <c r="F979" s="220"/>
      <c r="G979" s="220"/>
      <c r="H979" s="220"/>
      <c r="I979" s="220"/>
      <c r="J979" s="220"/>
      <c r="K979" s="220"/>
      <c r="L979" s="220"/>
      <c r="M979" s="220"/>
      <c r="N979" s="220"/>
      <c r="O979" s="220"/>
      <c r="P979" s="220"/>
      <c r="Q979" s="220"/>
      <c r="R979" s="220"/>
      <c r="S979" s="220"/>
      <c r="T979" s="220"/>
      <c r="U979" s="220"/>
      <c r="V979" s="220"/>
      <c r="W979" s="220"/>
      <c r="X979" s="220"/>
      <c r="Y979" s="220"/>
      <c r="Z979" s="220"/>
      <c r="AA979" s="220"/>
      <c r="AB979" s="220"/>
      <c r="AC979" s="220"/>
      <c r="AD979" s="220"/>
      <c r="AE979" s="220"/>
      <c r="AF979" s="220"/>
      <c r="AG979" s="220"/>
      <c r="AH979" s="220"/>
      <c r="AI979" s="220"/>
      <c r="AJ979" s="220"/>
      <c r="AK979" s="220"/>
      <c r="AL979" s="220"/>
    </row>
    <row r="980" ht="15.75" customHeight="1">
      <c r="A980" s="220"/>
      <c r="B980" s="220"/>
      <c r="C980" s="220"/>
      <c r="D980" s="220"/>
      <c r="E980" s="220"/>
      <c r="F980" s="220"/>
      <c r="G980" s="220"/>
      <c r="H980" s="220"/>
      <c r="I980" s="220"/>
      <c r="J980" s="220"/>
      <c r="K980" s="220"/>
      <c r="L980" s="220"/>
      <c r="M980" s="220"/>
      <c r="N980" s="220"/>
      <c r="O980" s="220"/>
      <c r="P980" s="220"/>
      <c r="Q980" s="220"/>
      <c r="R980" s="220"/>
      <c r="S980" s="220"/>
      <c r="T980" s="220"/>
      <c r="U980" s="220"/>
      <c r="V980" s="220"/>
      <c r="W980" s="220"/>
      <c r="X980" s="220"/>
      <c r="Y980" s="220"/>
      <c r="Z980" s="220"/>
      <c r="AA980" s="220"/>
      <c r="AB980" s="220"/>
      <c r="AC980" s="220"/>
      <c r="AD980" s="220"/>
      <c r="AE980" s="220"/>
      <c r="AF980" s="220"/>
      <c r="AG980" s="220"/>
      <c r="AH980" s="220"/>
      <c r="AI980" s="220"/>
      <c r="AJ980" s="220"/>
      <c r="AK980" s="220"/>
      <c r="AL980" s="220"/>
    </row>
    <row r="981" ht="15.75" customHeight="1">
      <c r="A981" s="220"/>
      <c r="B981" s="220"/>
      <c r="C981" s="220"/>
      <c r="D981" s="220"/>
      <c r="E981" s="220"/>
      <c r="F981" s="220"/>
      <c r="G981" s="220"/>
      <c r="H981" s="220"/>
      <c r="I981" s="220"/>
      <c r="J981" s="220"/>
      <c r="K981" s="220"/>
      <c r="L981" s="220"/>
      <c r="M981" s="220"/>
      <c r="N981" s="220"/>
      <c r="O981" s="220"/>
      <c r="P981" s="220"/>
      <c r="Q981" s="220"/>
      <c r="R981" s="220"/>
      <c r="S981" s="220"/>
      <c r="T981" s="220"/>
      <c r="U981" s="220"/>
      <c r="V981" s="220"/>
      <c r="W981" s="220"/>
      <c r="X981" s="220"/>
      <c r="Y981" s="220"/>
      <c r="Z981" s="220"/>
      <c r="AA981" s="220"/>
      <c r="AB981" s="220"/>
      <c r="AC981" s="220"/>
      <c r="AD981" s="220"/>
      <c r="AE981" s="220"/>
      <c r="AF981" s="220"/>
      <c r="AG981" s="220"/>
      <c r="AH981" s="220"/>
      <c r="AI981" s="220"/>
      <c r="AJ981" s="220"/>
      <c r="AK981" s="220"/>
      <c r="AL981" s="220"/>
    </row>
    <row r="982" ht="15.75" customHeight="1">
      <c r="A982" s="220"/>
      <c r="B982" s="220"/>
      <c r="C982" s="220"/>
      <c r="D982" s="220"/>
      <c r="E982" s="220"/>
      <c r="F982" s="220"/>
      <c r="G982" s="220"/>
      <c r="H982" s="220"/>
      <c r="I982" s="220"/>
      <c r="J982" s="220"/>
      <c r="K982" s="220"/>
      <c r="L982" s="220"/>
      <c r="M982" s="220"/>
      <c r="N982" s="220"/>
      <c r="O982" s="220"/>
      <c r="P982" s="220"/>
      <c r="Q982" s="220"/>
      <c r="R982" s="220"/>
      <c r="S982" s="220"/>
      <c r="T982" s="220"/>
      <c r="U982" s="220"/>
      <c r="V982" s="220"/>
      <c r="W982" s="220"/>
      <c r="X982" s="220"/>
      <c r="Y982" s="220"/>
      <c r="Z982" s="220"/>
      <c r="AA982" s="220"/>
      <c r="AB982" s="220"/>
      <c r="AC982" s="220"/>
      <c r="AD982" s="220"/>
      <c r="AE982" s="220"/>
      <c r="AF982" s="220"/>
      <c r="AG982" s="220"/>
      <c r="AH982" s="220"/>
      <c r="AI982" s="220"/>
      <c r="AJ982" s="220"/>
      <c r="AK982" s="220"/>
      <c r="AL982" s="220"/>
    </row>
    <row r="983" ht="15.75" customHeight="1">
      <c r="A983" s="220"/>
      <c r="B983" s="220"/>
      <c r="C983" s="220"/>
      <c r="D983" s="220"/>
      <c r="E983" s="220"/>
      <c r="F983" s="220"/>
      <c r="G983" s="220"/>
      <c r="H983" s="220"/>
      <c r="I983" s="220"/>
      <c r="J983" s="220"/>
      <c r="K983" s="220"/>
      <c r="L983" s="220"/>
      <c r="M983" s="220"/>
      <c r="N983" s="220"/>
      <c r="O983" s="220"/>
      <c r="P983" s="220"/>
      <c r="Q983" s="220"/>
      <c r="R983" s="220"/>
      <c r="S983" s="220"/>
      <c r="T983" s="220"/>
      <c r="U983" s="220"/>
      <c r="V983" s="220"/>
      <c r="W983" s="220"/>
      <c r="X983" s="220"/>
      <c r="Y983" s="220"/>
      <c r="Z983" s="220"/>
      <c r="AA983" s="220"/>
      <c r="AB983" s="220"/>
      <c r="AC983" s="220"/>
      <c r="AD983" s="220"/>
      <c r="AE983" s="220"/>
      <c r="AF983" s="220"/>
      <c r="AG983" s="220"/>
      <c r="AH983" s="220"/>
      <c r="AI983" s="220"/>
      <c r="AJ983" s="220"/>
      <c r="AK983" s="220"/>
      <c r="AL983" s="220"/>
    </row>
    <row r="984" ht="15.75" customHeight="1">
      <c r="A984" s="220"/>
      <c r="B984" s="220"/>
      <c r="C984" s="220"/>
      <c r="D984" s="220"/>
      <c r="E984" s="220"/>
      <c r="F984" s="220"/>
      <c r="G984" s="220"/>
      <c r="H984" s="220"/>
      <c r="I984" s="220"/>
      <c r="J984" s="220"/>
      <c r="K984" s="220"/>
      <c r="L984" s="220"/>
      <c r="M984" s="220"/>
      <c r="N984" s="220"/>
      <c r="O984" s="220"/>
      <c r="P984" s="220"/>
      <c r="Q984" s="220"/>
      <c r="R984" s="220"/>
      <c r="S984" s="220"/>
      <c r="T984" s="220"/>
      <c r="U984" s="220"/>
      <c r="V984" s="220"/>
      <c r="W984" s="220"/>
      <c r="X984" s="220"/>
      <c r="Y984" s="220"/>
      <c r="Z984" s="220"/>
      <c r="AA984" s="220"/>
      <c r="AB984" s="220"/>
      <c r="AC984" s="220"/>
      <c r="AD984" s="220"/>
      <c r="AE984" s="220"/>
      <c r="AF984" s="220"/>
      <c r="AG984" s="220"/>
      <c r="AH984" s="220"/>
      <c r="AI984" s="220"/>
      <c r="AJ984" s="220"/>
      <c r="AK984" s="220"/>
      <c r="AL984" s="220"/>
    </row>
    <row r="985" ht="15.75" customHeight="1">
      <c r="A985" s="220"/>
      <c r="B985" s="220"/>
      <c r="C985" s="220"/>
      <c r="D985" s="220"/>
      <c r="E985" s="220"/>
      <c r="F985" s="220"/>
      <c r="G985" s="220"/>
      <c r="H985" s="220"/>
      <c r="I985" s="220"/>
      <c r="J985" s="220"/>
      <c r="K985" s="220"/>
      <c r="L985" s="220"/>
      <c r="M985" s="220"/>
      <c r="N985" s="220"/>
      <c r="O985" s="220"/>
      <c r="P985" s="220"/>
      <c r="Q985" s="220"/>
      <c r="R985" s="220"/>
      <c r="S985" s="220"/>
      <c r="T985" s="220"/>
      <c r="U985" s="220"/>
      <c r="V985" s="220"/>
      <c r="W985" s="220"/>
      <c r="X985" s="220"/>
      <c r="Y985" s="220"/>
      <c r="Z985" s="220"/>
      <c r="AA985" s="220"/>
      <c r="AB985" s="220"/>
      <c r="AC985" s="220"/>
      <c r="AD985" s="220"/>
      <c r="AE985" s="220"/>
      <c r="AF985" s="220"/>
      <c r="AG985" s="220"/>
      <c r="AH985" s="220"/>
      <c r="AI985" s="220"/>
      <c r="AJ985" s="220"/>
      <c r="AK985" s="220"/>
      <c r="AL985" s="220"/>
    </row>
    <row r="986" ht="15.75" customHeight="1">
      <c r="A986" s="220"/>
      <c r="B986" s="220"/>
      <c r="C986" s="220"/>
      <c r="D986" s="220"/>
      <c r="E986" s="220"/>
      <c r="F986" s="220"/>
      <c r="G986" s="220"/>
      <c r="H986" s="220"/>
      <c r="I986" s="220"/>
      <c r="J986" s="220"/>
      <c r="K986" s="220"/>
      <c r="L986" s="220"/>
      <c r="M986" s="220"/>
      <c r="N986" s="220"/>
      <c r="O986" s="220"/>
      <c r="P986" s="220"/>
      <c r="Q986" s="220"/>
      <c r="R986" s="220"/>
      <c r="S986" s="220"/>
      <c r="T986" s="220"/>
      <c r="U986" s="220"/>
      <c r="V986" s="220"/>
      <c r="W986" s="220"/>
      <c r="X986" s="220"/>
      <c r="Y986" s="220"/>
      <c r="Z986" s="220"/>
      <c r="AA986" s="220"/>
      <c r="AB986" s="220"/>
      <c r="AC986" s="220"/>
      <c r="AD986" s="220"/>
      <c r="AE986" s="220"/>
      <c r="AF986" s="220"/>
      <c r="AG986" s="220"/>
      <c r="AH986" s="220"/>
      <c r="AI986" s="220"/>
      <c r="AJ986" s="220"/>
      <c r="AK986" s="220"/>
      <c r="AL986" s="220"/>
    </row>
    <row r="987" ht="15.75" customHeight="1">
      <c r="A987" s="220"/>
      <c r="B987" s="220"/>
      <c r="C987" s="220"/>
      <c r="D987" s="220"/>
      <c r="E987" s="220"/>
      <c r="F987" s="220"/>
      <c r="G987" s="220"/>
      <c r="H987" s="220"/>
      <c r="I987" s="220"/>
      <c r="J987" s="220"/>
      <c r="K987" s="220"/>
      <c r="L987" s="220"/>
      <c r="M987" s="220"/>
      <c r="N987" s="220"/>
      <c r="O987" s="220"/>
      <c r="P987" s="220"/>
      <c r="Q987" s="220"/>
      <c r="R987" s="220"/>
      <c r="S987" s="220"/>
      <c r="T987" s="220"/>
      <c r="U987" s="220"/>
      <c r="V987" s="220"/>
      <c r="W987" s="220"/>
      <c r="X987" s="220"/>
      <c r="Y987" s="220"/>
      <c r="Z987" s="220"/>
      <c r="AA987" s="220"/>
      <c r="AB987" s="220"/>
      <c r="AC987" s="220"/>
      <c r="AD987" s="220"/>
      <c r="AE987" s="220"/>
      <c r="AF987" s="220"/>
      <c r="AG987" s="220"/>
      <c r="AH987" s="220"/>
      <c r="AI987" s="220"/>
      <c r="AJ987" s="220"/>
      <c r="AK987" s="220"/>
      <c r="AL987" s="220"/>
    </row>
    <row r="988" ht="15.75" customHeight="1">
      <c r="A988" s="220"/>
      <c r="B988" s="220"/>
      <c r="C988" s="220"/>
      <c r="D988" s="220"/>
      <c r="E988" s="220"/>
      <c r="F988" s="220"/>
      <c r="G988" s="220"/>
      <c r="H988" s="220"/>
      <c r="I988" s="220"/>
      <c r="J988" s="220"/>
      <c r="K988" s="220"/>
      <c r="L988" s="220"/>
      <c r="M988" s="220"/>
      <c r="N988" s="220"/>
      <c r="O988" s="220"/>
      <c r="P988" s="220"/>
      <c r="Q988" s="220"/>
      <c r="R988" s="220"/>
      <c r="S988" s="220"/>
      <c r="T988" s="220"/>
      <c r="U988" s="220"/>
      <c r="V988" s="220"/>
      <c r="W988" s="220"/>
      <c r="X988" s="220"/>
      <c r="Y988" s="220"/>
      <c r="Z988" s="220"/>
      <c r="AA988" s="220"/>
      <c r="AB988" s="220"/>
      <c r="AC988" s="220"/>
      <c r="AD988" s="220"/>
      <c r="AE988" s="220"/>
      <c r="AF988" s="220"/>
      <c r="AG988" s="220"/>
      <c r="AH988" s="220"/>
      <c r="AI988" s="220"/>
      <c r="AJ988" s="220"/>
      <c r="AK988" s="220"/>
      <c r="AL988" s="220"/>
    </row>
    <row r="989" ht="15.75" customHeight="1">
      <c r="A989" s="220"/>
      <c r="B989" s="220"/>
      <c r="C989" s="220"/>
      <c r="D989" s="220"/>
      <c r="E989" s="220"/>
      <c r="F989" s="220"/>
      <c r="G989" s="220"/>
      <c r="H989" s="220"/>
      <c r="I989" s="220"/>
      <c r="J989" s="220"/>
      <c r="K989" s="220"/>
      <c r="L989" s="220"/>
      <c r="M989" s="220"/>
      <c r="N989" s="220"/>
      <c r="O989" s="220"/>
      <c r="P989" s="220"/>
      <c r="Q989" s="220"/>
      <c r="R989" s="220"/>
      <c r="S989" s="220"/>
      <c r="T989" s="220"/>
      <c r="U989" s="220"/>
      <c r="V989" s="220"/>
      <c r="W989" s="220"/>
      <c r="X989" s="220"/>
      <c r="Y989" s="220"/>
      <c r="Z989" s="220"/>
      <c r="AA989" s="220"/>
      <c r="AB989" s="220"/>
      <c r="AC989" s="220"/>
      <c r="AD989" s="220"/>
      <c r="AE989" s="220"/>
      <c r="AF989" s="220"/>
      <c r="AG989" s="220"/>
      <c r="AH989" s="220"/>
      <c r="AI989" s="220"/>
      <c r="AJ989" s="220"/>
      <c r="AK989" s="220"/>
      <c r="AL989" s="220"/>
    </row>
    <row r="990" ht="15.75" customHeight="1">
      <c r="A990" s="220"/>
      <c r="B990" s="220"/>
      <c r="C990" s="220"/>
      <c r="D990" s="220"/>
      <c r="E990" s="220"/>
      <c r="F990" s="220"/>
      <c r="G990" s="220"/>
      <c r="H990" s="220"/>
      <c r="I990" s="220"/>
      <c r="J990" s="220"/>
      <c r="K990" s="220"/>
      <c r="L990" s="220"/>
      <c r="M990" s="220"/>
      <c r="N990" s="220"/>
      <c r="O990" s="220"/>
      <c r="P990" s="220"/>
      <c r="Q990" s="220"/>
      <c r="R990" s="220"/>
      <c r="S990" s="220"/>
      <c r="T990" s="220"/>
      <c r="U990" s="220"/>
      <c r="V990" s="220"/>
      <c r="W990" s="220"/>
      <c r="X990" s="220"/>
      <c r="Y990" s="220"/>
      <c r="Z990" s="220"/>
      <c r="AA990" s="220"/>
      <c r="AB990" s="220"/>
      <c r="AC990" s="220"/>
      <c r="AD990" s="220"/>
      <c r="AE990" s="220"/>
      <c r="AF990" s="220"/>
      <c r="AG990" s="220"/>
      <c r="AH990" s="220"/>
      <c r="AI990" s="220"/>
      <c r="AJ990" s="220"/>
      <c r="AK990" s="220"/>
      <c r="AL990" s="220"/>
    </row>
    <row r="991" ht="15.75" customHeight="1">
      <c r="A991" s="220"/>
      <c r="B991" s="220"/>
      <c r="C991" s="220"/>
      <c r="D991" s="220"/>
      <c r="E991" s="220"/>
      <c r="F991" s="220"/>
      <c r="G991" s="220"/>
      <c r="H991" s="220"/>
      <c r="I991" s="220"/>
      <c r="J991" s="220"/>
      <c r="K991" s="220"/>
      <c r="L991" s="220"/>
      <c r="M991" s="220"/>
      <c r="N991" s="220"/>
      <c r="O991" s="220"/>
      <c r="P991" s="220"/>
      <c r="Q991" s="220"/>
      <c r="R991" s="220"/>
      <c r="S991" s="220"/>
      <c r="T991" s="220"/>
      <c r="U991" s="220"/>
      <c r="V991" s="220"/>
      <c r="W991" s="220"/>
      <c r="X991" s="220"/>
      <c r="Y991" s="220"/>
      <c r="Z991" s="220"/>
      <c r="AA991" s="220"/>
      <c r="AB991" s="220"/>
      <c r="AC991" s="220"/>
      <c r="AD991" s="220"/>
      <c r="AE991" s="220"/>
      <c r="AF991" s="220"/>
      <c r="AG991" s="220"/>
      <c r="AH991" s="220"/>
      <c r="AI991" s="220"/>
      <c r="AJ991" s="220"/>
      <c r="AK991" s="220"/>
      <c r="AL991" s="220"/>
    </row>
    <row r="992" ht="15.75" customHeight="1">
      <c r="A992" s="220"/>
      <c r="B992" s="220"/>
      <c r="C992" s="220"/>
      <c r="D992" s="220"/>
      <c r="E992" s="220"/>
      <c r="F992" s="220"/>
      <c r="G992" s="220"/>
      <c r="H992" s="220"/>
      <c r="I992" s="220"/>
      <c r="J992" s="220"/>
      <c r="K992" s="220"/>
      <c r="L992" s="220"/>
      <c r="M992" s="220"/>
      <c r="N992" s="220"/>
      <c r="O992" s="220"/>
      <c r="P992" s="220"/>
      <c r="Q992" s="220"/>
      <c r="R992" s="220"/>
      <c r="S992" s="220"/>
      <c r="T992" s="220"/>
      <c r="U992" s="220"/>
      <c r="V992" s="220"/>
      <c r="W992" s="220"/>
      <c r="X992" s="220"/>
      <c r="Y992" s="220"/>
      <c r="Z992" s="220"/>
      <c r="AA992" s="220"/>
      <c r="AB992" s="220"/>
      <c r="AC992" s="220"/>
      <c r="AD992" s="220"/>
      <c r="AE992" s="220"/>
      <c r="AF992" s="220"/>
      <c r="AG992" s="220"/>
      <c r="AH992" s="220"/>
      <c r="AI992" s="220"/>
      <c r="AJ992" s="220"/>
      <c r="AK992" s="220"/>
      <c r="AL992" s="220"/>
    </row>
    <row r="993" ht="15.75" customHeight="1">
      <c r="A993" s="220"/>
      <c r="B993" s="220"/>
      <c r="C993" s="220"/>
      <c r="D993" s="220"/>
      <c r="E993" s="220"/>
      <c r="F993" s="220"/>
      <c r="G993" s="220"/>
      <c r="H993" s="220"/>
      <c r="I993" s="220"/>
      <c r="J993" s="220"/>
      <c r="K993" s="220"/>
      <c r="L993" s="220"/>
      <c r="M993" s="220"/>
      <c r="N993" s="220"/>
      <c r="O993" s="220"/>
      <c r="P993" s="220"/>
      <c r="Q993" s="220"/>
      <c r="R993" s="220"/>
      <c r="S993" s="220"/>
      <c r="T993" s="220"/>
      <c r="U993" s="220"/>
      <c r="V993" s="220"/>
      <c r="W993" s="220"/>
      <c r="X993" s="220"/>
      <c r="Y993" s="220"/>
      <c r="Z993" s="220"/>
      <c r="AA993" s="220"/>
      <c r="AB993" s="220"/>
      <c r="AC993" s="220"/>
      <c r="AD993" s="220"/>
      <c r="AE993" s="220"/>
      <c r="AF993" s="220"/>
      <c r="AG993" s="220"/>
      <c r="AH993" s="220"/>
      <c r="AI993" s="220"/>
      <c r="AJ993" s="220"/>
      <c r="AK993" s="220"/>
      <c r="AL993" s="220"/>
    </row>
    <row r="994" ht="15.75" customHeight="1">
      <c r="A994" s="220"/>
      <c r="B994" s="220"/>
      <c r="C994" s="220"/>
      <c r="D994" s="220"/>
      <c r="E994" s="220"/>
      <c r="F994" s="220"/>
      <c r="G994" s="220"/>
      <c r="H994" s="220"/>
      <c r="I994" s="220"/>
      <c r="J994" s="220"/>
      <c r="K994" s="220"/>
      <c r="L994" s="220"/>
      <c r="M994" s="220"/>
      <c r="N994" s="220"/>
      <c r="O994" s="220"/>
      <c r="P994" s="220"/>
      <c r="Q994" s="220"/>
      <c r="R994" s="220"/>
      <c r="S994" s="220"/>
      <c r="T994" s="220"/>
      <c r="U994" s="220"/>
      <c r="V994" s="220"/>
      <c r="W994" s="220"/>
      <c r="X994" s="220"/>
      <c r="Y994" s="220"/>
      <c r="Z994" s="220"/>
      <c r="AA994" s="220"/>
      <c r="AB994" s="220"/>
      <c r="AC994" s="220"/>
      <c r="AD994" s="220"/>
      <c r="AE994" s="220"/>
      <c r="AF994" s="220"/>
      <c r="AG994" s="220"/>
      <c r="AH994" s="220"/>
      <c r="AI994" s="220"/>
      <c r="AJ994" s="220"/>
      <c r="AK994" s="220"/>
      <c r="AL994" s="220"/>
    </row>
    <row r="995" ht="15.75" customHeight="1">
      <c r="A995" s="220"/>
      <c r="B995" s="220"/>
      <c r="C995" s="220"/>
      <c r="D995" s="220"/>
      <c r="E995" s="220"/>
      <c r="F995" s="220"/>
      <c r="G995" s="220"/>
      <c r="H995" s="220"/>
      <c r="I995" s="220"/>
      <c r="J995" s="220"/>
      <c r="K995" s="220"/>
      <c r="L995" s="220"/>
      <c r="M995" s="220"/>
      <c r="N995" s="220"/>
      <c r="O995" s="220"/>
      <c r="P995" s="220"/>
      <c r="Q995" s="220"/>
      <c r="R995" s="220"/>
      <c r="S995" s="220"/>
      <c r="T995" s="220"/>
      <c r="U995" s="220"/>
      <c r="V995" s="220"/>
      <c r="W995" s="220"/>
      <c r="X995" s="220"/>
      <c r="Y995" s="220"/>
      <c r="Z995" s="220"/>
      <c r="AA995" s="220"/>
      <c r="AB995" s="220"/>
      <c r="AC995" s="220"/>
      <c r="AD995" s="220"/>
      <c r="AE995" s="220"/>
      <c r="AF995" s="220"/>
      <c r="AG995" s="220"/>
      <c r="AH995" s="220"/>
      <c r="AI995" s="220"/>
      <c r="AJ995" s="220"/>
      <c r="AK995" s="220"/>
      <c r="AL995" s="220"/>
    </row>
    <row r="996" ht="15.75" customHeight="1">
      <c r="A996" s="220"/>
      <c r="B996" s="220"/>
      <c r="C996" s="220"/>
      <c r="D996" s="220"/>
      <c r="E996" s="220"/>
      <c r="F996" s="220"/>
      <c r="G996" s="220"/>
      <c r="H996" s="220"/>
      <c r="I996" s="220"/>
      <c r="J996" s="220"/>
      <c r="K996" s="220"/>
      <c r="L996" s="220"/>
      <c r="M996" s="220"/>
      <c r="N996" s="220"/>
      <c r="O996" s="220"/>
      <c r="P996" s="220"/>
      <c r="Q996" s="220"/>
      <c r="R996" s="220"/>
      <c r="S996" s="220"/>
      <c r="T996" s="220"/>
      <c r="U996" s="220"/>
      <c r="V996" s="220"/>
      <c r="W996" s="220"/>
      <c r="X996" s="220"/>
      <c r="Y996" s="220"/>
      <c r="Z996" s="220"/>
      <c r="AA996" s="220"/>
      <c r="AB996" s="220"/>
      <c r="AC996" s="220"/>
      <c r="AD996" s="220"/>
      <c r="AE996" s="220"/>
      <c r="AF996" s="220"/>
      <c r="AG996" s="220"/>
      <c r="AH996" s="220"/>
      <c r="AI996" s="220"/>
      <c r="AJ996" s="220"/>
      <c r="AK996" s="220"/>
      <c r="AL996" s="220"/>
    </row>
    <row r="997" ht="15.75" customHeight="1">
      <c r="A997" s="220"/>
      <c r="B997" s="220"/>
      <c r="C997" s="220"/>
      <c r="D997" s="220"/>
      <c r="E997" s="220"/>
      <c r="F997" s="220"/>
      <c r="G997" s="220"/>
      <c r="H997" s="220"/>
      <c r="I997" s="220"/>
      <c r="J997" s="220"/>
      <c r="K997" s="220"/>
      <c r="L997" s="220"/>
      <c r="M997" s="220"/>
      <c r="N997" s="220"/>
      <c r="O997" s="220"/>
      <c r="P997" s="220"/>
      <c r="Q997" s="220"/>
      <c r="R997" s="220"/>
      <c r="S997" s="220"/>
      <c r="T997" s="220"/>
      <c r="U997" s="220"/>
      <c r="V997" s="220"/>
      <c r="W997" s="220"/>
      <c r="X997" s="220"/>
      <c r="Y997" s="220"/>
      <c r="Z997" s="220"/>
      <c r="AA997" s="220"/>
      <c r="AB997" s="220"/>
      <c r="AC997" s="220"/>
      <c r="AD997" s="220"/>
      <c r="AE997" s="220"/>
      <c r="AF997" s="220"/>
      <c r="AG997" s="220"/>
      <c r="AH997" s="220"/>
      <c r="AI997" s="220"/>
      <c r="AJ997" s="220"/>
      <c r="AK997" s="220"/>
      <c r="AL997" s="220"/>
    </row>
    <row r="998" ht="15.75" customHeight="1">
      <c r="A998" s="220"/>
      <c r="B998" s="220"/>
      <c r="C998" s="220"/>
      <c r="D998" s="220"/>
      <c r="E998" s="220"/>
      <c r="F998" s="220"/>
      <c r="G998" s="220"/>
      <c r="H998" s="220"/>
      <c r="I998" s="220"/>
      <c r="J998" s="220"/>
      <c r="K998" s="220"/>
      <c r="L998" s="220"/>
      <c r="M998" s="220"/>
      <c r="N998" s="220"/>
      <c r="O998" s="220"/>
      <c r="P998" s="220"/>
      <c r="Q998" s="220"/>
      <c r="R998" s="220"/>
      <c r="S998" s="220"/>
      <c r="T998" s="220"/>
      <c r="U998" s="220"/>
      <c r="V998" s="220"/>
      <c r="W998" s="220"/>
      <c r="X998" s="220"/>
      <c r="Y998" s="220"/>
      <c r="Z998" s="220"/>
      <c r="AA998" s="220"/>
      <c r="AB998" s="220"/>
      <c r="AC998" s="220"/>
      <c r="AD998" s="220"/>
      <c r="AE998" s="220"/>
      <c r="AF998" s="220"/>
      <c r="AG998" s="220"/>
      <c r="AH998" s="220"/>
      <c r="AI998" s="220"/>
      <c r="AJ998" s="220"/>
      <c r="AK998" s="220"/>
      <c r="AL998" s="220"/>
    </row>
    <row r="999" ht="15.75" customHeight="1">
      <c r="A999" s="220"/>
      <c r="B999" s="220"/>
      <c r="C999" s="220"/>
      <c r="D999" s="220"/>
      <c r="E999" s="220"/>
      <c r="F999" s="220"/>
      <c r="G999" s="220"/>
      <c r="H999" s="220"/>
      <c r="I999" s="220"/>
      <c r="J999" s="220"/>
      <c r="K999" s="220"/>
      <c r="L999" s="220"/>
      <c r="M999" s="220"/>
      <c r="N999" s="220"/>
      <c r="O999" s="220"/>
      <c r="P999" s="220"/>
      <c r="Q999" s="220"/>
      <c r="R999" s="220"/>
      <c r="S999" s="220"/>
      <c r="T999" s="220"/>
      <c r="U999" s="220"/>
      <c r="V999" s="220"/>
      <c r="W999" s="220"/>
      <c r="X999" s="220"/>
      <c r="Y999" s="220"/>
      <c r="Z999" s="220"/>
      <c r="AA999" s="220"/>
      <c r="AB999" s="220"/>
      <c r="AC999" s="220"/>
      <c r="AD999" s="220"/>
      <c r="AE999" s="220"/>
      <c r="AF999" s="220"/>
      <c r="AG999" s="220"/>
      <c r="AH999" s="220"/>
      <c r="AI999" s="220"/>
      <c r="AJ999" s="220"/>
      <c r="AK999" s="220"/>
      <c r="AL999" s="220"/>
    </row>
    <row r="1000" ht="15.75" customHeight="1">
      <c r="A1000" s="220"/>
      <c r="B1000" s="220"/>
      <c r="C1000" s="220"/>
      <c r="D1000" s="220"/>
      <c r="E1000" s="220"/>
      <c r="F1000" s="220"/>
      <c r="G1000" s="220"/>
      <c r="H1000" s="220"/>
      <c r="I1000" s="220"/>
      <c r="J1000" s="220"/>
      <c r="K1000" s="220"/>
      <c r="L1000" s="220"/>
      <c r="M1000" s="220"/>
      <c r="N1000" s="220"/>
      <c r="O1000" s="220"/>
      <c r="P1000" s="220"/>
      <c r="Q1000" s="220"/>
      <c r="R1000" s="220"/>
      <c r="S1000" s="220"/>
      <c r="T1000" s="220"/>
      <c r="U1000" s="220"/>
      <c r="V1000" s="220"/>
      <c r="W1000" s="220"/>
      <c r="X1000" s="220"/>
      <c r="Y1000" s="220"/>
      <c r="Z1000" s="220"/>
      <c r="AA1000" s="220"/>
      <c r="AB1000" s="220"/>
      <c r="AC1000" s="220"/>
      <c r="AD1000" s="220"/>
      <c r="AE1000" s="220"/>
      <c r="AF1000" s="220"/>
      <c r="AG1000" s="220"/>
      <c r="AH1000" s="220"/>
      <c r="AI1000" s="220"/>
      <c r="AJ1000" s="220"/>
      <c r="AK1000" s="220"/>
      <c r="AL1000" s="220"/>
    </row>
  </sheetData>
  <conditionalFormatting sqref="AB9:AL41">
    <cfRule type="cellIs" dxfId="13" priority="1" stopIfTrue="1" operator="lessThan">
      <formula>0</formula>
    </cfRule>
  </conditionalFormatting>
  <conditionalFormatting sqref="AB9:AL41">
    <cfRule type="cellIs" dxfId="14" priority="2" stopIfTrue="1" operator="greaterThan">
      <formula>0</formula>
    </cfRule>
  </conditionalFormatting>
  <conditionalFormatting sqref="B9:N41 P9:Z41 AB9:AL41">
    <cfRule type="expression" dxfId="6" priority="3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7.88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63.13"/>
    <col customWidth="1" min="8" max="11" width="10.0"/>
    <col customWidth="1" min="12" max="22" width="6.63"/>
  </cols>
  <sheetData>
    <row r="1">
      <c r="A1" s="183" t="s">
        <v>1917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</row>
    <row r="2">
      <c r="A2" s="478" t="s">
        <v>114</v>
      </c>
      <c r="B2" s="478"/>
      <c r="C2" s="478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</row>
    <row r="3">
      <c r="A3" s="479" t="s">
        <v>1918</v>
      </c>
      <c r="B3" s="480" t="s">
        <v>53</v>
      </c>
      <c r="C3" s="481" t="s">
        <v>1919</v>
      </c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</row>
    <row r="4">
      <c r="A4" s="479" t="s">
        <v>1920</v>
      </c>
      <c r="B4" s="480">
        <v>5.0</v>
      </c>
      <c r="C4" s="481" t="s">
        <v>1921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</row>
    <row r="5">
      <c r="A5" s="479" t="s">
        <v>377</v>
      </c>
      <c r="B5" s="480" t="s">
        <v>57</v>
      </c>
      <c r="C5" s="481" t="s">
        <v>1922</v>
      </c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</row>
    <row r="6">
      <c r="A6" s="479" t="s">
        <v>162</v>
      </c>
      <c r="B6" s="480" t="s">
        <v>163</v>
      </c>
      <c r="C6" s="481" t="s">
        <v>1923</v>
      </c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</row>
    <row r="7">
      <c r="A7" s="479" t="s">
        <v>1924</v>
      </c>
      <c r="B7" s="480" t="s">
        <v>1925</v>
      </c>
      <c r="C7" s="481" t="s">
        <v>1926</v>
      </c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</row>
    <row r="8">
      <c r="A8" s="479" t="s">
        <v>1927</v>
      </c>
      <c r="B8" s="480" t="s">
        <v>161</v>
      </c>
      <c r="C8" s="481" t="s">
        <v>1928</v>
      </c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</row>
    <row r="9">
      <c r="A9" s="479" t="s">
        <v>1929</v>
      </c>
      <c r="B9" s="482">
        <v>5.0</v>
      </c>
      <c r="C9" s="481" t="s">
        <v>1930</v>
      </c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</row>
    <row r="10">
      <c r="A10" s="479" t="s">
        <v>1931</v>
      </c>
      <c r="B10" s="480"/>
      <c r="C10" s="481" t="s">
        <v>1932</v>
      </c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</row>
    <row r="11">
      <c r="A11" s="479" t="s">
        <v>1933</v>
      </c>
      <c r="B11" s="480"/>
      <c r="C11" s="481" t="s">
        <v>1934</v>
      </c>
      <c r="D11" s="220"/>
      <c r="E11" s="220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</row>
    <row r="12">
      <c r="A12" s="220"/>
      <c r="B12" s="220"/>
      <c r="C12" s="220"/>
      <c r="D12" s="220"/>
      <c r="E12" s="220"/>
      <c r="F12" s="220"/>
      <c r="G12" s="220"/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</row>
    <row r="13">
      <c r="A13" s="478" t="s">
        <v>1935</v>
      </c>
      <c r="B13" s="478"/>
      <c r="C13" s="478"/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</row>
    <row r="14">
      <c r="A14" s="479" t="str">
        <f>ECOGAINS_PBP_PROFILE($B$5,$B$6)</f>
        <v>Attempts / active day</v>
      </c>
      <c r="B14" s="483">
        <v>26.4</v>
      </c>
      <c r="C14" s="481" t="s">
        <v>1936</v>
      </c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</row>
    <row r="15">
      <c r="A15" s="479" t="s">
        <v>1937</v>
      </c>
      <c r="B15" s="483" t="s">
        <v>1938</v>
      </c>
      <c r="C15" s="481" t="s">
        <v>1939</v>
      </c>
      <c r="D15" s="220"/>
      <c r="E15" s="220"/>
      <c r="F15" s="220"/>
      <c r="G15" s="220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</row>
    <row r="16">
      <c r="A16" s="479" t="s">
        <v>1940</v>
      </c>
      <c r="B16" s="483" t="s">
        <v>1941</v>
      </c>
      <c r="C16" s="481" t="s">
        <v>1942</v>
      </c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</row>
    <row r="17">
      <c r="A17" s="479" t="s">
        <v>1943</v>
      </c>
      <c r="B17" s="483">
        <v>7.0</v>
      </c>
      <c r="C17" s="481" t="s">
        <v>1944</v>
      </c>
      <c r="D17" s="220"/>
      <c r="E17" s="220"/>
      <c r="F17" s="220"/>
      <c r="G17" s="220"/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</row>
    <row r="18">
      <c r="A18" s="479" t="s">
        <v>1945</v>
      </c>
      <c r="B18" s="483">
        <v>4.1</v>
      </c>
      <c r="C18" s="481" t="s">
        <v>1946</v>
      </c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</row>
    <row r="19">
      <c r="A19" s="479" t="s">
        <v>1947</v>
      </c>
      <c r="B19" s="483">
        <v>3.0</v>
      </c>
      <c r="C19" s="481" t="s">
        <v>1948</v>
      </c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</row>
    <row r="20">
      <c r="A20" s="479" t="s">
        <v>1949</v>
      </c>
      <c r="B20" s="483">
        <v>7.0</v>
      </c>
      <c r="C20" s="481" t="s">
        <v>1950</v>
      </c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</row>
    <row r="21" ht="15.75" customHeight="1">
      <c r="A21" s="22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</row>
    <row r="22" ht="15.75" customHeight="1">
      <c r="A22" s="478" t="s">
        <v>1951</v>
      </c>
      <c r="B22" s="478"/>
      <c r="C22" s="478"/>
      <c r="D22" s="478"/>
      <c r="E22" s="478"/>
      <c r="F22" s="478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</row>
    <row r="23" ht="15.75" customHeight="1">
      <c r="A23" s="479" t="str">
        <f>ECOGAINS_PBP_EVENTS($B$3,$B$4,$B$5,$B$6,$B$8)</f>
        <v>Event</v>
      </c>
      <c r="B23" s="479" t="s">
        <v>1952</v>
      </c>
      <c r="C23" s="479" t="s">
        <v>1953</v>
      </c>
      <c r="D23" s="479" t="s">
        <v>1954</v>
      </c>
      <c r="E23" s="479" t="s">
        <v>1955</v>
      </c>
      <c r="F23" s="479" t="s">
        <v>1956</v>
      </c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</row>
    <row r="24" ht="15.75" customHeight="1">
      <c r="A24" s="479" t="s">
        <v>369</v>
      </c>
      <c r="B24" s="484" t="s">
        <v>386</v>
      </c>
      <c r="C24" s="484">
        <v>155.8</v>
      </c>
      <c r="D24" s="484" t="s">
        <v>1957</v>
      </c>
      <c r="E24" s="484" t="s">
        <v>1958</v>
      </c>
      <c r="F24" s="484" t="s">
        <v>425</v>
      </c>
      <c r="G24" s="220"/>
      <c r="H24" s="220"/>
      <c r="I24" s="220"/>
      <c r="J24" s="220"/>
      <c r="K24" s="220"/>
      <c r="L24" s="220"/>
      <c r="M24" s="220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</row>
    <row r="25" ht="15.75" customHeight="1">
      <c r="A25" s="479" t="s">
        <v>43</v>
      </c>
      <c r="B25" s="484" t="s">
        <v>386</v>
      </c>
      <c r="C25" s="484">
        <v>2556.5</v>
      </c>
      <c r="D25" s="484" t="s">
        <v>1959</v>
      </c>
      <c r="E25" s="484" t="s">
        <v>425</v>
      </c>
      <c r="F25" s="484" t="s">
        <v>1960</v>
      </c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</row>
    <row r="26" ht="15.75" customHeight="1">
      <c r="A26" s="479" t="s">
        <v>32</v>
      </c>
      <c r="B26" s="484" t="s">
        <v>386</v>
      </c>
      <c r="C26" s="484">
        <v>0.0</v>
      </c>
      <c r="D26" s="484" t="s">
        <v>1961</v>
      </c>
      <c r="E26" s="484" t="s">
        <v>425</v>
      </c>
      <c r="F26" s="484" t="s">
        <v>1962</v>
      </c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</row>
    <row r="27" ht="15.75" customHeight="1">
      <c r="A27" s="479" t="s">
        <v>46</v>
      </c>
      <c r="B27" s="484" t="s">
        <v>386</v>
      </c>
      <c r="C27" s="484">
        <v>0.0</v>
      </c>
      <c r="D27" s="484" t="s">
        <v>425</v>
      </c>
      <c r="E27" s="484" t="s">
        <v>425</v>
      </c>
      <c r="F27" s="484" t="s">
        <v>1963</v>
      </c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</row>
    <row r="28" ht="15.75" customHeight="1">
      <c r="A28" s="479" t="s">
        <v>368</v>
      </c>
      <c r="B28" s="484" t="s">
        <v>386</v>
      </c>
      <c r="C28" s="484">
        <v>0.0</v>
      </c>
      <c r="D28" s="484" t="s">
        <v>425</v>
      </c>
      <c r="E28" s="484" t="s">
        <v>425</v>
      </c>
      <c r="F28" s="484" t="s">
        <v>425</v>
      </c>
      <c r="G28" s="220"/>
      <c r="H28" s="220"/>
      <c r="I28" s="220"/>
      <c r="J28" s="220"/>
      <c r="K28" s="220"/>
      <c r="L28" s="220"/>
      <c r="M28" s="220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</row>
    <row r="29" ht="15.75" customHeight="1">
      <c r="A29" s="479" t="s">
        <v>367</v>
      </c>
      <c r="B29" s="484" t="s">
        <v>1964</v>
      </c>
      <c r="C29" s="484" t="s">
        <v>425</v>
      </c>
      <c r="D29" s="484" t="s">
        <v>425</v>
      </c>
      <c r="E29" s="484" t="s">
        <v>425</v>
      </c>
      <c r="F29" s="484" t="s">
        <v>1965</v>
      </c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</row>
    <row r="30" ht="15.75" customHeight="1">
      <c r="A30" s="479"/>
      <c r="B30" s="484"/>
      <c r="C30" s="484"/>
      <c r="D30" s="484"/>
      <c r="E30" s="484"/>
      <c r="F30" s="484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</row>
    <row r="31" ht="15.75" customHeight="1">
      <c r="A31" s="479"/>
      <c r="B31" s="484"/>
      <c r="C31" s="484"/>
      <c r="D31" s="484"/>
      <c r="E31" s="484"/>
      <c r="F31" s="484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0"/>
      <c r="Z31" s="220"/>
    </row>
    <row r="32" ht="15.75" customHeight="1">
      <c r="A32" s="479"/>
      <c r="B32" s="484"/>
      <c r="C32" s="484"/>
      <c r="D32" s="484"/>
      <c r="E32" s="484"/>
      <c r="F32" s="484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</row>
    <row r="33" ht="15.75" customHeight="1">
      <c r="A33" s="479"/>
      <c r="B33" s="484"/>
      <c r="C33" s="484"/>
      <c r="D33" s="484"/>
      <c r="E33" s="484"/>
      <c r="F33" s="484"/>
      <c r="G33" s="220"/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</row>
    <row r="34" ht="15.75" customHeight="1">
      <c r="A34" s="479"/>
      <c r="B34" s="484"/>
      <c r="C34" s="484"/>
      <c r="D34" s="484"/>
      <c r="E34" s="484"/>
      <c r="F34" s="484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</row>
    <row r="35" ht="15.75" customHeight="1">
      <c r="A35" s="479"/>
      <c r="B35" s="484"/>
      <c r="C35" s="484"/>
      <c r="D35" s="484"/>
      <c r="E35" s="484"/>
      <c r="F35" s="484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</row>
    <row r="36" ht="15.75" customHeight="1">
      <c r="A36" s="479"/>
      <c r="B36" s="484"/>
      <c r="C36" s="484"/>
      <c r="D36" s="484"/>
      <c r="E36" s="484"/>
      <c r="F36" s="484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</row>
    <row r="37" ht="15.75" customHeight="1">
      <c r="A37" s="22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</row>
    <row r="38" ht="15.75" hidden="1" customHeight="1">
      <c r="A38" s="485" t="s">
        <v>1966</v>
      </c>
      <c r="B38" s="485"/>
      <c r="C38" s="485"/>
      <c r="D38" s="485"/>
      <c r="E38" s="485"/>
      <c r="F38" s="485"/>
      <c r="G38" s="485"/>
      <c r="H38" s="485"/>
      <c r="I38" s="485"/>
      <c r="J38" s="485"/>
      <c r="K38" s="485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</row>
    <row r="39" ht="15.75" hidden="1" customHeight="1">
      <c r="A39" s="438" t="s">
        <v>1967</v>
      </c>
      <c r="B39" s="220"/>
      <c r="C39" s="220"/>
      <c r="D39" s="220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</row>
    <row r="40" ht="15.75" hidden="1" customHeight="1">
      <c r="A40" s="438" t="s">
        <v>1968</v>
      </c>
      <c r="B40" s="220"/>
      <c r="C40" s="220"/>
      <c r="D40" s="220"/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</row>
    <row r="41" ht="15.75" hidden="1" customHeight="1">
      <c r="A41" s="438" t="s">
        <v>1969</v>
      </c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</row>
    <row r="42" ht="15.75" hidden="1" customHeight="1">
      <c r="A42" s="438" t="s">
        <v>1970</v>
      </c>
      <c r="B42" s="220"/>
      <c r="C42" s="220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</row>
    <row r="43" ht="15.75" hidden="1" customHeight="1">
      <c r="A43" s="438" t="s">
        <v>1971</v>
      </c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</row>
    <row r="44" ht="15.75" hidden="1" customHeight="1">
      <c r="A44" s="438" t="s">
        <v>1972</v>
      </c>
      <c r="B44" s="220"/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</row>
    <row r="45" ht="15.75" hidden="1" customHeight="1">
      <c r="A45" s="438" t="s">
        <v>1973</v>
      </c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</row>
    <row r="46" ht="15.75" hidden="1" customHeight="1">
      <c r="A46" s="438" t="s">
        <v>1974</v>
      </c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</row>
    <row r="47" ht="15.75" hidden="1" customHeight="1">
      <c r="A47" s="438" t="s">
        <v>1975</v>
      </c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</row>
    <row r="48" ht="15.75" hidden="1" customHeight="1">
      <c r="A48" s="438" t="s">
        <v>1976</v>
      </c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</row>
    <row r="49" ht="15.75" hidden="1" customHeight="1">
      <c r="A49" s="438" t="s">
        <v>1977</v>
      </c>
      <c r="B49" s="220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</row>
    <row r="50" ht="15.75" customHeight="1">
      <c r="A50" s="220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</row>
    <row r="51" ht="15.75" customHeight="1">
      <c r="A51" s="478" t="s">
        <v>1978</v>
      </c>
      <c r="B51" s="478"/>
      <c r="C51" s="478"/>
      <c r="D51" s="478"/>
      <c r="E51" s="478"/>
      <c r="F51" s="478"/>
      <c r="G51" s="478"/>
      <c r="H51" s="478"/>
      <c r="I51" s="478"/>
      <c r="J51" s="478"/>
      <c r="K51" s="478"/>
      <c r="L51" s="478"/>
      <c r="M51" s="478"/>
      <c r="N51" s="478"/>
      <c r="O51" s="478"/>
      <c r="P51" s="478"/>
      <c r="Q51" s="478"/>
      <c r="R51" s="478"/>
      <c r="S51" s="478"/>
      <c r="T51" s="478"/>
      <c r="U51" s="478"/>
      <c r="V51" s="478"/>
      <c r="W51" s="220"/>
      <c r="X51" s="220"/>
      <c r="Y51" s="220"/>
      <c r="Z51" s="220"/>
    </row>
    <row r="52" ht="15.75" customHeight="1">
      <c r="A52" s="479" t="str">
        <f>ECOGAINS_PBP($B$3,$B$4,$B$5,$B$6,$B$7,$B$8,$B$9,$B$10,$B$11)</f>
        <v>Row</v>
      </c>
      <c r="B52" s="479" t="s">
        <v>381</v>
      </c>
      <c r="C52" s="479" t="s">
        <v>1979</v>
      </c>
      <c r="D52" s="479" t="s">
        <v>383</v>
      </c>
      <c r="E52" s="479" t="s">
        <v>1980</v>
      </c>
      <c r="F52" s="479" t="s">
        <v>1981</v>
      </c>
      <c r="G52" s="479" t="s">
        <v>1982</v>
      </c>
      <c r="H52" s="479" t="s">
        <v>1983</v>
      </c>
      <c r="I52" s="479" t="s">
        <v>1984</v>
      </c>
      <c r="J52" s="479" t="s">
        <v>1985</v>
      </c>
      <c r="K52" s="479" t="s">
        <v>1986</v>
      </c>
      <c r="L52" s="479" t="s">
        <v>1872</v>
      </c>
      <c r="M52" s="479" t="s">
        <v>72</v>
      </c>
      <c r="N52" s="479" t="s">
        <v>73</v>
      </c>
      <c r="O52" s="479" t="s">
        <v>74</v>
      </c>
      <c r="P52" s="479" t="s">
        <v>69</v>
      </c>
      <c r="Q52" s="479" t="s">
        <v>70</v>
      </c>
      <c r="R52" s="479" t="s">
        <v>71</v>
      </c>
      <c r="S52" s="479" t="s">
        <v>1873</v>
      </c>
      <c r="T52" s="479" t="s">
        <v>1874</v>
      </c>
      <c r="U52" s="479" t="s">
        <v>1875</v>
      </c>
      <c r="V52" s="479" t="s">
        <v>75</v>
      </c>
      <c r="W52" s="220"/>
      <c r="X52" s="220"/>
      <c r="Y52" s="220"/>
      <c r="Z52" s="220"/>
    </row>
    <row r="53" ht="15.75" customHeight="1">
      <c r="A53" s="486" t="s">
        <v>1987</v>
      </c>
      <c r="B53" s="486">
        <v>0.0</v>
      </c>
      <c r="C53" s="486">
        <v>273.0</v>
      </c>
      <c r="D53" s="486" t="s">
        <v>1988</v>
      </c>
      <c r="E53" s="486" t="s">
        <v>1986</v>
      </c>
      <c r="F53" s="486" t="s">
        <v>1986</v>
      </c>
      <c r="G53" s="487" t="s">
        <v>1989</v>
      </c>
      <c r="H53" s="486">
        <v>155.8</v>
      </c>
      <c r="I53" s="486">
        <v>2556.5</v>
      </c>
      <c r="J53" s="486">
        <v>0.0</v>
      </c>
      <c r="K53" s="486" t="s">
        <v>1986</v>
      </c>
      <c r="L53" s="486">
        <v>0.0</v>
      </c>
      <c r="M53" s="486">
        <v>1.0</v>
      </c>
      <c r="N53" s="486">
        <v>0.0</v>
      </c>
      <c r="O53" s="486">
        <v>0.0</v>
      </c>
      <c r="P53" s="486">
        <v>0.0</v>
      </c>
      <c r="Q53" s="486">
        <v>0.0</v>
      </c>
      <c r="R53" s="486">
        <v>0.0</v>
      </c>
      <c r="S53" s="486">
        <v>0.0</v>
      </c>
      <c r="T53" s="486">
        <v>0.0</v>
      </c>
      <c r="U53" s="486">
        <v>0.0</v>
      </c>
      <c r="V53" s="486">
        <v>0.0</v>
      </c>
      <c r="W53" s="220"/>
      <c r="X53" s="220"/>
      <c r="Y53" s="220"/>
      <c r="Z53" s="220"/>
    </row>
    <row r="54" ht="15.75" customHeight="1">
      <c r="A54" s="486">
        <v>1.0</v>
      </c>
      <c r="B54" s="486">
        <v>1.0</v>
      </c>
      <c r="C54" s="486">
        <v>273.0</v>
      </c>
      <c r="D54" s="486" t="s">
        <v>1990</v>
      </c>
      <c r="E54" s="486">
        <v>0.0</v>
      </c>
      <c r="F54" s="486" t="s">
        <v>425</v>
      </c>
      <c r="G54" s="487" t="s">
        <v>1986</v>
      </c>
      <c r="H54" s="486">
        <v>155.8</v>
      </c>
      <c r="I54" s="486">
        <v>2556.5</v>
      </c>
      <c r="J54" s="486">
        <v>0.0</v>
      </c>
      <c r="K54" s="486" t="s">
        <v>1986</v>
      </c>
      <c r="L54" s="486">
        <v>0.0</v>
      </c>
      <c r="M54" s="486">
        <v>1.0</v>
      </c>
      <c r="N54" s="486">
        <v>0.0</v>
      </c>
      <c r="O54" s="486">
        <v>0.0</v>
      </c>
      <c r="P54" s="486">
        <v>0.0</v>
      </c>
      <c r="Q54" s="486">
        <v>0.0</v>
      </c>
      <c r="R54" s="486">
        <v>0.0</v>
      </c>
      <c r="S54" s="486">
        <v>0.0</v>
      </c>
      <c r="T54" s="486">
        <v>0.0</v>
      </c>
      <c r="U54" s="486">
        <v>0.0</v>
      </c>
      <c r="V54" s="486">
        <v>0.0</v>
      </c>
      <c r="W54" s="220"/>
      <c r="X54" s="220"/>
      <c r="Y54" s="220"/>
      <c r="Z54" s="220"/>
    </row>
    <row r="55" ht="15.75" customHeight="1">
      <c r="A55" s="486">
        <v>2.0</v>
      </c>
      <c r="B55" s="486">
        <v>2.0</v>
      </c>
      <c r="C55" s="486">
        <v>273.0</v>
      </c>
      <c r="D55" s="486" t="s">
        <v>1991</v>
      </c>
      <c r="E55" s="486">
        <v>1.0</v>
      </c>
      <c r="F55" s="486" t="s">
        <v>1992</v>
      </c>
      <c r="G55" s="487" t="s">
        <v>1986</v>
      </c>
      <c r="H55" s="486">
        <v>158.8</v>
      </c>
      <c r="I55" s="486">
        <v>2557.6</v>
      </c>
      <c r="J55" s="486">
        <v>1.6</v>
      </c>
      <c r="K55" s="486" t="s">
        <v>1986</v>
      </c>
      <c r="L55" s="486">
        <v>0.0</v>
      </c>
      <c r="M55" s="486">
        <v>1.0</v>
      </c>
      <c r="N55" s="486">
        <v>0.0</v>
      </c>
      <c r="O55" s="486">
        <v>0.0</v>
      </c>
      <c r="P55" s="486">
        <v>0.0</v>
      </c>
      <c r="Q55" s="486">
        <v>0.0</v>
      </c>
      <c r="R55" s="486">
        <v>0.0</v>
      </c>
      <c r="S55" s="486">
        <v>0.0</v>
      </c>
      <c r="T55" s="486">
        <v>0.0</v>
      </c>
      <c r="U55" s="486">
        <v>0.0</v>
      </c>
      <c r="V55" s="486">
        <v>0.0</v>
      </c>
      <c r="W55" s="220"/>
      <c r="X55" s="220"/>
      <c r="Y55" s="220"/>
      <c r="Z55" s="220"/>
    </row>
    <row r="56" ht="15.75" customHeight="1">
      <c r="A56" s="486">
        <v>3.0</v>
      </c>
      <c r="B56" s="486">
        <v>3.0</v>
      </c>
      <c r="C56" s="486">
        <v>274.0</v>
      </c>
      <c r="D56" s="486" t="s">
        <v>1991</v>
      </c>
      <c r="E56" s="486">
        <v>2.0</v>
      </c>
      <c r="F56" s="486" t="s">
        <v>1993</v>
      </c>
      <c r="G56" s="487" t="s">
        <v>1986</v>
      </c>
      <c r="H56" s="486">
        <v>163.8</v>
      </c>
      <c r="I56" s="486">
        <v>2567.8</v>
      </c>
      <c r="J56" s="486">
        <v>9.8</v>
      </c>
      <c r="K56" s="486" t="s">
        <v>1986</v>
      </c>
      <c r="L56" s="486">
        <v>0.0</v>
      </c>
      <c r="M56" s="486">
        <v>1.0</v>
      </c>
      <c r="N56" s="486">
        <v>0.0</v>
      </c>
      <c r="O56" s="486">
        <v>0.0</v>
      </c>
      <c r="P56" s="486">
        <v>0.0</v>
      </c>
      <c r="Q56" s="486">
        <v>0.0</v>
      </c>
      <c r="R56" s="486">
        <v>0.0</v>
      </c>
      <c r="S56" s="486">
        <v>0.0</v>
      </c>
      <c r="T56" s="486">
        <v>0.0</v>
      </c>
      <c r="U56" s="486">
        <v>0.0</v>
      </c>
      <c r="V56" s="486">
        <v>0.0</v>
      </c>
      <c r="W56" s="220"/>
      <c r="X56" s="220"/>
      <c r="Y56" s="220"/>
      <c r="Z56" s="220"/>
    </row>
    <row r="57" ht="15.75" customHeight="1">
      <c r="A57" s="486">
        <v>4.0</v>
      </c>
      <c r="B57" s="486">
        <v>4.0</v>
      </c>
      <c r="C57" s="486">
        <v>275.0</v>
      </c>
      <c r="D57" s="486" t="s">
        <v>1990</v>
      </c>
      <c r="E57" s="486">
        <v>0.0</v>
      </c>
      <c r="F57" s="486" t="s">
        <v>425</v>
      </c>
      <c r="G57" s="487" t="s">
        <v>1986</v>
      </c>
      <c r="H57" s="486">
        <v>163.8</v>
      </c>
      <c r="I57" s="486">
        <v>2567.8</v>
      </c>
      <c r="J57" s="486">
        <v>9.8</v>
      </c>
      <c r="K57" s="486" t="s">
        <v>1986</v>
      </c>
      <c r="L57" s="486">
        <v>0.0</v>
      </c>
      <c r="M57" s="486">
        <v>1.0</v>
      </c>
      <c r="N57" s="486">
        <v>0.0</v>
      </c>
      <c r="O57" s="486">
        <v>0.0</v>
      </c>
      <c r="P57" s="486">
        <v>0.0</v>
      </c>
      <c r="Q57" s="486">
        <v>0.0</v>
      </c>
      <c r="R57" s="486">
        <v>0.0</v>
      </c>
      <c r="S57" s="486">
        <v>0.0</v>
      </c>
      <c r="T57" s="486">
        <v>0.0</v>
      </c>
      <c r="U57" s="486">
        <v>0.0</v>
      </c>
      <c r="V57" s="486">
        <v>0.0</v>
      </c>
      <c r="W57" s="220"/>
      <c r="X57" s="220"/>
      <c r="Y57" s="220"/>
      <c r="Z57" s="220"/>
    </row>
    <row r="58" ht="15.75" customHeight="1">
      <c r="A58" s="486">
        <v>5.0</v>
      </c>
      <c r="B58" s="486">
        <v>5.0</v>
      </c>
      <c r="C58" s="486">
        <v>275.0</v>
      </c>
      <c r="D58" s="486" t="s">
        <v>1990</v>
      </c>
      <c r="E58" s="486">
        <v>0.0</v>
      </c>
      <c r="F58" s="486" t="s">
        <v>425</v>
      </c>
      <c r="G58" s="487" t="s">
        <v>1986</v>
      </c>
      <c r="H58" s="486">
        <v>163.8</v>
      </c>
      <c r="I58" s="486">
        <v>2567.8</v>
      </c>
      <c r="J58" s="486">
        <v>9.8</v>
      </c>
      <c r="K58" s="486" t="s">
        <v>1986</v>
      </c>
      <c r="L58" s="486">
        <v>0.0</v>
      </c>
      <c r="M58" s="486">
        <v>1.0</v>
      </c>
      <c r="N58" s="486">
        <v>0.0</v>
      </c>
      <c r="O58" s="486">
        <v>0.0</v>
      </c>
      <c r="P58" s="486">
        <v>0.0</v>
      </c>
      <c r="Q58" s="486">
        <v>0.0</v>
      </c>
      <c r="R58" s="486">
        <v>0.0</v>
      </c>
      <c r="S58" s="486">
        <v>0.0</v>
      </c>
      <c r="T58" s="486">
        <v>0.0</v>
      </c>
      <c r="U58" s="486">
        <v>0.0</v>
      </c>
      <c r="V58" s="486">
        <v>0.0</v>
      </c>
      <c r="W58" s="220"/>
      <c r="X58" s="220"/>
      <c r="Y58" s="220"/>
      <c r="Z58" s="220"/>
    </row>
    <row r="59" ht="15.75" customHeight="1">
      <c r="A59" s="486">
        <v>6.0</v>
      </c>
      <c r="B59" s="486">
        <v>6.0</v>
      </c>
      <c r="C59" s="486">
        <v>275.0</v>
      </c>
      <c r="D59" s="486" t="s">
        <v>1991</v>
      </c>
      <c r="E59" s="486">
        <v>1.0</v>
      </c>
      <c r="F59" s="486" t="s">
        <v>1992</v>
      </c>
      <c r="G59" s="487" t="s">
        <v>1986</v>
      </c>
      <c r="H59" s="486">
        <v>166.8</v>
      </c>
      <c r="I59" s="486">
        <v>2568.8</v>
      </c>
      <c r="J59" s="486">
        <v>11.5</v>
      </c>
      <c r="K59" s="486" t="s">
        <v>1986</v>
      </c>
      <c r="L59" s="486">
        <v>0.0</v>
      </c>
      <c r="M59" s="486">
        <v>1.0</v>
      </c>
      <c r="N59" s="486">
        <v>0.0</v>
      </c>
      <c r="O59" s="486">
        <v>0.0</v>
      </c>
      <c r="P59" s="486">
        <v>0.0</v>
      </c>
      <c r="Q59" s="486">
        <v>0.0</v>
      </c>
      <c r="R59" s="486">
        <v>0.0</v>
      </c>
      <c r="S59" s="486">
        <v>0.0</v>
      </c>
      <c r="T59" s="486">
        <v>0.0</v>
      </c>
      <c r="U59" s="486">
        <v>0.0</v>
      </c>
      <c r="V59" s="486">
        <v>0.0</v>
      </c>
      <c r="W59" s="220"/>
      <c r="X59" s="220"/>
      <c r="Y59" s="220"/>
      <c r="Z59" s="220"/>
    </row>
    <row r="60" ht="15.75" customHeight="1">
      <c r="A60" s="486">
        <v>7.0</v>
      </c>
      <c r="B60" s="486">
        <v>7.0</v>
      </c>
      <c r="C60" s="486">
        <v>276.0</v>
      </c>
      <c r="D60" s="486" t="s">
        <v>1990</v>
      </c>
      <c r="E60" s="486">
        <v>0.0</v>
      </c>
      <c r="F60" s="486" t="s">
        <v>425</v>
      </c>
      <c r="G60" s="487" t="s">
        <v>1986</v>
      </c>
      <c r="H60" s="486">
        <v>166.8</v>
      </c>
      <c r="I60" s="486">
        <v>2568.8</v>
      </c>
      <c r="J60" s="486">
        <v>11.5</v>
      </c>
      <c r="K60" s="486" t="s">
        <v>1986</v>
      </c>
      <c r="L60" s="486">
        <v>0.0</v>
      </c>
      <c r="M60" s="486">
        <v>1.0</v>
      </c>
      <c r="N60" s="486">
        <v>0.0</v>
      </c>
      <c r="O60" s="486">
        <v>0.0</v>
      </c>
      <c r="P60" s="486">
        <v>0.0</v>
      </c>
      <c r="Q60" s="486">
        <v>0.0</v>
      </c>
      <c r="R60" s="486">
        <v>0.0</v>
      </c>
      <c r="S60" s="486">
        <v>0.0</v>
      </c>
      <c r="T60" s="486">
        <v>0.0</v>
      </c>
      <c r="U60" s="486">
        <v>0.0</v>
      </c>
      <c r="V60" s="486">
        <v>0.0</v>
      </c>
      <c r="W60" s="220"/>
      <c r="X60" s="220"/>
      <c r="Y60" s="220"/>
      <c r="Z60" s="220"/>
    </row>
    <row r="61" ht="15.75" customHeight="1">
      <c r="A61" s="486">
        <v>8.0</v>
      </c>
      <c r="B61" s="486">
        <v>8.0</v>
      </c>
      <c r="C61" s="486">
        <v>276.0</v>
      </c>
      <c r="D61" s="486" t="s">
        <v>1990</v>
      </c>
      <c r="E61" s="486">
        <v>0.0</v>
      </c>
      <c r="F61" s="486" t="s">
        <v>425</v>
      </c>
      <c r="G61" s="487" t="s">
        <v>1986</v>
      </c>
      <c r="H61" s="486">
        <v>166.8</v>
      </c>
      <c r="I61" s="486">
        <v>2568.8</v>
      </c>
      <c r="J61" s="486">
        <v>11.5</v>
      </c>
      <c r="K61" s="486" t="s">
        <v>1986</v>
      </c>
      <c r="L61" s="486">
        <v>0.0</v>
      </c>
      <c r="M61" s="486">
        <v>1.0</v>
      </c>
      <c r="N61" s="486">
        <v>0.0</v>
      </c>
      <c r="O61" s="486">
        <v>0.0</v>
      </c>
      <c r="P61" s="486">
        <v>0.0</v>
      </c>
      <c r="Q61" s="486">
        <v>0.0</v>
      </c>
      <c r="R61" s="486">
        <v>0.0</v>
      </c>
      <c r="S61" s="486">
        <v>0.0</v>
      </c>
      <c r="T61" s="486">
        <v>0.0</v>
      </c>
      <c r="U61" s="486">
        <v>0.0</v>
      </c>
      <c r="V61" s="486">
        <v>0.0</v>
      </c>
      <c r="W61" s="220"/>
      <c r="X61" s="220"/>
      <c r="Y61" s="220"/>
      <c r="Z61" s="220"/>
    </row>
    <row r="62" ht="15.75" customHeight="1">
      <c r="A62" s="486">
        <v>9.0</v>
      </c>
      <c r="B62" s="486">
        <v>9.0</v>
      </c>
      <c r="C62" s="486">
        <v>276.0</v>
      </c>
      <c r="D62" s="486" t="s">
        <v>1990</v>
      </c>
      <c r="E62" s="486">
        <v>0.0</v>
      </c>
      <c r="F62" s="486" t="s">
        <v>425</v>
      </c>
      <c r="G62" s="487" t="s">
        <v>1986</v>
      </c>
      <c r="H62" s="486">
        <v>166.8</v>
      </c>
      <c r="I62" s="486">
        <v>2568.8</v>
      </c>
      <c r="J62" s="486">
        <v>11.5</v>
      </c>
      <c r="K62" s="486" t="s">
        <v>1986</v>
      </c>
      <c r="L62" s="486">
        <v>0.0</v>
      </c>
      <c r="M62" s="486">
        <v>1.0</v>
      </c>
      <c r="N62" s="486">
        <v>0.0</v>
      </c>
      <c r="O62" s="486">
        <v>0.0</v>
      </c>
      <c r="P62" s="486">
        <v>0.0</v>
      </c>
      <c r="Q62" s="486">
        <v>0.0</v>
      </c>
      <c r="R62" s="486">
        <v>0.0</v>
      </c>
      <c r="S62" s="486">
        <v>0.0</v>
      </c>
      <c r="T62" s="486">
        <v>0.0</v>
      </c>
      <c r="U62" s="486">
        <v>0.0</v>
      </c>
      <c r="V62" s="486">
        <v>0.0</v>
      </c>
      <c r="W62" s="220"/>
      <c r="X62" s="220"/>
      <c r="Y62" s="220"/>
      <c r="Z62" s="220"/>
    </row>
    <row r="63" ht="15.75" customHeight="1">
      <c r="A63" s="486">
        <v>10.0</v>
      </c>
      <c r="B63" s="486">
        <v>10.0</v>
      </c>
      <c r="C63" s="486">
        <v>276.0</v>
      </c>
      <c r="D63" s="486" t="s">
        <v>1990</v>
      </c>
      <c r="E63" s="486">
        <v>0.0</v>
      </c>
      <c r="F63" s="486" t="s">
        <v>425</v>
      </c>
      <c r="G63" s="487" t="s">
        <v>1986</v>
      </c>
      <c r="H63" s="486">
        <v>166.8</v>
      </c>
      <c r="I63" s="486">
        <v>2568.8</v>
      </c>
      <c r="J63" s="486">
        <v>11.5</v>
      </c>
      <c r="K63" s="486" t="s">
        <v>1986</v>
      </c>
      <c r="L63" s="486">
        <v>0.0</v>
      </c>
      <c r="M63" s="486">
        <v>1.0</v>
      </c>
      <c r="N63" s="486">
        <v>0.0</v>
      </c>
      <c r="O63" s="486">
        <v>0.0</v>
      </c>
      <c r="P63" s="486">
        <v>0.0</v>
      </c>
      <c r="Q63" s="486">
        <v>0.0</v>
      </c>
      <c r="R63" s="486">
        <v>0.0</v>
      </c>
      <c r="S63" s="486">
        <v>0.0</v>
      </c>
      <c r="T63" s="486">
        <v>0.0</v>
      </c>
      <c r="U63" s="486">
        <v>0.0</v>
      </c>
      <c r="V63" s="486">
        <v>0.0</v>
      </c>
      <c r="W63" s="220"/>
      <c r="X63" s="220"/>
      <c r="Y63" s="220"/>
      <c r="Z63" s="220"/>
    </row>
    <row r="64" ht="15.75" customHeight="1">
      <c r="A64" s="486">
        <v>11.0</v>
      </c>
      <c r="B64" s="486">
        <v>11.0</v>
      </c>
      <c r="C64" s="486">
        <v>276.0</v>
      </c>
      <c r="D64" s="486" t="s">
        <v>1991</v>
      </c>
      <c r="E64" s="486">
        <v>1.0</v>
      </c>
      <c r="F64" s="486" t="s">
        <v>1992</v>
      </c>
      <c r="G64" s="487" t="s">
        <v>1986</v>
      </c>
      <c r="H64" s="486">
        <v>169.8</v>
      </c>
      <c r="I64" s="486">
        <v>2569.8</v>
      </c>
      <c r="J64" s="486">
        <v>13.1</v>
      </c>
      <c r="K64" s="486" t="s">
        <v>1986</v>
      </c>
      <c r="L64" s="486">
        <v>0.0</v>
      </c>
      <c r="M64" s="486">
        <v>1.0</v>
      </c>
      <c r="N64" s="486">
        <v>0.0</v>
      </c>
      <c r="O64" s="486">
        <v>0.0</v>
      </c>
      <c r="P64" s="486">
        <v>0.0</v>
      </c>
      <c r="Q64" s="486">
        <v>0.0</v>
      </c>
      <c r="R64" s="486">
        <v>0.0</v>
      </c>
      <c r="S64" s="486">
        <v>0.0</v>
      </c>
      <c r="T64" s="486">
        <v>0.0</v>
      </c>
      <c r="U64" s="486">
        <v>0.0</v>
      </c>
      <c r="V64" s="486">
        <v>0.0</v>
      </c>
      <c r="W64" s="220"/>
      <c r="X64" s="220"/>
      <c r="Y64" s="220"/>
      <c r="Z64" s="220"/>
    </row>
    <row r="65" ht="15.75" customHeight="1">
      <c r="A65" s="486">
        <v>12.0</v>
      </c>
      <c r="B65" s="486">
        <v>12.0</v>
      </c>
      <c r="C65" s="486">
        <v>277.0</v>
      </c>
      <c r="D65" s="486" t="s">
        <v>1991</v>
      </c>
      <c r="E65" s="486">
        <v>2.0</v>
      </c>
      <c r="F65" s="486" t="s">
        <v>1993</v>
      </c>
      <c r="G65" s="487" t="s">
        <v>1986</v>
      </c>
      <c r="H65" s="486">
        <v>174.8</v>
      </c>
      <c r="I65" s="486">
        <v>2580.1</v>
      </c>
      <c r="J65" s="486">
        <v>21.3</v>
      </c>
      <c r="K65" s="486" t="s">
        <v>1986</v>
      </c>
      <c r="L65" s="486">
        <v>0.0</v>
      </c>
      <c r="M65" s="486">
        <v>1.0</v>
      </c>
      <c r="N65" s="486">
        <v>0.0</v>
      </c>
      <c r="O65" s="486">
        <v>0.0</v>
      </c>
      <c r="P65" s="486">
        <v>0.0</v>
      </c>
      <c r="Q65" s="486">
        <v>0.0</v>
      </c>
      <c r="R65" s="486">
        <v>0.0</v>
      </c>
      <c r="S65" s="486">
        <v>0.0</v>
      </c>
      <c r="T65" s="486">
        <v>0.0</v>
      </c>
      <c r="U65" s="486">
        <v>0.0</v>
      </c>
      <c r="V65" s="486">
        <v>0.0</v>
      </c>
      <c r="W65" s="220"/>
      <c r="X65" s="220"/>
      <c r="Y65" s="220"/>
      <c r="Z65" s="220"/>
    </row>
    <row r="66" ht="15.75" customHeight="1">
      <c r="A66" s="486">
        <v>13.0</v>
      </c>
      <c r="B66" s="486">
        <v>13.0</v>
      </c>
      <c r="C66" s="486">
        <v>278.0</v>
      </c>
      <c r="D66" s="486" t="s">
        <v>1991</v>
      </c>
      <c r="E66" s="486">
        <v>3.0</v>
      </c>
      <c r="F66" s="486" t="s">
        <v>1994</v>
      </c>
      <c r="G66" s="487" t="s">
        <v>1986</v>
      </c>
      <c r="H66" s="486">
        <v>181.8</v>
      </c>
      <c r="I66" s="486">
        <v>2682.5</v>
      </c>
      <c r="J66" s="486">
        <v>37.7</v>
      </c>
      <c r="K66" s="486" t="s">
        <v>1986</v>
      </c>
      <c r="L66" s="486">
        <v>0.0</v>
      </c>
      <c r="M66" s="486">
        <v>1.0</v>
      </c>
      <c r="N66" s="486">
        <v>0.0</v>
      </c>
      <c r="O66" s="486">
        <v>0.0</v>
      </c>
      <c r="P66" s="486">
        <v>0.0</v>
      </c>
      <c r="Q66" s="486">
        <v>0.0</v>
      </c>
      <c r="R66" s="486">
        <v>0.0</v>
      </c>
      <c r="S66" s="486">
        <v>0.0</v>
      </c>
      <c r="T66" s="486">
        <v>0.0</v>
      </c>
      <c r="U66" s="486">
        <v>0.0</v>
      </c>
      <c r="V66" s="486">
        <v>0.0</v>
      </c>
      <c r="W66" s="220"/>
      <c r="X66" s="220"/>
      <c r="Y66" s="220"/>
      <c r="Z66" s="220"/>
    </row>
    <row r="67" ht="15.75" customHeight="1">
      <c r="A67" s="486">
        <v>14.0</v>
      </c>
      <c r="B67" s="486">
        <v>14.0</v>
      </c>
      <c r="C67" s="486">
        <v>279.0</v>
      </c>
      <c r="D67" s="486" t="s">
        <v>1991</v>
      </c>
      <c r="E67" s="486">
        <v>4.0</v>
      </c>
      <c r="F67" s="486" t="s">
        <v>1995</v>
      </c>
      <c r="G67" s="487" t="s">
        <v>1986</v>
      </c>
      <c r="H67" s="486">
        <v>191.8</v>
      </c>
      <c r="I67" s="486">
        <v>2887.3</v>
      </c>
      <c r="J67" s="486">
        <v>70.5</v>
      </c>
      <c r="K67" s="486" t="s">
        <v>1986</v>
      </c>
      <c r="L67" s="486">
        <v>0.0</v>
      </c>
      <c r="M67" s="486">
        <v>1.0</v>
      </c>
      <c r="N67" s="486">
        <v>0.0</v>
      </c>
      <c r="O67" s="486">
        <v>0.0</v>
      </c>
      <c r="P67" s="486">
        <v>0.0</v>
      </c>
      <c r="Q67" s="486">
        <v>0.0</v>
      </c>
      <c r="R67" s="486">
        <v>0.0</v>
      </c>
      <c r="S67" s="486">
        <v>0.0</v>
      </c>
      <c r="T67" s="486">
        <v>0.0</v>
      </c>
      <c r="U67" s="486">
        <v>0.0</v>
      </c>
      <c r="V67" s="486">
        <v>0.0</v>
      </c>
      <c r="W67" s="220"/>
      <c r="X67" s="220"/>
      <c r="Y67" s="220"/>
      <c r="Z67" s="220"/>
    </row>
    <row r="68" ht="15.75" customHeight="1">
      <c r="A68" s="486">
        <v>15.0</v>
      </c>
      <c r="B68" s="486">
        <v>15.0</v>
      </c>
      <c r="C68" s="486">
        <v>280.0</v>
      </c>
      <c r="D68" s="486" t="s">
        <v>1991</v>
      </c>
      <c r="E68" s="486">
        <v>5.0</v>
      </c>
      <c r="F68" s="486" t="s">
        <v>1996</v>
      </c>
      <c r="G68" s="487" t="s">
        <v>1997</v>
      </c>
      <c r="H68" s="486">
        <v>201.8</v>
      </c>
      <c r="I68" s="486">
        <v>3399.3</v>
      </c>
      <c r="J68" s="486">
        <v>234.4</v>
      </c>
      <c r="K68" s="486" t="s">
        <v>1986</v>
      </c>
      <c r="L68" s="486">
        <v>0.0</v>
      </c>
      <c r="M68" s="486">
        <v>2.0</v>
      </c>
      <c r="N68" s="486">
        <v>0.0</v>
      </c>
      <c r="O68" s="486">
        <v>0.0</v>
      </c>
      <c r="P68" s="486">
        <v>0.0</v>
      </c>
      <c r="Q68" s="486">
        <v>1.0</v>
      </c>
      <c r="R68" s="486">
        <v>0.0</v>
      </c>
      <c r="S68" s="486">
        <v>0.0</v>
      </c>
      <c r="T68" s="486">
        <v>0.0</v>
      </c>
      <c r="U68" s="486">
        <v>0.0</v>
      </c>
      <c r="V68" s="486">
        <v>30.0</v>
      </c>
      <c r="W68" s="220"/>
      <c r="X68" s="220"/>
      <c r="Y68" s="220"/>
      <c r="Z68" s="220"/>
    </row>
    <row r="69" ht="15.75" customHeight="1">
      <c r="A69" s="486">
        <v>16.0</v>
      </c>
      <c r="B69" s="486">
        <v>16.0</v>
      </c>
      <c r="C69" s="486">
        <v>281.0</v>
      </c>
      <c r="D69" s="486" t="s">
        <v>1990</v>
      </c>
      <c r="E69" s="486">
        <v>0.0</v>
      </c>
      <c r="F69" s="486" t="s">
        <v>425</v>
      </c>
      <c r="G69" s="487" t="s">
        <v>1986</v>
      </c>
      <c r="H69" s="486">
        <v>201.8</v>
      </c>
      <c r="I69" s="486">
        <v>3399.3</v>
      </c>
      <c r="J69" s="486">
        <v>234.4</v>
      </c>
      <c r="K69" s="486" t="s">
        <v>1986</v>
      </c>
      <c r="L69" s="486">
        <v>0.0</v>
      </c>
      <c r="M69" s="486">
        <v>2.0</v>
      </c>
      <c r="N69" s="486">
        <v>0.0</v>
      </c>
      <c r="O69" s="486">
        <v>0.0</v>
      </c>
      <c r="P69" s="486">
        <v>0.0</v>
      </c>
      <c r="Q69" s="486">
        <v>1.0</v>
      </c>
      <c r="R69" s="486">
        <v>0.0</v>
      </c>
      <c r="S69" s="486">
        <v>0.0</v>
      </c>
      <c r="T69" s="486">
        <v>0.0</v>
      </c>
      <c r="U69" s="486">
        <v>0.0</v>
      </c>
      <c r="V69" s="486">
        <v>30.0</v>
      </c>
      <c r="W69" s="220"/>
      <c r="X69" s="220"/>
      <c r="Y69" s="220"/>
      <c r="Z69" s="220"/>
    </row>
    <row r="70" ht="15.75" customHeight="1">
      <c r="A70" s="486">
        <v>17.0</v>
      </c>
      <c r="B70" s="486">
        <v>17.0</v>
      </c>
      <c r="C70" s="486">
        <v>281.0</v>
      </c>
      <c r="D70" s="486" t="s">
        <v>1990</v>
      </c>
      <c r="E70" s="486">
        <v>0.0</v>
      </c>
      <c r="F70" s="486" t="s">
        <v>425</v>
      </c>
      <c r="G70" s="487" t="s">
        <v>1986</v>
      </c>
      <c r="H70" s="486">
        <v>201.8</v>
      </c>
      <c r="I70" s="486">
        <v>3399.3</v>
      </c>
      <c r="J70" s="486">
        <v>234.4</v>
      </c>
      <c r="K70" s="486" t="s">
        <v>1986</v>
      </c>
      <c r="L70" s="486">
        <v>0.0</v>
      </c>
      <c r="M70" s="486">
        <v>2.0</v>
      </c>
      <c r="N70" s="486">
        <v>0.0</v>
      </c>
      <c r="O70" s="486">
        <v>0.0</v>
      </c>
      <c r="P70" s="486">
        <v>0.0</v>
      </c>
      <c r="Q70" s="486">
        <v>1.0</v>
      </c>
      <c r="R70" s="486">
        <v>0.0</v>
      </c>
      <c r="S70" s="486">
        <v>0.0</v>
      </c>
      <c r="T70" s="486">
        <v>0.0</v>
      </c>
      <c r="U70" s="486">
        <v>0.0</v>
      </c>
      <c r="V70" s="486">
        <v>30.0</v>
      </c>
      <c r="W70" s="220"/>
      <c r="X70" s="220"/>
      <c r="Y70" s="220"/>
      <c r="Z70" s="220"/>
    </row>
    <row r="71" ht="15.75" customHeight="1">
      <c r="A71" s="486">
        <v>18.0</v>
      </c>
      <c r="B71" s="486">
        <v>18.0</v>
      </c>
      <c r="C71" s="486">
        <v>281.0</v>
      </c>
      <c r="D71" s="486" t="s">
        <v>1990</v>
      </c>
      <c r="E71" s="486">
        <v>0.0</v>
      </c>
      <c r="F71" s="486" t="s">
        <v>425</v>
      </c>
      <c r="G71" s="487" t="s">
        <v>1986</v>
      </c>
      <c r="H71" s="486">
        <v>201.8</v>
      </c>
      <c r="I71" s="486">
        <v>3399.3</v>
      </c>
      <c r="J71" s="486">
        <v>234.4</v>
      </c>
      <c r="K71" s="486" t="s">
        <v>1986</v>
      </c>
      <c r="L71" s="486">
        <v>0.0</v>
      </c>
      <c r="M71" s="486">
        <v>2.0</v>
      </c>
      <c r="N71" s="486">
        <v>0.0</v>
      </c>
      <c r="O71" s="486">
        <v>0.0</v>
      </c>
      <c r="P71" s="486">
        <v>0.0</v>
      </c>
      <c r="Q71" s="486">
        <v>1.0</v>
      </c>
      <c r="R71" s="486">
        <v>0.0</v>
      </c>
      <c r="S71" s="486">
        <v>0.0</v>
      </c>
      <c r="T71" s="486">
        <v>0.0</v>
      </c>
      <c r="U71" s="486">
        <v>0.0</v>
      </c>
      <c r="V71" s="486">
        <v>30.0</v>
      </c>
      <c r="W71" s="220"/>
      <c r="X71" s="220"/>
      <c r="Y71" s="220"/>
      <c r="Z71" s="220"/>
    </row>
    <row r="72" ht="15.75" customHeight="1">
      <c r="A72" s="486">
        <v>19.0</v>
      </c>
      <c r="B72" s="486">
        <v>19.0</v>
      </c>
      <c r="C72" s="486">
        <v>281.0</v>
      </c>
      <c r="D72" s="486" t="s">
        <v>1990</v>
      </c>
      <c r="E72" s="486">
        <v>0.0</v>
      </c>
      <c r="F72" s="486" t="s">
        <v>425</v>
      </c>
      <c r="G72" s="487" t="s">
        <v>1986</v>
      </c>
      <c r="H72" s="486">
        <v>201.8</v>
      </c>
      <c r="I72" s="486">
        <v>3399.3</v>
      </c>
      <c r="J72" s="486">
        <v>234.4</v>
      </c>
      <c r="K72" s="486" t="s">
        <v>1986</v>
      </c>
      <c r="L72" s="486">
        <v>0.0</v>
      </c>
      <c r="M72" s="486">
        <v>2.0</v>
      </c>
      <c r="N72" s="486">
        <v>0.0</v>
      </c>
      <c r="O72" s="486">
        <v>0.0</v>
      </c>
      <c r="P72" s="486">
        <v>0.0</v>
      </c>
      <c r="Q72" s="486">
        <v>1.0</v>
      </c>
      <c r="R72" s="486">
        <v>0.0</v>
      </c>
      <c r="S72" s="486">
        <v>0.0</v>
      </c>
      <c r="T72" s="486">
        <v>0.0</v>
      </c>
      <c r="U72" s="486">
        <v>0.0</v>
      </c>
      <c r="V72" s="486">
        <v>30.0</v>
      </c>
      <c r="W72" s="220"/>
      <c r="X72" s="220"/>
      <c r="Y72" s="220"/>
      <c r="Z72" s="220"/>
    </row>
    <row r="73" ht="15.75" customHeight="1">
      <c r="A73" s="486">
        <v>20.0</v>
      </c>
      <c r="B73" s="486">
        <v>20.0</v>
      </c>
      <c r="C73" s="486">
        <v>281.0</v>
      </c>
      <c r="D73" s="486" t="s">
        <v>1990</v>
      </c>
      <c r="E73" s="486">
        <v>0.0</v>
      </c>
      <c r="F73" s="486" t="s">
        <v>425</v>
      </c>
      <c r="G73" s="487" t="s">
        <v>1986</v>
      </c>
      <c r="H73" s="486">
        <v>201.8</v>
      </c>
      <c r="I73" s="486">
        <v>3399.3</v>
      </c>
      <c r="J73" s="486">
        <v>234.4</v>
      </c>
      <c r="K73" s="486" t="s">
        <v>1986</v>
      </c>
      <c r="L73" s="486">
        <v>0.0</v>
      </c>
      <c r="M73" s="486">
        <v>2.0</v>
      </c>
      <c r="N73" s="486">
        <v>0.0</v>
      </c>
      <c r="O73" s="486">
        <v>0.0</v>
      </c>
      <c r="P73" s="486">
        <v>0.0</v>
      </c>
      <c r="Q73" s="486">
        <v>1.0</v>
      </c>
      <c r="R73" s="486">
        <v>0.0</v>
      </c>
      <c r="S73" s="486">
        <v>0.0</v>
      </c>
      <c r="T73" s="486">
        <v>0.0</v>
      </c>
      <c r="U73" s="486">
        <v>0.0</v>
      </c>
      <c r="V73" s="486">
        <v>30.0</v>
      </c>
      <c r="W73" s="220"/>
      <c r="X73" s="220"/>
      <c r="Y73" s="220"/>
      <c r="Z73" s="220"/>
    </row>
    <row r="74" ht="15.75" customHeight="1">
      <c r="A74" s="486">
        <v>21.0</v>
      </c>
      <c r="B74" s="486">
        <v>21.0</v>
      </c>
      <c r="C74" s="486">
        <v>281.0</v>
      </c>
      <c r="D74" s="486" t="s">
        <v>1990</v>
      </c>
      <c r="E74" s="486">
        <v>0.0</v>
      </c>
      <c r="F74" s="486" t="s">
        <v>425</v>
      </c>
      <c r="G74" s="487" t="s">
        <v>1986</v>
      </c>
      <c r="H74" s="486">
        <v>201.8</v>
      </c>
      <c r="I74" s="486">
        <v>3399.3</v>
      </c>
      <c r="J74" s="486">
        <v>234.4</v>
      </c>
      <c r="K74" s="486" t="s">
        <v>1986</v>
      </c>
      <c r="L74" s="486">
        <v>0.0</v>
      </c>
      <c r="M74" s="486">
        <v>2.0</v>
      </c>
      <c r="N74" s="486">
        <v>0.0</v>
      </c>
      <c r="O74" s="486">
        <v>0.0</v>
      </c>
      <c r="P74" s="486">
        <v>0.0</v>
      </c>
      <c r="Q74" s="486">
        <v>1.0</v>
      </c>
      <c r="R74" s="486">
        <v>0.0</v>
      </c>
      <c r="S74" s="486">
        <v>0.0</v>
      </c>
      <c r="T74" s="486">
        <v>0.0</v>
      </c>
      <c r="U74" s="486">
        <v>0.0</v>
      </c>
      <c r="V74" s="486">
        <v>30.0</v>
      </c>
      <c r="W74" s="220"/>
      <c r="X74" s="220"/>
      <c r="Y74" s="220"/>
      <c r="Z74" s="220"/>
    </row>
    <row r="75" ht="15.75" customHeight="1">
      <c r="A75" s="486">
        <v>22.0</v>
      </c>
      <c r="B75" s="486">
        <v>22.0</v>
      </c>
      <c r="C75" s="486">
        <v>281.0</v>
      </c>
      <c r="D75" s="486" t="s">
        <v>1990</v>
      </c>
      <c r="E75" s="486">
        <v>0.0</v>
      </c>
      <c r="F75" s="486" t="s">
        <v>425</v>
      </c>
      <c r="G75" s="487" t="s">
        <v>1986</v>
      </c>
      <c r="H75" s="486">
        <v>201.8</v>
      </c>
      <c r="I75" s="486">
        <v>3399.3</v>
      </c>
      <c r="J75" s="486">
        <v>234.4</v>
      </c>
      <c r="K75" s="486" t="s">
        <v>1986</v>
      </c>
      <c r="L75" s="486">
        <v>0.0</v>
      </c>
      <c r="M75" s="486">
        <v>2.0</v>
      </c>
      <c r="N75" s="486">
        <v>0.0</v>
      </c>
      <c r="O75" s="486">
        <v>0.0</v>
      </c>
      <c r="P75" s="486">
        <v>0.0</v>
      </c>
      <c r="Q75" s="486">
        <v>1.0</v>
      </c>
      <c r="R75" s="486">
        <v>0.0</v>
      </c>
      <c r="S75" s="486">
        <v>0.0</v>
      </c>
      <c r="T75" s="486">
        <v>0.0</v>
      </c>
      <c r="U75" s="486">
        <v>0.0</v>
      </c>
      <c r="V75" s="486">
        <v>30.0</v>
      </c>
      <c r="W75" s="220"/>
      <c r="X75" s="220"/>
      <c r="Y75" s="220"/>
      <c r="Z75" s="220"/>
    </row>
    <row r="76" ht="15.75" customHeight="1">
      <c r="A76" s="486">
        <v>23.0</v>
      </c>
      <c r="B76" s="486">
        <v>23.0</v>
      </c>
      <c r="C76" s="486">
        <v>281.0</v>
      </c>
      <c r="D76" s="486" t="s">
        <v>1991</v>
      </c>
      <c r="E76" s="486">
        <v>1.0</v>
      </c>
      <c r="F76" s="486" t="s">
        <v>1992</v>
      </c>
      <c r="G76" s="487" t="s">
        <v>1986</v>
      </c>
      <c r="H76" s="486">
        <v>204.8</v>
      </c>
      <c r="I76" s="486">
        <v>3400.3</v>
      </c>
      <c r="J76" s="486">
        <v>236.1</v>
      </c>
      <c r="K76" s="486" t="s">
        <v>1986</v>
      </c>
      <c r="L76" s="486">
        <v>0.0</v>
      </c>
      <c r="M76" s="486">
        <v>2.0</v>
      </c>
      <c r="N76" s="486">
        <v>0.0</v>
      </c>
      <c r="O76" s="486">
        <v>0.0</v>
      </c>
      <c r="P76" s="486">
        <v>0.0</v>
      </c>
      <c r="Q76" s="486">
        <v>1.0</v>
      </c>
      <c r="R76" s="486">
        <v>0.0</v>
      </c>
      <c r="S76" s="486">
        <v>0.0</v>
      </c>
      <c r="T76" s="486">
        <v>0.0</v>
      </c>
      <c r="U76" s="486">
        <v>0.0</v>
      </c>
      <c r="V76" s="486">
        <v>30.0</v>
      </c>
      <c r="W76" s="220"/>
      <c r="X76" s="220"/>
      <c r="Y76" s="220"/>
      <c r="Z76" s="220"/>
    </row>
    <row r="77" ht="15.75" customHeight="1">
      <c r="A77" s="486">
        <v>24.0</v>
      </c>
      <c r="B77" s="486">
        <v>24.0</v>
      </c>
      <c r="C77" s="486">
        <v>282.0</v>
      </c>
      <c r="D77" s="486" t="s">
        <v>1991</v>
      </c>
      <c r="E77" s="486">
        <v>2.0</v>
      </c>
      <c r="F77" s="486" t="s">
        <v>1993</v>
      </c>
      <c r="G77" s="487" t="s">
        <v>1986</v>
      </c>
      <c r="H77" s="486">
        <v>209.8</v>
      </c>
      <c r="I77" s="486">
        <v>3410.6</v>
      </c>
      <c r="J77" s="486">
        <v>244.3</v>
      </c>
      <c r="K77" s="486" t="s">
        <v>1986</v>
      </c>
      <c r="L77" s="486">
        <v>0.0</v>
      </c>
      <c r="M77" s="486">
        <v>2.0</v>
      </c>
      <c r="N77" s="486">
        <v>0.0</v>
      </c>
      <c r="O77" s="486">
        <v>0.0</v>
      </c>
      <c r="P77" s="486">
        <v>0.0</v>
      </c>
      <c r="Q77" s="486">
        <v>1.0</v>
      </c>
      <c r="R77" s="486">
        <v>0.0</v>
      </c>
      <c r="S77" s="486">
        <v>0.0</v>
      </c>
      <c r="T77" s="486">
        <v>0.0</v>
      </c>
      <c r="U77" s="486">
        <v>0.0</v>
      </c>
      <c r="V77" s="486">
        <v>30.0</v>
      </c>
      <c r="W77" s="220"/>
      <c r="X77" s="220"/>
      <c r="Y77" s="220"/>
      <c r="Z77" s="220"/>
    </row>
    <row r="78" ht="15.75" customHeight="1">
      <c r="A78" s="486">
        <v>25.0</v>
      </c>
      <c r="B78" s="486">
        <v>25.0</v>
      </c>
      <c r="C78" s="486">
        <v>283.0</v>
      </c>
      <c r="D78" s="486" t="s">
        <v>1991</v>
      </c>
      <c r="E78" s="486">
        <v>3.0</v>
      </c>
      <c r="F78" s="486" t="s">
        <v>1994</v>
      </c>
      <c r="G78" s="487" t="s">
        <v>1986</v>
      </c>
      <c r="H78" s="486">
        <v>216.8</v>
      </c>
      <c r="I78" s="486">
        <v>3513.0</v>
      </c>
      <c r="J78" s="486">
        <v>260.7</v>
      </c>
      <c r="K78" s="486" t="s">
        <v>1986</v>
      </c>
      <c r="L78" s="486">
        <v>0.0</v>
      </c>
      <c r="M78" s="486">
        <v>2.0</v>
      </c>
      <c r="N78" s="486">
        <v>0.0</v>
      </c>
      <c r="O78" s="486">
        <v>0.0</v>
      </c>
      <c r="P78" s="486">
        <v>0.0</v>
      </c>
      <c r="Q78" s="486">
        <v>1.0</v>
      </c>
      <c r="R78" s="486">
        <v>0.0</v>
      </c>
      <c r="S78" s="486">
        <v>0.0</v>
      </c>
      <c r="T78" s="486">
        <v>0.0</v>
      </c>
      <c r="U78" s="486">
        <v>0.0</v>
      </c>
      <c r="V78" s="486">
        <v>30.0</v>
      </c>
      <c r="W78" s="220"/>
      <c r="X78" s="220"/>
      <c r="Y78" s="220"/>
      <c r="Z78" s="220"/>
    </row>
    <row r="79" ht="15.75" customHeight="1">
      <c r="A79" s="486">
        <v>26.0</v>
      </c>
      <c r="B79" s="486">
        <v>26.0</v>
      </c>
      <c r="C79" s="486">
        <v>284.0</v>
      </c>
      <c r="D79" s="486" t="s">
        <v>1991</v>
      </c>
      <c r="E79" s="486">
        <v>4.0</v>
      </c>
      <c r="F79" s="486" t="s">
        <v>1995</v>
      </c>
      <c r="G79" s="487" t="s">
        <v>1986</v>
      </c>
      <c r="H79" s="486">
        <v>226.8</v>
      </c>
      <c r="I79" s="486">
        <v>3717.8</v>
      </c>
      <c r="J79" s="486">
        <v>293.4</v>
      </c>
      <c r="K79" s="486" t="s">
        <v>1986</v>
      </c>
      <c r="L79" s="486">
        <v>0.0</v>
      </c>
      <c r="M79" s="486">
        <v>2.0</v>
      </c>
      <c r="N79" s="486">
        <v>0.0</v>
      </c>
      <c r="O79" s="486">
        <v>0.0</v>
      </c>
      <c r="P79" s="486">
        <v>0.0</v>
      </c>
      <c r="Q79" s="486">
        <v>1.0</v>
      </c>
      <c r="R79" s="486">
        <v>0.0</v>
      </c>
      <c r="S79" s="486">
        <v>0.0</v>
      </c>
      <c r="T79" s="486">
        <v>0.0</v>
      </c>
      <c r="U79" s="486">
        <v>0.0</v>
      </c>
      <c r="V79" s="486">
        <v>30.0</v>
      </c>
      <c r="W79" s="220"/>
      <c r="X79" s="220"/>
      <c r="Y79" s="220"/>
      <c r="Z79" s="220"/>
    </row>
    <row r="80" ht="15.75" customHeight="1">
      <c r="A80" s="486" t="s">
        <v>1998</v>
      </c>
      <c r="B80" s="486" t="s">
        <v>425</v>
      </c>
      <c r="C80" s="486" t="s">
        <v>425</v>
      </c>
      <c r="D80" s="486" t="s">
        <v>1999</v>
      </c>
      <c r="E80" s="486" t="s">
        <v>1986</v>
      </c>
      <c r="F80" s="486" t="s">
        <v>1986</v>
      </c>
      <c r="G80" s="487" t="s">
        <v>2000</v>
      </c>
      <c r="H80" s="486">
        <v>226.8</v>
      </c>
      <c r="I80" s="486">
        <v>3717.8</v>
      </c>
      <c r="J80" s="486">
        <v>293.4</v>
      </c>
      <c r="K80" s="486" t="s">
        <v>1986</v>
      </c>
      <c r="L80" s="486">
        <v>0.0</v>
      </c>
      <c r="M80" s="486">
        <v>2.0</v>
      </c>
      <c r="N80" s="486">
        <v>0.0</v>
      </c>
      <c r="O80" s="486">
        <v>0.0</v>
      </c>
      <c r="P80" s="486">
        <v>0.0</v>
      </c>
      <c r="Q80" s="486">
        <v>1.0</v>
      </c>
      <c r="R80" s="486">
        <v>0.0</v>
      </c>
      <c r="S80" s="486">
        <v>0.0</v>
      </c>
      <c r="T80" s="486">
        <v>0.0</v>
      </c>
      <c r="U80" s="486">
        <v>0.0</v>
      </c>
      <c r="V80" s="486">
        <v>30.0</v>
      </c>
      <c r="W80" s="220"/>
      <c r="X80" s="220"/>
      <c r="Y80" s="220"/>
      <c r="Z80" s="220"/>
    </row>
    <row r="81" ht="15.75" customHeight="1">
      <c r="A81" s="486" t="s">
        <v>1986</v>
      </c>
      <c r="B81" s="486" t="s">
        <v>1986</v>
      </c>
      <c r="C81" s="486" t="s">
        <v>1986</v>
      </c>
      <c r="D81" s="486" t="s">
        <v>1986</v>
      </c>
      <c r="E81" s="486" t="s">
        <v>1986</v>
      </c>
      <c r="F81" s="486" t="s">
        <v>1986</v>
      </c>
      <c r="G81" s="487" t="s">
        <v>2001</v>
      </c>
      <c r="H81" s="486" t="s">
        <v>1986</v>
      </c>
      <c r="I81" s="486" t="s">
        <v>1986</v>
      </c>
      <c r="J81" s="486" t="s">
        <v>1986</v>
      </c>
      <c r="K81" s="486" t="s">
        <v>1986</v>
      </c>
      <c r="L81" s="486">
        <v>10.0</v>
      </c>
      <c r="M81" s="486">
        <v>3.0</v>
      </c>
      <c r="N81" s="486">
        <v>0.0</v>
      </c>
      <c r="O81" s="486">
        <v>0.0</v>
      </c>
      <c r="P81" s="486">
        <v>0.0</v>
      </c>
      <c r="Q81" s="486">
        <v>1.0</v>
      </c>
      <c r="R81" s="486">
        <v>0.0</v>
      </c>
      <c r="S81" s="486">
        <v>0.0</v>
      </c>
      <c r="T81" s="486">
        <v>0.0</v>
      </c>
      <c r="U81" s="486">
        <v>0.0</v>
      </c>
      <c r="V81" s="486">
        <v>30.0</v>
      </c>
      <c r="W81" s="220"/>
      <c r="X81" s="220"/>
      <c r="Y81" s="220"/>
      <c r="Z81" s="220"/>
    </row>
    <row r="82" ht="15.75" customHeight="1">
      <c r="A82" s="486" t="s">
        <v>1986</v>
      </c>
      <c r="B82" s="486" t="s">
        <v>1986</v>
      </c>
      <c r="C82" s="486" t="s">
        <v>1986</v>
      </c>
      <c r="D82" s="486" t="s">
        <v>1986</v>
      </c>
      <c r="E82" s="486" t="s">
        <v>1986</v>
      </c>
      <c r="F82" s="486" t="s">
        <v>1986</v>
      </c>
      <c r="G82" s="487" t="s">
        <v>2002</v>
      </c>
      <c r="H82" s="486" t="s">
        <v>1986</v>
      </c>
      <c r="I82" s="486" t="s">
        <v>1986</v>
      </c>
      <c r="J82" s="486" t="s">
        <v>1986</v>
      </c>
      <c r="K82" s="486" t="s">
        <v>1986</v>
      </c>
      <c r="L82" s="486">
        <v>10.0</v>
      </c>
      <c r="M82" s="486">
        <v>3.0</v>
      </c>
      <c r="N82" s="486">
        <v>1.0</v>
      </c>
      <c r="O82" s="486">
        <v>0.0</v>
      </c>
      <c r="P82" s="486">
        <v>0.0</v>
      </c>
      <c r="Q82" s="486">
        <v>1.0</v>
      </c>
      <c r="R82" s="486">
        <v>0.0</v>
      </c>
      <c r="S82" s="486">
        <v>0.0</v>
      </c>
      <c r="T82" s="486">
        <v>0.0</v>
      </c>
      <c r="U82" s="486">
        <v>0.0</v>
      </c>
      <c r="V82" s="486">
        <v>30.0</v>
      </c>
      <c r="W82" s="220"/>
      <c r="X82" s="220"/>
      <c r="Y82" s="220"/>
      <c r="Z82" s="220"/>
    </row>
    <row r="83" ht="15.75" customHeight="1">
      <c r="A83" s="486" t="s">
        <v>1986</v>
      </c>
      <c r="B83" s="486" t="s">
        <v>1986</v>
      </c>
      <c r="C83" s="486" t="s">
        <v>1986</v>
      </c>
      <c r="D83" s="486" t="s">
        <v>1986</v>
      </c>
      <c r="E83" s="486" t="s">
        <v>1986</v>
      </c>
      <c r="F83" s="486" t="s">
        <v>1986</v>
      </c>
      <c r="G83" s="487" t="s">
        <v>1986</v>
      </c>
      <c r="H83" s="486" t="s">
        <v>1986</v>
      </c>
      <c r="I83" s="486" t="s">
        <v>1986</v>
      </c>
      <c r="J83" s="486" t="s">
        <v>1986</v>
      </c>
      <c r="K83" s="486" t="s">
        <v>1986</v>
      </c>
      <c r="L83" s="486" t="s">
        <v>1986</v>
      </c>
      <c r="M83" s="486" t="s">
        <v>1986</v>
      </c>
      <c r="N83" s="486" t="s">
        <v>1986</v>
      </c>
      <c r="O83" s="486" t="s">
        <v>1986</v>
      </c>
      <c r="P83" s="486" t="s">
        <v>1986</v>
      </c>
      <c r="Q83" s="486" t="s">
        <v>1986</v>
      </c>
      <c r="R83" s="486" t="s">
        <v>1986</v>
      </c>
      <c r="S83" s="486" t="s">
        <v>1986</v>
      </c>
      <c r="T83" s="486" t="s">
        <v>1986</v>
      </c>
      <c r="U83" s="486" t="s">
        <v>1986</v>
      </c>
      <c r="V83" s="486" t="s">
        <v>1986</v>
      </c>
      <c r="W83" s="220"/>
      <c r="X83" s="220"/>
      <c r="Y83" s="220"/>
      <c r="Z83" s="220"/>
    </row>
    <row r="84" ht="15.75" customHeight="1">
      <c r="A84" s="486" t="s">
        <v>2003</v>
      </c>
      <c r="B84" s="486" t="s">
        <v>391</v>
      </c>
      <c r="C84" s="486" t="s">
        <v>1872</v>
      </c>
      <c r="D84" s="486" t="s">
        <v>72</v>
      </c>
      <c r="E84" s="486" t="s">
        <v>73</v>
      </c>
      <c r="F84" s="486" t="s">
        <v>74</v>
      </c>
      <c r="G84" s="487" t="s">
        <v>69</v>
      </c>
      <c r="H84" s="486" t="s">
        <v>70</v>
      </c>
      <c r="I84" s="486" t="s">
        <v>71</v>
      </c>
      <c r="J84" s="486" t="s">
        <v>1873</v>
      </c>
      <c r="K84" s="486" t="s">
        <v>1874</v>
      </c>
      <c r="L84" s="486" t="s">
        <v>1875</v>
      </c>
      <c r="M84" s="486" t="s">
        <v>75</v>
      </c>
      <c r="N84" s="486" t="s">
        <v>1986</v>
      </c>
      <c r="O84" s="486" t="s">
        <v>1986</v>
      </c>
      <c r="P84" s="486" t="s">
        <v>1986</v>
      </c>
      <c r="Q84" s="486" t="s">
        <v>1986</v>
      </c>
      <c r="R84" s="486" t="s">
        <v>1986</v>
      </c>
      <c r="S84" s="486" t="s">
        <v>1986</v>
      </c>
      <c r="T84" s="486" t="s">
        <v>1986</v>
      </c>
      <c r="U84" s="486" t="s">
        <v>1986</v>
      </c>
      <c r="V84" s="486" t="s">
        <v>1986</v>
      </c>
      <c r="W84" s="220"/>
      <c r="X84" s="220"/>
      <c r="Y84" s="220"/>
      <c r="Z84" s="220"/>
    </row>
    <row r="85" ht="15.75" customHeight="1">
      <c r="A85" s="486" t="s">
        <v>1986</v>
      </c>
      <c r="B85" s="486" t="s">
        <v>367</v>
      </c>
      <c r="C85" s="486">
        <v>0.0</v>
      </c>
      <c r="D85" s="486">
        <v>1.0</v>
      </c>
      <c r="E85" s="486">
        <v>0.0</v>
      </c>
      <c r="F85" s="486">
        <v>0.0</v>
      </c>
      <c r="G85" s="487">
        <v>0.0</v>
      </c>
      <c r="H85" s="486">
        <v>0.0</v>
      </c>
      <c r="I85" s="486">
        <v>0.0</v>
      </c>
      <c r="J85" s="486">
        <v>0.0</v>
      </c>
      <c r="K85" s="486">
        <v>0.0</v>
      </c>
      <c r="L85" s="486">
        <v>0.0</v>
      </c>
      <c r="M85" s="486">
        <v>0.0</v>
      </c>
      <c r="N85" s="486" t="s">
        <v>1986</v>
      </c>
      <c r="O85" s="486" t="s">
        <v>1986</v>
      </c>
      <c r="P85" s="486" t="s">
        <v>1986</v>
      </c>
      <c r="Q85" s="486" t="s">
        <v>1986</v>
      </c>
      <c r="R85" s="486" t="s">
        <v>1986</v>
      </c>
      <c r="S85" s="486" t="s">
        <v>1986</v>
      </c>
      <c r="T85" s="486" t="s">
        <v>1986</v>
      </c>
      <c r="U85" s="486" t="s">
        <v>1986</v>
      </c>
      <c r="V85" s="486" t="s">
        <v>1986</v>
      </c>
      <c r="W85" s="220"/>
      <c r="X85" s="220"/>
      <c r="Y85" s="220"/>
      <c r="Z85" s="220"/>
    </row>
    <row r="86" ht="15.75" customHeight="1">
      <c r="A86" s="486" t="s">
        <v>1986</v>
      </c>
      <c r="B86" s="486" t="s">
        <v>371</v>
      </c>
      <c r="C86" s="486">
        <v>0.0</v>
      </c>
      <c r="D86" s="486">
        <v>1.0</v>
      </c>
      <c r="E86" s="486">
        <v>0.0</v>
      </c>
      <c r="F86" s="486">
        <v>0.0</v>
      </c>
      <c r="G86" s="487">
        <v>0.0</v>
      </c>
      <c r="H86" s="486">
        <v>1.0</v>
      </c>
      <c r="I86" s="486">
        <v>0.0</v>
      </c>
      <c r="J86" s="486">
        <v>0.0</v>
      </c>
      <c r="K86" s="486">
        <v>0.0</v>
      </c>
      <c r="L86" s="486">
        <v>0.0</v>
      </c>
      <c r="M86" s="486">
        <v>30.0</v>
      </c>
      <c r="N86" s="486" t="s">
        <v>1986</v>
      </c>
      <c r="O86" s="486" t="s">
        <v>1986</v>
      </c>
      <c r="P86" s="486" t="s">
        <v>1986</v>
      </c>
      <c r="Q86" s="486" t="s">
        <v>1986</v>
      </c>
      <c r="R86" s="486" t="s">
        <v>1986</v>
      </c>
      <c r="S86" s="486" t="s">
        <v>1986</v>
      </c>
      <c r="T86" s="486" t="s">
        <v>1986</v>
      </c>
      <c r="U86" s="486" t="s">
        <v>1986</v>
      </c>
      <c r="V86" s="486" t="s">
        <v>1986</v>
      </c>
      <c r="W86" s="220"/>
      <c r="X86" s="220"/>
      <c r="Y86" s="220"/>
      <c r="Z86" s="220"/>
    </row>
    <row r="87" ht="15.75" customHeight="1">
      <c r="A87" s="486" t="s">
        <v>1986</v>
      </c>
      <c r="B87" s="486" t="s">
        <v>43</v>
      </c>
      <c r="C87" s="486">
        <v>0.0</v>
      </c>
      <c r="D87" s="486">
        <v>0.0</v>
      </c>
      <c r="E87" s="486">
        <v>0.0</v>
      </c>
      <c r="F87" s="486">
        <v>0.0</v>
      </c>
      <c r="G87" s="487">
        <v>0.0</v>
      </c>
      <c r="H87" s="486">
        <v>0.0</v>
      </c>
      <c r="I87" s="486">
        <v>0.0</v>
      </c>
      <c r="J87" s="486">
        <v>0.0</v>
      </c>
      <c r="K87" s="486">
        <v>0.0</v>
      </c>
      <c r="L87" s="486">
        <v>0.0</v>
      </c>
      <c r="M87" s="486">
        <v>0.0</v>
      </c>
      <c r="N87" s="486" t="s">
        <v>1986</v>
      </c>
      <c r="O87" s="486" t="s">
        <v>1986</v>
      </c>
      <c r="P87" s="486" t="s">
        <v>1986</v>
      </c>
      <c r="Q87" s="486" t="s">
        <v>1986</v>
      </c>
      <c r="R87" s="486" t="s">
        <v>1986</v>
      </c>
      <c r="S87" s="486" t="s">
        <v>1986</v>
      </c>
      <c r="T87" s="486" t="s">
        <v>1986</v>
      </c>
      <c r="U87" s="486" t="s">
        <v>1986</v>
      </c>
      <c r="V87" s="486" t="s">
        <v>1986</v>
      </c>
      <c r="W87" s="220"/>
      <c r="X87" s="220"/>
      <c r="Y87" s="220"/>
      <c r="Z87" s="220"/>
    </row>
    <row r="88" ht="15.75" customHeight="1">
      <c r="A88" s="486" t="s">
        <v>1986</v>
      </c>
      <c r="B88" s="486" t="s">
        <v>32</v>
      </c>
      <c r="C88" s="486">
        <v>10.0</v>
      </c>
      <c r="D88" s="486">
        <v>1.0</v>
      </c>
      <c r="E88" s="486">
        <v>0.0</v>
      </c>
      <c r="F88" s="486">
        <v>0.0</v>
      </c>
      <c r="G88" s="487">
        <v>0.0</v>
      </c>
      <c r="H88" s="486">
        <v>0.0</v>
      </c>
      <c r="I88" s="486">
        <v>0.0</v>
      </c>
      <c r="J88" s="486">
        <v>0.0</v>
      </c>
      <c r="K88" s="486">
        <v>0.0</v>
      </c>
      <c r="L88" s="486">
        <v>0.0</v>
      </c>
      <c r="M88" s="486">
        <v>0.0</v>
      </c>
      <c r="N88" s="486" t="s">
        <v>1986</v>
      </c>
      <c r="O88" s="486" t="s">
        <v>1986</v>
      </c>
      <c r="P88" s="486" t="s">
        <v>1986</v>
      </c>
      <c r="Q88" s="486" t="s">
        <v>1986</v>
      </c>
      <c r="R88" s="486" t="s">
        <v>1986</v>
      </c>
      <c r="S88" s="486" t="s">
        <v>1986</v>
      </c>
      <c r="T88" s="486" t="s">
        <v>1986</v>
      </c>
      <c r="U88" s="486" t="s">
        <v>1986</v>
      </c>
      <c r="V88" s="486" t="s">
        <v>1986</v>
      </c>
      <c r="W88" s="220"/>
      <c r="X88" s="220"/>
      <c r="Y88" s="220"/>
      <c r="Z88" s="220"/>
    </row>
    <row r="89" ht="15.75" customHeight="1">
      <c r="A89" s="486" t="s">
        <v>1986</v>
      </c>
      <c r="B89" s="486" t="s">
        <v>46</v>
      </c>
      <c r="C89" s="486">
        <v>0.0</v>
      </c>
      <c r="D89" s="486">
        <v>0.0</v>
      </c>
      <c r="E89" s="486">
        <v>1.0</v>
      </c>
      <c r="F89" s="486">
        <v>0.0</v>
      </c>
      <c r="G89" s="487">
        <v>0.0</v>
      </c>
      <c r="H89" s="486">
        <v>0.0</v>
      </c>
      <c r="I89" s="486">
        <v>0.0</v>
      </c>
      <c r="J89" s="486">
        <v>0.0</v>
      </c>
      <c r="K89" s="486">
        <v>0.0</v>
      </c>
      <c r="L89" s="486">
        <v>0.0</v>
      </c>
      <c r="M89" s="486">
        <v>0.0</v>
      </c>
      <c r="N89" s="486" t="s">
        <v>1986</v>
      </c>
      <c r="O89" s="486" t="s">
        <v>1986</v>
      </c>
      <c r="P89" s="486" t="s">
        <v>1986</v>
      </c>
      <c r="Q89" s="486" t="s">
        <v>1986</v>
      </c>
      <c r="R89" s="486" t="s">
        <v>1986</v>
      </c>
      <c r="S89" s="486" t="s">
        <v>1986</v>
      </c>
      <c r="T89" s="486" t="s">
        <v>1986</v>
      </c>
      <c r="U89" s="486" t="s">
        <v>1986</v>
      </c>
      <c r="V89" s="486" t="s">
        <v>1986</v>
      </c>
      <c r="W89" s="220"/>
      <c r="X89" s="220"/>
      <c r="Y89" s="220"/>
      <c r="Z89" s="220"/>
    </row>
    <row r="90" ht="15.75" customHeight="1">
      <c r="A90" s="486" t="s">
        <v>1986</v>
      </c>
      <c r="B90" s="486" t="s">
        <v>1910</v>
      </c>
      <c r="C90" s="486">
        <v>10.0</v>
      </c>
      <c r="D90" s="486">
        <v>3.0</v>
      </c>
      <c r="E90" s="486">
        <v>1.0</v>
      </c>
      <c r="F90" s="486">
        <v>0.0</v>
      </c>
      <c r="G90" s="487">
        <v>0.0</v>
      </c>
      <c r="H90" s="486">
        <v>1.0</v>
      </c>
      <c r="I90" s="486">
        <v>0.0</v>
      </c>
      <c r="J90" s="486">
        <v>0.0</v>
      </c>
      <c r="K90" s="486">
        <v>0.0</v>
      </c>
      <c r="L90" s="486">
        <v>0.0</v>
      </c>
      <c r="M90" s="486">
        <v>30.0</v>
      </c>
      <c r="N90" s="486" t="s">
        <v>1986</v>
      </c>
      <c r="O90" s="486" t="s">
        <v>1986</v>
      </c>
      <c r="P90" s="486" t="s">
        <v>1986</v>
      </c>
      <c r="Q90" s="486" t="s">
        <v>1986</v>
      </c>
      <c r="R90" s="486" t="s">
        <v>1986</v>
      </c>
      <c r="S90" s="486" t="s">
        <v>1986</v>
      </c>
      <c r="T90" s="486" t="s">
        <v>1986</v>
      </c>
      <c r="U90" s="486" t="s">
        <v>1986</v>
      </c>
      <c r="V90" s="486" t="s">
        <v>1986</v>
      </c>
      <c r="W90" s="220"/>
      <c r="X90" s="220"/>
      <c r="Y90" s="220"/>
      <c r="Z90" s="220"/>
    </row>
    <row r="91" ht="15.75" customHeight="1">
      <c r="A91" s="486"/>
      <c r="B91" s="486"/>
      <c r="C91" s="486"/>
      <c r="D91" s="486"/>
      <c r="E91" s="486"/>
      <c r="F91" s="486"/>
      <c r="G91" s="487"/>
      <c r="H91" s="486"/>
      <c r="I91" s="486"/>
      <c r="J91" s="486"/>
      <c r="K91" s="486"/>
      <c r="L91" s="486"/>
      <c r="M91" s="486"/>
      <c r="N91" s="486"/>
      <c r="O91" s="486"/>
      <c r="P91" s="486"/>
      <c r="Q91" s="486"/>
      <c r="R91" s="486"/>
      <c r="S91" s="486"/>
      <c r="T91" s="486"/>
      <c r="U91" s="486"/>
      <c r="V91" s="486"/>
      <c r="W91" s="220"/>
      <c r="X91" s="220"/>
      <c r="Y91" s="220"/>
      <c r="Z91" s="220"/>
    </row>
    <row r="92" ht="15.75" customHeight="1">
      <c r="A92" s="486"/>
      <c r="B92" s="486"/>
      <c r="C92" s="486"/>
      <c r="D92" s="486"/>
      <c r="E92" s="486"/>
      <c r="F92" s="486"/>
      <c r="G92" s="487"/>
      <c r="H92" s="486"/>
      <c r="I92" s="486"/>
      <c r="J92" s="486"/>
      <c r="K92" s="486"/>
      <c r="L92" s="486"/>
      <c r="M92" s="486"/>
      <c r="N92" s="486"/>
      <c r="O92" s="486"/>
      <c r="P92" s="486"/>
      <c r="Q92" s="486"/>
      <c r="R92" s="486"/>
      <c r="S92" s="486"/>
      <c r="T92" s="486"/>
      <c r="U92" s="486"/>
      <c r="V92" s="486"/>
      <c r="W92" s="220"/>
      <c r="X92" s="220"/>
      <c r="Y92" s="220"/>
      <c r="Z92" s="220"/>
    </row>
    <row r="93" ht="15.75" customHeight="1">
      <c r="A93" s="486"/>
      <c r="B93" s="486"/>
      <c r="C93" s="486"/>
      <c r="D93" s="486"/>
      <c r="E93" s="486"/>
      <c r="F93" s="486"/>
      <c r="G93" s="487"/>
      <c r="H93" s="486"/>
      <c r="I93" s="486"/>
      <c r="J93" s="486"/>
      <c r="K93" s="486"/>
      <c r="L93" s="486"/>
      <c r="M93" s="486"/>
      <c r="N93" s="486"/>
      <c r="O93" s="486"/>
      <c r="P93" s="486"/>
      <c r="Q93" s="486"/>
      <c r="R93" s="486"/>
      <c r="S93" s="486"/>
      <c r="T93" s="486"/>
      <c r="U93" s="486"/>
      <c r="V93" s="486"/>
      <c r="W93" s="220"/>
      <c r="X93" s="220"/>
      <c r="Y93" s="220"/>
      <c r="Z93" s="220"/>
    </row>
    <row r="94" ht="15.75" customHeight="1">
      <c r="A94" s="486"/>
      <c r="B94" s="486"/>
      <c r="C94" s="486"/>
      <c r="D94" s="486"/>
      <c r="E94" s="486"/>
      <c r="F94" s="486"/>
      <c r="G94" s="487"/>
      <c r="H94" s="486"/>
      <c r="I94" s="486"/>
      <c r="J94" s="486"/>
      <c r="K94" s="486"/>
      <c r="L94" s="486"/>
      <c r="M94" s="486"/>
      <c r="N94" s="486"/>
      <c r="O94" s="486"/>
      <c r="P94" s="486"/>
      <c r="Q94" s="486"/>
      <c r="R94" s="486"/>
      <c r="S94" s="486"/>
      <c r="T94" s="486"/>
      <c r="U94" s="486"/>
      <c r="V94" s="486"/>
      <c r="W94" s="220"/>
      <c r="X94" s="220"/>
      <c r="Y94" s="220"/>
      <c r="Z94" s="220"/>
    </row>
    <row r="95" ht="15.75" customHeight="1">
      <c r="A95" s="486"/>
      <c r="B95" s="486"/>
      <c r="C95" s="486"/>
      <c r="D95" s="486"/>
      <c r="E95" s="486"/>
      <c r="F95" s="486"/>
      <c r="G95" s="487"/>
      <c r="H95" s="486"/>
      <c r="I95" s="486"/>
      <c r="J95" s="486"/>
      <c r="K95" s="486"/>
      <c r="L95" s="486"/>
      <c r="M95" s="486"/>
      <c r="N95" s="486"/>
      <c r="O95" s="486"/>
      <c r="P95" s="486"/>
      <c r="Q95" s="486"/>
      <c r="R95" s="486"/>
      <c r="S95" s="486"/>
      <c r="T95" s="486"/>
      <c r="U95" s="486"/>
      <c r="V95" s="486"/>
      <c r="W95" s="220"/>
      <c r="X95" s="220"/>
      <c r="Y95" s="220"/>
      <c r="Z95" s="220"/>
    </row>
    <row r="96" ht="15.75" customHeight="1">
      <c r="A96" s="486"/>
      <c r="B96" s="486"/>
      <c r="C96" s="486"/>
      <c r="D96" s="486"/>
      <c r="E96" s="486"/>
      <c r="F96" s="486"/>
      <c r="G96" s="487"/>
      <c r="H96" s="486"/>
      <c r="I96" s="486"/>
      <c r="J96" s="486"/>
      <c r="K96" s="486"/>
      <c r="L96" s="486"/>
      <c r="M96" s="486"/>
      <c r="N96" s="486"/>
      <c r="O96" s="486"/>
      <c r="P96" s="486"/>
      <c r="Q96" s="486"/>
      <c r="R96" s="486"/>
      <c r="S96" s="486"/>
      <c r="T96" s="486"/>
      <c r="U96" s="486"/>
      <c r="V96" s="486"/>
      <c r="W96" s="220"/>
      <c r="X96" s="220"/>
      <c r="Y96" s="220"/>
      <c r="Z96" s="220"/>
    </row>
    <row r="97" ht="15.75" customHeight="1">
      <c r="A97" s="486"/>
      <c r="B97" s="486"/>
      <c r="C97" s="486"/>
      <c r="D97" s="486"/>
      <c r="E97" s="486"/>
      <c r="F97" s="486"/>
      <c r="G97" s="487"/>
      <c r="H97" s="486"/>
      <c r="I97" s="486"/>
      <c r="J97" s="486"/>
      <c r="K97" s="486"/>
      <c r="L97" s="486"/>
      <c r="M97" s="486"/>
      <c r="N97" s="486"/>
      <c r="O97" s="486"/>
      <c r="P97" s="486"/>
      <c r="Q97" s="486"/>
      <c r="R97" s="486"/>
      <c r="S97" s="486"/>
      <c r="T97" s="486"/>
      <c r="U97" s="486"/>
      <c r="V97" s="486"/>
      <c r="W97" s="220"/>
      <c r="X97" s="220"/>
      <c r="Y97" s="220"/>
      <c r="Z97" s="220"/>
    </row>
    <row r="98" ht="15.75" customHeight="1">
      <c r="A98" s="486"/>
      <c r="B98" s="486"/>
      <c r="C98" s="486"/>
      <c r="D98" s="486"/>
      <c r="E98" s="486"/>
      <c r="F98" s="486"/>
      <c r="G98" s="487"/>
      <c r="H98" s="486"/>
      <c r="I98" s="486"/>
      <c r="J98" s="486"/>
      <c r="K98" s="486"/>
      <c r="L98" s="486"/>
      <c r="M98" s="486"/>
      <c r="N98" s="486"/>
      <c r="O98" s="486"/>
      <c r="P98" s="486"/>
      <c r="Q98" s="486"/>
      <c r="R98" s="486"/>
      <c r="S98" s="486"/>
      <c r="T98" s="486"/>
      <c r="U98" s="486"/>
      <c r="V98" s="486"/>
      <c r="W98" s="220"/>
      <c r="X98" s="220"/>
      <c r="Y98" s="220"/>
      <c r="Z98" s="220"/>
    </row>
    <row r="99" ht="15.75" customHeight="1">
      <c r="A99" s="486"/>
      <c r="B99" s="486"/>
      <c r="C99" s="486"/>
      <c r="D99" s="486"/>
      <c r="E99" s="486"/>
      <c r="F99" s="486"/>
      <c r="G99" s="487"/>
      <c r="H99" s="486"/>
      <c r="I99" s="486"/>
      <c r="J99" s="486"/>
      <c r="K99" s="486"/>
      <c r="L99" s="486"/>
      <c r="M99" s="486"/>
      <c r="N99" s="486"/>
      <c r="O99" s="486"/>
      <c r="P99" s="486"/>
      <c r="Q99" s="486"/>
      <c r="R99" s="486"/>
      <c r="S99" s="486"/>
      <c r="T99" s="486"/>
      <c r="U99" s="486"/>
      <c r="V99" s="486"/>
      <c r="W99" s="220"/>
      <c r="X99" s="220"/>
      <c r="Y99" s="220"/>
      <c r="Z99" s="220"/>
    </row>
    <row r="100" ht="15.75" customHeight="1">
      <c r="A100" s="486"/>
      <c r="B100" s="486"/>
      <c r="C100" s="486"/>
      <c r="D100" s="486"/>
      <c r="E100" s="486"/>
      <c r="F100" s="486"/>
      <c r="G100" s="487"/>
      <c r="H100" s="486"/>
      <c r="I100" s="486"/>
      <c r="J100" s="486"/>
      <c r="K100" s="486"/>
      <c r="L100" s="486"/>
      <c r="M100" s="486"/>
      <c r="N100" s="486"/>
      <c r="O100" s="486"/>
      <c r="P100" s="486"/>
      <c r="Q100" s="486"/>
      <c r="R100" s="486"/>
      <c r="S100" s="486"/>
      <c r="T100" s="486"/>
      <c r="U100" s="486"/>
      <c r="V100" s="486"/>
      <c r="W100" s="220"/>
      <c r="X100" s="220"/>
      <c r="Y100" s="220"/>
      <c r="Z100" s="220"/>
    </row>
    <row r="101" ht="15.75" customHeight="1">
      <c r="A101" s="486"/>
      <c r="B101" s="486"/>
      <c r="C101" s="486"/>
      <c r="D101" s="486"/>
      <c r="E101" s="486"/>
      <c r="F101" s="486"/>
      <c r="G101" s="487"/>
      <c r="H101" s="486"/>
      <c r="I101" s="486"/>
      <c r="J101" s="486"/>
      <c r="K101" s="486"/>
      <c r="L101" s="486"/>
      <c r="M101" s="486"/>
      <c r="N101" s="486"/>
      <c r="O101" s="486"/>
      <c r="P101" s="486"/>
      <c r="Q101" s="486"/>
      <c r="R101" s="486"/>
      <c r="S101" s="486"/>
      <c r="T101" s="486"/>
      <c r="U101" s="486"/>
      <c r="V101" s="486"/>
      <c r="W101" s="220"/>
      <c r="X101" s="220"/>
      <c r="Y101" s="220"/>
      <c r="Z101" s="220"/>
    </row>
    <row r="102" ht="15.75" customHeight="1">
      <c r="A102" s="486"/>
      <c r="B102" s="486"/>
      <c r="C102" s="486"/>
      <c r="D102" s="486"/>
      <c r="E102" s="486"/>
      <c r="F102" s="486"/>
      <c r="G102" s="487"/>
      <c r="H102" s="486"/>
      <c r="I102" s="486"/>
      <c r="J102" s="486"/>
      <c r="K102" s="486"/>
      <c r="L102" s="486"/>
      <c r="M102" s="486"/>
      <c r="N102" s="486"/>
      <c r="O102" s="486"/>
      <c r="P102" s="486"/>
      <c r="Q102" s="486"/>
      <c r="R102" s="486"/>
      <c r="S102" s="486"/>
      <c r="T102" s="486"/>
      <c r="U102" s="486"/>
      <c r="V102" s="486"/>
      <c r="W102" s="220"/>
      <c r="X102" s="220"/>
      <c r="Y102" s="220"/>
      <c r="Z102" s="220"/>
    </row>
    <row r="103" ht="15.75" customHeight="1">
      <c r="A103" s="486"/>
      <c r="B103" s="486"/>
      <c r="C103" s="486"/>
      <c r="D103" s="486"/>
      <c r="E103" s="486"/>
      <c r="F103" s="486"/>
      <c r="G103" s="487"/>
      <c r="H103" s="486"/>
      <c r="I103" s="486"/>
      <c r="J103" s="486"/>
      <c r="K103" s="486"/>
      <c r="L103" s="486"/>
      <c r="M103" s="486"/>
      <c r="N103" s="486"/>
      <c r="O103" s="486"/>
      <c r="P103" s="486"/>
      <c r="Q103" s="486"/>
      <c r="R103" s="486"/>
      <c r="S103" s="486"/>
      <c r="T103" s="486"/>
      <c r="U103" s="486"/>
      <c r="V103" s="486"/>
      <c r="W103" s="220"/>
      <c r="X103" s="220"/>
      <c r="Y103" s="220"/>
      <c r="Z103" s="220"/>
    </row>
    <row r="104" ht="15.75" customHeight="1">
      <c r="A104" s="486"/>
      <c r="B104" s="486"/>
      <c r="C104" s="486"/>
      <c r="D104" s="486"/>
      <c r="E104" s="486"/>
      <c r="F104" s="486"/>
      <c r="G104" s="487"/>
      <c r="H104" s="486"/>
      <c r="I104" s="486"/>
      <c r="J104" s="486"/>
      <c r="K104" s="486"/>
      <c r="L104" s="486"/>
      <c r="M104" s="486"/>
      <c r="N104" s="486"/>
      <c r="O104" s="486"/>
      <c r="P104" s="486"/>
      <c r="Q104" s="486"/>
      <c r="R104" s="486"/>
      <c r="S104" s="486"/>
      <c r="T104" s="486"/>
      <c r="U104" s="486"/>
      <c r="V104" s="486"/>
      <c r="W104" s="220"/>
      <c r="X104" s="220"/>
      <c r="Y104" s="220"/>
      <c r="Z104" s="220"/>
    </row>
    <row r="105" ht="15.75" customHeight="1">
      <c r="A105" s="486"/>
      <c r="B105" s="486"/>
      <c r="C105" s="486"/>
      <c r="D105" s="486"/>
      <c r="E105" s="486"/>
      <c r="F105" s="486"/>
      <c r="G105" s="487"/>
      <c r="H105" s="486"/>
      <c r="I105" s="486"/>
      <c r="J105" s="486"/>
      <c r="K105" s="486"/>
      <c r="L105" s="486"/>
      <c r="M105" s="486"/>
      <c r="N105" s="486"/>
      <c r="O105" s="486"/>
      <c r="P105" s="486"/>
      <c r="Q105" s="486"/>
      <c r="R105" s="486"/>
      <c r="S105" s="486"/>
      <c r="T105" s="486"/>
      <c r="U105" s="486"/>
      <c r="V105" s="486"/>
      <c r="W105" s="220"/>
      <c r="X105" s="220"/>
      <c r="Y105" s="220"/>
      <c r="Z105" s="220"/>
    </row>
    <row r="106" ht="15.75" customHeight="1">
      <c r="A106" s="486"/>
      <c r="B106" s="486"/>
      <c r="C106" s="486"/>
      <c r="D106" s="486"/>
      <c r="E106" s="486"/>
      <c r="F106" s="486"/>
      <c r="G106" s="487"/>
      <c r="H106" s="486"/>
      <c r="I106" s="486"/>
      <c r="J106" s="486"/>
      <c r="K106" s="486"/>
      <c r="L106" s="486"/>
      <c r="M106" s="486"/>
      <c r="N106" s="486"/>
      <c r="O106" s="486"/>
      <c r="P106" s="486"/>
      <c r="Q106" s="486"/>
      <c r="R106" s="486"/>
      <c r="S106" s="486"/>
      <c r="T106" s="486"/>
      <c r="U106" s="486"/>
      <c r="V106" s="486"/>
      <c r="W106" s="220"/>
      <c r="X106" s="220"/>
      <c r="Y106" s="220"/>
      <c r="Z106" s="220"/>
    </row>
    <row r="107" ht="15.75" customHeight="1">
      <c r="A107" s="486"/>
      <c r="B107" s="486"/>
      <c r="C107" s="486"/>
      <c r="D107" s="486"/>
      <c r="E107" s="486"/>
      <c r="F107" s="486"/>
      <c r="G107" s="487"/>
      <c r="H107" s="486"/>
      <c r="I107" s="486"/>
      <c r="J107" s="486"/>
      <c r="K107" s="486"/>
      <c r="L107" s="486"/>
      <c r="M107" s="486"/>
      <c r="N107" s="486"/>
      <c r="O107" s="486"/>
      <c r="P107" s="486"/>
      <c r="Q107" s="486"/>
      <c r="R107" s="486"/>
      <c r="S107" s="486"/>
      <c r="T107" s="486"/>
      <c r="U107" s="486"/>
      <c r="V107" s="486"/>
      <c r="W107" s="220"/>
      <c r="X107" s="220"/>
      <c r="Y107" s="220"/>
      <c r="Z107" s="220"/>
    </row>
    <row r="108" ht="15.75" customHeight="1">
      <c r="A108" s="486"/>
      <c r="B108" s="486"/>
      <c r="C108" s="486"/>
      <c r="D108" s="486"/>
      <c r="E108" s="486"/>
      <c r="F108" s="486"/>
      <c r="G108" s="487"/>
      <c r="H108" s="486"/>
      <c r="I108" s="486"/>
      <c r="J108" s="486"/>
      <c r="K108" s="486"/>
      <c r="L108" s="486"/>
      <c r="M108" s="486"/>
      <c r="N108" s="486"/>
      <c r="O108" s="486"/>
      <c r="P108" s="486"/>
      <c r="Q108" s="486"/>
      <c r="R108" s="486"/>
      <c r="S108" s="486"/>
      <c r="T108" s="486"/>
      <c r="U108" s="486"/>
      <c r="V108" s="486"/>
      <c r="W108" s="220"/>
      <c r="X108" s="220"/>
      <c r="Y108" s="220"/>
      <c r="Z108" s="220"/>
    </row>
    <row r="109" ht="15.75" customHeight="1">
      <c r="A109" s="486"/>
      <c r="B109" s="486"/>
      <c r="C109" s="486"/>
      <c r="D109" s="486"/>
      <c r="E109" s="486"/>
      <c r="F109" s="486"/>
      <c r="G109" s="487"/>
      <c r="H109" s="486"/>
      <c r="I109" s="486"/>
      <c r="J109" s="486"/>
      <c r="K109" s="486"/>
      <c r="L109" s="486"/>
      <c r="M109" s="486"/>
      <c r="N109" s="486"/>
      <c r="O109" s="486"/>
      <c r="P109" s="486"/>
      <c r="Q109" s="486"/>
      <c r="R109" s="486"/>
      <c r="S109" s="486"/>
      <c r="T109" s="486"/>
      <c r="U109" s="486"/>
      <c r="V109" s="486"/>
      <c r="W109" s="220"/>
      <c r="X109" s="220"/>
      <c r="Y109" s="220"/>
      <c r="Z109" s="220"/>
    </row>
    <row r="110" ht="15.75" customHeight="1">
      <c r="A110" s="486"/>
      <c r="B110" s="486"/>
      <c r="C110" s="486"/>
      <c r="D110" s="486"/>
      <c r="E110" s="486"/>
      <c r="F110" s="486"/>
      <c r="G110" s="487"/>
      <c r="H110" s="486"/>
      <c r="I110" s="486"/>
      <c r="J110" s="486"/>
      <c r="K110" s="486"/>
      <c r="L110" s="486"/>
      <c r="M110" s="486"/>
      <c r="N110" s="486"/>
      <c r="O110" s="486"/>
      <c r="P110" s="486"/>
      <c r="Q110" s="486"/>
      <c r="R110" s="486"/>
      <c r="S110" s="486"/>
      <c r="T110" s="486"/>
      <c r="U110" s="486"/>
      <c r="V110" s="486"/>
      <c r="W110" s="220"/>
      <c r="X110" s="220"/>
      <c r="Y110" s="220"/>
      <c r="Z110" s="220"/>
    </row>
    <row r="111" ht="15.75" customHeight="1">
      <c r="A111" s="486"/>
      <c r="B111" s="486"/>
      <c r="C111" s="486"/>
      <c r="D111" s="486"/>
      <c r="E111" s="486"/>
      <c r="F111" s="486"/>
      <c r="G111" s="487"/>
      <c r="H111" s="486"/>
      <c r="I111" s="486"/>
      <c r="J111" s="486"/>
      <c r="K111" s="486"/>
      <c r="L111" s="486"/>
      <c r="M111" s="486"/>
      <c r="N111" s="486"/>
      <c r="O111" s="486"/>
      <c r="P111" s="486"/>
      <c r="Q111" s="486"/>
      <c r="R111" s="486"/>
      <c r="S111" s="486"/>
      <c r="T111" s="486"/>
      <c r="U111" s="486"/>
      <c r="V111" s="486"/>
      <c r="W111" s="220"/>
      <c r="X111" s="220"/>
      <c r="Y111" s="220"/>
      <c r="Z111" s="220"/>
    </row>
    <row r="112" ht="15.75" customHeight="1">
      <c r="A112" s="486"/>
      <c r="B112" s="486"/>
      <c r="C112" s="486"/>
      <c r="D112" s="486"/>
      <c r="E112" s="486"/>
      <c r="F112" s="486"/>
      <c r="G112" s="487"/>
      <c r="H112" s="486"/>
      <c r="I112" s="486"/>
      <c r="J112" s="486"/>
      <c r="K112" s="486"/>
      <c r="L112" s="486"/>
      <c r="M112" s="486"/>
      <c r="N112" s="486"/>
      <c r="O112" s="486"/>
      <c r="P112" s="486"/>
      <c r="Q112" s="486"/>
      <c r="R112" s="486"/>
      <c r="S112" s="486"/>
      <c r="T112" s="486"/>
      <c r="U112" s="486"/>
      <c r="V112" s="486"/>
      <c r="W112" s="220"/>
      <c r="X112" s="220"/>
      <c r="Y112" s="220"/>
      <c r="Z112" s="220"/>
    </row>
    <row r="113" ht="15.75" customHeight="1">
      <c r="A113" s="486"/>
      <c r="B113" s="486"/>
      <c r="C113" s="486"/>
      <c r="D113" s="486"/>
      <c r="E113" s="486"/>
      <c r="F113" s="486"/>
      <c r="G113" s="487"/>
      <c r="H113" s="486"/>
      <c r="I113" s="486"/>
      <c r="J113" s="486"/>
      <c r="K113" s="486"/>
      <c r="L113" s="486"/>
      <c r="M113" s="486"/>
      <c r="N113" s="486"/>
      <c r="O113" s="486"/>
      <c r="P113" s="486"/>
      <c r="Q113" s="486"/>
      <c r="R113" s="486"/>
      <c r="S113" s="486"/>
      <c r="T113" s="486"/>
      <c r="U113" s="486"/>
      <c r="V113" s="486"/>
      <c r="W113" s="220"/>
      <c r="X113" s="220"/>
      <c r="Y113" s="220"/>
      <c r="Z113" s="220"/>
    </row>
    <row r="114" ht="15.75" customHeight="1">
      <c r="A114" s="486"/>
      <c r="B114" s="486"/>
      <c r="C114" s="486"/>
      <c r="D114" s="486"/>
      <c r="E114" s="486"/>
      <c r="F114" s="486"/>
      <c r="G114" s="487"/>
      <c r="H114" s="486"/>
      <c r="I114" s="486"/>
      <c r="J114" s="486"/>
      <c r="K114" s="486"/>
      <c r="L114" s="486"/>
      <c r="M114" s="486"/>
      <c r="N114" s="486"/>
      <c r="O114" s="486"/>
      <c r="P114" s="486"/>
      <c r="Q114" s="486"/>
      <c r="R114" s="486"/>
      <c r="S114" s="486"/>
      <c r="T114" s="486"/>
      <c r="U114" s="486"/>
      <c r="V114" s="486"/>
      <c r="W114" s="220"/>
      <c r="X114" s="220"/>
      <c r="Y114" s="220"/>
      <c r="Z114" s="220"/>
    </row>
    <row r="115" ht="15.75" customHeight="1">
      <c r="A115" s="486"/>
      <c r="B115" s="486"/>
      <c r="C115" s="486"/>
      <c r="D115" s="486"/>
      <c r="E115" s="486"/>
      <c r="F115" s="486"/>
      <c r="G115" s="487"/>
      <c r="H115" s="486"/>
      <c r="I115" s="486"/>
      <c r="J115" s="486"/>
      <c r="K115" s="486"/>
      <c r="L115" s="486"/>
      <c r="M115" s="486"/>
      <c r="N115" s="486"/>
      <c r="O115" s="486"/>
      <c r="P115" s="486"/>
      <c r="Q115" s="486"/>
      <c r="R115" s="486"/>
      <c r="S115" s="486"/>
      <c r="T115" s="486"/>
      <c r="U115" s="486"/>
      <c r="V115" s="486"/>
      <c r="W115" s="220"/>
      <c r="X115" s="220"/>
      <c r="Y115" s="220"/>
      <c r="Z115" s="220"/>
    </row>
    <row r="116" ht="15.75" customHeight="1">
      <c r="A116" s="486"/>
      <c r="B116" s="486"/>
      <c r="C116" s="486"/>
      <c r="D116" s="486"/>
      <c r="E116" s="486"/>
      <c r="F116" s="486"/>
      <c r="G116" s="487"/>
      <c r="H116" s="486"/>
      <c r="I116" s="486"/>
      <c r="J116" s="486"/>
      <c r="K116" s="486"/>
      <c r="L116" s="486"/>
      <c r="M116" s="486"/>
      <c r="N116" s="486"/>
      <c r="O116" s="486"/>
      <c r="P116" s="486"/>
      <c r="Q116" s="486"/>
      <c r="R116" s="486"/>
      <c r="S116" s="486"/>
      <c r="T116" s="486"/>
      <c r="U116" s="486"/>
      <c r="V116" s="486"/>
      <c r="W116" s="220"/>
      <c r="X116" s="220"/>
      <c r="Y116" s="220"/>
      <c r="Z116" s="220"/>
    </row>
    <row r="117" ht="15.75" customHeight="1">
      <c r="A117" s="486"/>
      <c r="B117" s="486"/>
      <c r="C117" s="486"/>
      <c r="D117" s="486"/>
      <c r="E117" s="486"/>
      <c r="F117" s="486"/>
      <c r="G117" s="487"/>
      <c r="H117" s="486"/>
      <c r="I117" s="486"/>
      <c r="J117" s="486"/>
      <c r="K117" s="486"/>
      <c r="L117" s="486"/>
      <c r="M117" s="486"/>
      <c r="N117" s="486"/>
      <c r="O117" s="486"/>
      <c r="P117" s="486"/>
      <c r="Q117" s="486"/>
      <c r="R117" s="486"/>
      <c r="S117" s="486"/>
      <c r="T117" s="486"/>
      <c r="U117" s="486"/>
      <c r="V117" s="486"/>
      <c r="W117" s="220"/>
      <c r="X117" s="220"/>
      <c r="Y117" s="220"/>
      <c r="Z117" s="220"/>
    </row>
    <row r="118" ht="15.75" customHeight="1">
      <c r="A118" s="486"/>
      <c r="B118" s="486"/>
      <c r="C118" s="486"/>
      <c r="D118" s="486"/>
      <c r="E118" s="486"/>
      <c r="F118" s="486"/>
      <c r="G118" s="487"/>
      <c r="H118" s="486"/>
      <c r="I118" s="486"/>
      <c r="J118" s="486"/>
      <c r="K118" s="486"/>
      <c r="L118" s="486"/>
      <c r="M118" s="486"/>
      <c r="N118" s="486"/>
      <c r="O118" s="486"/>
      <c r="P118" s="486"/>
      <c r="Q118" s="486"/>
      <c r="R118" s="486"/>
      <c r="S118" s="486"/>
      <c r="T118" s="486"/>
      <c r="U118" s="486"/>
      <c r="V118" s="486"/>
      <c r="W118" s="220"/>
      <c r="X118" s="220"/>
      <c r="Y118" s="220"/>
      <c r="Z118" s="220"/>
    </row>
    <row r="119" ht="15.75" customHeight="1">
      <c r="A119" s="486"/>
      <c r="B119" s="486"/>
      <c r="C119" s="486"/>
      <c r="D119" s="486"/>
      <c r="E119" s="486"/>
      <c r="F119" s="486"/>
      <c r="G119" s="487"/>
      <c r="H119" s="486"/>
      <c r="I119" s="486"/>
      <c r="J119" s="486"/>
      <c r="K119" s="486"/>
      <c r="L119" s="486"/>
      <c r="M119" s="486"/>
      <c r="N119" s="486"/>
      <c r="O119" s="486"/>
      <c r="P119" s="486"/>
      <c r="Q119" s="486"/>
      <c r="R119" s="486"/>
      <c r="S119" s="486"/>
      <c r="T119" s="486"/>
      <c r="U119" s="486"/>
      <c r="V119" s="486"/>
      <c r="W119" s="220"/>
      <c r="X119" s="220"/>
      <c r="Y119" s="220"/>
      <c r="Z119" s="220"/>
    </row>
    <row r="120" ht="15.75" customHeight="1">
      <c r="A120" s="486"/>
      <c r="B120" s="486"/>
      <c r="C120" s="486"/>
      <c r="D120" s="486"/>
      <c r="E120" s="486"/>
      <c r="F120" s="486"/>
      <c r="G120" s="487"/>
      <c r="H120" s="486"/>
      <c r="I120" s="486"/>
      <c r="J120" s="486"/>
      <c r="K120" s="486"/>
      <c r="L120" s="486"/>
      <c r="M120" s="486"/>
      <c r="N120" s="486"/>
      <c r="O120" s="486"/>
      <c r="P120" s="486"/>
      <c r="Q120" s="486"/>
      <c r="R120" s="486"/>
      <c r="S120" s="486"/>
      <c r="T120" s="486"/>
      <c r="U120" s="486"/>
      <c r="V120" s="486"/>
      <c r="W120" s="220"/>
      <c r="X120" s="220"/>
      <c r="Y120" s="220"/>
      <c r="Z120" s="220"/>
    </row>
    <row r="121" ht="15.75" customHeight="1">
      <c r="A121" s="486"/>
      <c r="B121" s="486"/>
      <c r="C121" s="486"/>
      <c r="D121" s="486"/>
      <c r="E121" s="486"/>
      <c r="F121" s="486"/>
      <c r="G121" s="487"/>
      <c r="H121" s="486"/>
      <c r="I121" s="486"/>
      <c r="J121" s="486"/>
      <c r="K121" s="486"/>
      <c r="L121" s="486"/>
      <c r="M121" s="486"/>
      <c r="N121" s="486"/>
      <c r="O121" s="486"/>
      <c r="P121" s="486"/>
      <c r="Q121" s="486"/>
      <c r="R121" s="486"/>
      <c r="S121" s="486"/>
      <c r="T121" s="486"/>
      <c r="U121" s="486"/>
      <c r="V121" s="486"/>
      <c r="W121" s="220"/>
      <c r="X121" s="220"/>
      <c r="Y121" s="220"/>
      <c r="Z121" s="220"/>
    </row>
    <row r="122" ht="15.75" customHeight="1">
      <c r="A122" s="486"/>
      <c r="B122" s="486"/>
      <c r="C122" s="486"/>
      <c r="D122" s="486"/>
      <c r="E122" s="486"/>
      <c r="F122" s="486"/>
      <c r="G122" s="487"/>
      <c r="H122" s="486"/>
      <c r="I122" s="486"/>
      <c r="J122" s="486"/>
      <c r="K122" s="486"/>
      <c r="L122" s="486"/>
      <c r="M122" s="486"/>
      <c r="N122" s="486"/>
      <c r="O122" s="486"/>
      <c r="P122" s="486"/>
      <c r="Q122" s="486"/>
      <c r="R122" s="486"/>
      <c r="S122" s="486"/>
      <c r="T122" s="486"/>
      <c r="U122" s="486"/>
      <c r="V122" s="486"/>
      <c r="W122" s="220"/>
      <c r="X122" s="220"/>
      <c r="Y122" s="220"/>
      <c r="Z122" s="220"/>
    </row>
    <row r="123" ht="15.75" customHeight="1">
      <c r="A123" s="486"/>
      <c r="B123" s="486"/>
      <c r="C123" s="486"/>
      <c r="D123" s="486"/>
      <c r="E123" s="486"/>
      <c r="F123" s="486"/>
      <c r="G123" s="487"/>
      <c r="H123" s="486"/>
      <c r="I123" s="486"/>
      <c r="J123" s="486"/>
      <c r="K123" s="486"/>
      <c r="L123" s="486"/>
      <c r="M123" s="486"/>
      <c r="N123" s="486"/>
      <c r="O123" s="486"/>
      <c r="P123" s="486"/>
      <c r="Q123" s="486"/>
      <c r="R123" s="486"/>
      <c r="S123" s="486"/>
      <c r="T123" s="486"/>
      <c r="U123" s="486"/>
      <c r="V123" s="486"/>
      <c r="W123" s="220"/>
      <c r="X123" s="220"/>
      <c r="Y123" s="220"/>
      <c r="Z123" s="220"/>
    </row>
    <row r="124" ht="15.75" customHeight="1">
      <c r="A124" s="486"/>
      <c r="B124" s="486"/>
      <c r="C124" s="486"/>
      <c r="D124" s="486"/>
      <c r="E124" s="486"/>
      <c r="F124" s="486"/>
      <c r="G124" s="487"/>
      <c r="H124" s="486"/>
      <c r="I124" s="486"/>
      <c r="J124" s="486"/>
      <c r="K124" s="486"/>
      <c r="L124" s="486"/>
      <c r="M124" s="486"/>
      <c r="N124" s="486"/>
      <c r="O124" s="486"/>
      <c r="P124" s="486"/>
      <c r="Q124" s="486"/>
      <c r="R124" s="486"/>
      <c r="S124" s="486"/>
      <c r="T124" s="486"/>
      <c r="U124" s="486"/>
      <c r="V124" s="486"/>
      <c r="W124" s="220"/>
      <c r="X124" s="220"/>
      <c r="Y124" s="220"/>
      <c r="Z124" s="220"/>
    </row>
    <row r="125" ht="15.75" customHeight="1">
      <c r="A125" s="486"/>
      <c r="B125" s="486"/>
      <c r="C125" s="486"/>
      <c r="D125" s="486"/>
      <c r="E125" s="486"/>
      <c r="F125" s="486"/>
      <c r="G125" s="487"/>
      <c r="H125" s="486"/>
      <c r="I125" s="486"/>
      <c r="J125" s="486"/>
      <c r="K125" s="486"/>
      <c r="L125" s="486"/>
      <c r="M125" s="486"/>
      <c r="N125" s="486"/>
      <c r="O125" s="486"/>
      <c r="P125" s="486"/>
      <c r="Q125" s="486"/>
      <c r="R125" s="486"/>
      <c r="S125" s="486"/>
      <c r="T125" s="486"/>
      <c r="U125" s="486"/>
      <c r="V125" s="486"/>
      <c r="W125" s="220"/>
      <c r="X125" s="220"/>
      <c r="Y125" s="220"/>
      <c r="Z125" s="220"/>
    </row>
    <row r="126" ht="15.75" customHeight="1">
      <c r="A126" s="486"/>
      <c r="B126" s="486"/>
      <c r="C126" s="486"/>
      <c r="D126" s="486"/>
      <c r="E126" s="486"/>
      <c r="F126" s="486"/>
      <c r="G126" s="487"/>
      <c r="H126" s="486"/>
      <c r="I126" s="486"/>
      <c r="J126" s="486"/>
      <c r="K126" s="486"/>
      <c r="L126" s="486"/>
      <c r="M126" s="486"/>
      <c r="N126" s="486"/>
      <c r="O126" s="486"/>
      <c r="P126" s="486"/>
      <c r="Q126" s="486"/>
      <c r="R126" s="486"/>
      <c r="S126" s="486"/>
      <c r="T126" s="486"/>
      <c r="U126" s="486"/>
      <c r="V126" s="486"/>
      <c r="W126" s="220"/>
      <c r="X126" s="220"/>
      <c r="Y126" s="220"/>
      <c r="Z126" s="220"/>
    </row>
    <row r="127" ht="15.75" customHeight="1">
      <c r="A127" s="486"/>
      <c r="B127" s="486"/>
      <c r="C127" s="486"/>
      <c r="D127" s="486"/>
      <c r="E127" s="486"/>
      <c r="F127" s="486"/>
      <c r="G127" s="487"/>
      <c r="H127" s="486"/>
      <c r="I127" s="486"/>
      <c r="J127" s="486"/>
      <c r="K127" s="486"/>
      <c r="L127" s="486"/>
      <c r="M127" s="486"/>
      <c r="N127" s="486"/>
      <c r="O127" s="486"/>
      <c r="P127" s="486"/>
      <c r="Q127" s="486"/>
      <c r="R127" s="486"/>
      <c r="S127" s="486"/>
      <c r="T127" s="486"/>
      <c r="U127" s="486"/>
      <c r="V127" s="486"/>
      <c r="W127" s="220"/>
      <c r="X127" s="220"/>
      <c r="Y127" s="220"/>
      <c r="Z127" s="220"/>
    </row>
    <row r="128" ht="15.75" customHeight="1">
      <c r="A128" s="486"/>
      <c r="B128" s="486"/>
      <c r="C128" s="486"/>
      <c r="D128" s="486"/>
      <c r="E128" s="486"/>
      <c r="F128" s="486"/>
      <c r="G128" s="487"/>
      <c r="H128" s="486"/>
      <c r="I128" s="486"/>
      <c r="J128" s="486"/>
      <c r="K128" s="486"/>
      <c r="L128" s="486"/>
      <c r="M128" s="486"/>
      <c r="N128" s="486"/>
      <c r="O128" s="486"/>
      <c r="P128" s="486"/>
      <c r="Q128" s="486"/>
      <c r="R128" s="486"/>
      <c r="S128" s="486"/>
      <c r="T128" s="486"/>
      <c r="U128" s="486"/>
      <c r="V128" s="486"/>
      <c r="W128" s="220"/>
      <c r="X128" s="220"/>
      <c r="Y128" s="220"/>
      <c r="Z128" s="220"/>
    </row>
    <row r="129" ht="15.75" customHeight="1">
      <c r="A129" s="486"/>
      <c r="B129" s="486"/>
      <c r="C129" s="486"/>
      <c r="D129" s="486"/>
      <c r="E129" s="486"/>
      <c r="F129" s="486"/>
      <c r="G129" s="487"/>
      <c r="H129" s="486"/>
      <c r="I129" s="486"/>
      <c r="J129" s="486"/>
      <c r="K129" s="486"/>
      <c r="L129" s="486"/>
      <c r="M129" s="486"/>
      <c r="N129" s="486"/>
      <c r="O129" s="486"/>
      <c r="P129" s="486"/>
      <c r="Q129" s="486"/>
      <c r="R129" s="486"/>
      <c r="S129" s="486"/>
      <c r="T129" s="486"/>
      <c r="U129" s="486"/>
      <c r="V129" s="486"/>
      <c r="W129" s="220"/>
      <c r="X129" s="220"/>
      <c r="Y129" s="220"/>
      <c r="Z129" s="220"/>
    </row>
    <row r="130" ht="15.75" customHeight="1">
      <c r="A130" s="486"/>
      <c r="B130" s="486"/>
      <c r="C130" s="486"/>
      <c r="D130" s="486"/>
      <c r="E130" s="486"/>
      <c r="F130" s="486"/>
      <c r="G130" s="487"/>
      <c r="H130" s="486"/>
      <c r="I130" s="486"/>
      <c r="J130" s="486"/>
      <c r="K130" s="486"/>
      <c r="L130" s="486"/>
      <c r="M130" s="486"/>
      <c r="N130" s="486"/>
      <c r="O130" s="486"/>
      <c r="P130" s="486"/>
      <c r="Q130" s="486"/>
      <c r="R130" s="486"/>
      <c r="S130" s="486"/>
      <c r="T130" s="486"/>
      <c r="U130" s="486"/>
      <c r="V130" s="486"/>
      <c r="W130" s="220"/>
      <c r="X130" s="220"/>
      <c r="Y130" s="220"/>
      <c r="Z130" s="220"/>
    </row>
    <row r="131" ht="15.75" customHeight="1">
      <c r="A131" s="486"/>
      <c r="B131" s="486"/>
      <c r="C131" s="486"/>
      <c r="D131" s="486"/>
      <c r="E131" s="486"/>
      <c r="F131" s="486"/>
      <c r="G131" s="487"/>
      <c r="H131" s="486"/>
      <c r="I131" s="486"/>
      <c r="J131" s="486"/>
      <c r="K131" s="486"/>
      <c r="L131" s="486"/>
      <c r="M131" s="486"/>
      <c r="N131" s="486"/>
      <c r="O131" s="486"/>
      <c r="P131" s="486"/>
      <c r="Q131" s="486"/>
      <c r="R131" s="486"/>
      <c r="S131" s="486"/>
      <c r="T131" s="486"/>
      <c r="U131" s="486"/>
      <c r="V131" s="486"/>
      <c r="W131" s="220"/>
      <c r="X131" s="220"/>
      <c r="Y131" s="220"/>
      <c r="Z131" s="220"/>
    </row>
    <row r="132" ht="15.75" customHeight="1">
      <c r="A132" s="486"/>
      <c r="B132" s="486"/>
      <c r="C132" s="486"/>
      <c r="D132" s="486"/>
      <c r="E132" s="486"/>
      <c r="F132" s="486"/>
      <c r="G132" s="487"/>
      <c r="H132" s="486"/>
      <c r="I132" s="486"/>
      <c r="J132" s="486"/>
      <c r="K132" s="486"/>
      <c r="L132" s="486"/>
      <c r="M132" s="486"/>
      <c r="N132" s="486"/>
      <c r="O132" s="486"/>
      <c r="P132" s="486"/>
      <c r="Q132" s="486"/>
      <c r="R132" s="486"/>
      <c r="S132" s="486"/>
      <c r="T132" s="486"/>
      <c r="U132" s="486"/>
      <c r="V132" s="486"/>
      <c r="W132" s="220"/>
      <c r="X132" s="220"/>
      <c r="Y132" s="220"/>
      <c r="Z132" s="220"/>
    </row>
    <row r="133" ht="15.75" customHeight="1">
      <c r="A133" s="486"/>
      <c r="B133" s="486"/>
      <c r="C133" s="486"/>
      <c r="D133" s="486"/>
      <c r="E133" s="486"/>
      <c r="F133" s="486"/>
      <c r="G133" s="487"/>
      <c r="H133" s="486"/>
      <c r="I133" s="486"/>
      <c r="J133" s="486"/>
      <c r="K133" s="486"/>
      <c r="L133" s="486"/>
      <c r="M133" s="486"/>
      <c r="N133" s="486"/>
      <c r="O133" s="486"/>
      <c r="P133" s="486"/>
      <c r="Q133" s="486"/>
      <c r="R133" s="486"/>
      <c r="S133" s="486"/>
      <c r="T133" s="486"/>
      <c r="U133" s="486"/>
      <c r="V133" s="486"/>
      <c r="W133" s="220"/>
      <c r="X133" s="220"/>
      <c r="Y133" s="220"/>
      <c r="Z133" s="220"/>
    </row>
    <row r="134" ht="15.75" customHeight="1">
      <c r="A134" s="486"/>
      <c r="B134" s="486"/>
      <c r="C134" s="486"/>
      <c r="D134" s="486"/>
      <c r="E134" s="486"/>
      <c r="F134" s="486"/>
      <c r="G134" s="487"/>
      <c r="H134" s="486"/>
      <c r="I134" s="486"/>
      <c r="J134" s="486"/>
      <c r="K134" s="486"/>
      <c r="L134" s="486"/>
      <c r="M134" s="486"/>
      <c r="N134" s="486"/>
      <c r="O134" s="486"/>
      <c r="P134" s="486"/>
      <c r="Q134" s="486"/>
      <c r="R134" s="486"/>
      <c r="S134" s="486"/>
      <c r="T134" s="486"/>
      <c r="U134" s="486"/>
      <c r="V134" s="486"/>
      <c r="W134" s="220"/>
      <c r="X134" s="220"/>
      <c r="Y134" s="220"/>
      <c r="Z134" s="220"/>
    </row>
    <row r="135" ht="15.75" customHeight="1">
      <c r="A135" s="486"/>
      <c r="B135" s="486"/>
      <c r="C135" s="486"/>
      <c r="D135" s="486"/>
      <c r="E135" s="486"/>
      <c r="F135" s="486"/>
      <c r="G135" s="487"/>
      <c r="H135" s="486"/>
      <c r="I135" s="486"/>
      <c r="J135" s="486"/>
      <c r="K135" s="486"/>
      <c r="L135" s="486"/>
      <c r="M135" s="486"/>
      <c r="N135" s="486"/>
      <c r="O135" s="486"/>
      <c r="P135" s="486"/>
      <c r="Q135" s="486"/>
      <c r="R135" s="486"/>
      <c r="S135" s="486"/>
      <c r="T135" s="486"/>
      <c r="U135" s="486"/>
      <c r="V135" s="486"/>
      <c r="W135" s="220"/>
      <c r="X135" s="220"/>
      <c r="Y135" s="220"/>
      <c r="Z135" s="220"/>
    </row>
    <row r="136" ht="15.75" customHeight="1">
      <c r="A136" s="486"/>
      <c r="B136" s="486"/>
      <c r="C136" s="486"/>
      <c r="D136" s="486"/>
      <c r="E136" s="486"/>
      <c r="F136" s="486"/>
      <c r="G136" s="487"/>
      <c r="H136" s="486"/>
      <c r="I136" s="486"/>
      <c r="J136" s="486"/>
      <c r="K136" s="486"/>
      <c r="L136" s="486"/>
      <c r="M136" s="486"/>
      <c r="N136" s="486"/>
      <c r="O136" s="486"/>
      <c r="P136" s="486"/>
      <c r="Q136" s="486"/>
      <c r="R136" s="486"/>
      <c r="S136" s="486"/>
      <c r="T136" s="486"/>
      <c r="U136" s="486"/>
      <c r="V136" s="486"/>
      <c r="W136" s="220"/>
      <c r="X136" s="220"/>
      <c r="Y136" s="220"/>
      <c r="Z136" s="220"/>
    </row>
    <row r="137" ht="15.75" customHeight="1">
      <c r="A137" s="486"/>
      <c r="B137" s="486"/>
      <c r="C137" s="486"/>
      <c r="D137" s="486"/>
      <c r="E137" s="486"/>
      <c r="F137" s="486"/>
      <c r="G137" s="487"/>
      <c r="H137" s="486"/>
      <c r="I137" s="486"/>
      <c r="J137" s="486"/>
      <c r="K137" s="486"/>
      <c r="L137" s="486"/>
      <c r="M137" s="486"/>
      <c r="N137" s="486"/>
      <c r="O137" s="486"/>
      <c r="P137" s="486"/>
      <c r="Q137" s="486"/>
      <c r="R137" s="486"/>
      <c r="S137" s="486"/>
      <c r="T137" s="486"/>
      <c r="U137" s="486"/>
      <c r="V137" s="486"/>
      <c r="W137" s="220"/>
      <c r="X137" s="220"/>
      <c r="Y137" s="220"/>
      <c r="Z137" s="220"/>
    </row>
    <row r="138" ht="15.75" customHeight="1">
      <c r="A138" s="486"/>
      <c r="B138" s="486"/>
      <c r="C138" s="486"/>
      <c r="D138" s="486"/>
      <c r="E138" s="486"/>
      <c r="F138" s="486"/>
      <c r="G138" s="487"/>
      <c r="H138" s="486"/>
      <c r="I138" s="486"/>
      <c r="J138" s="486"/>
      <c r="K138" s="486"/>
      <c r="L138" s="486"/>
      <c r="M138" s="486"/>
      <c r="N138" s="486"/>
      <c r="O138" s="486"/>
      <c r="P138" s="486"/>
      <c r="Q138" s="486"/>
      <c r="R138" s="486"/>
      <c r="S138" s="486"/>
      <c r="T138" s="486"/>
      <c r="U138" s="486"/>
      <c r="V138" s="486"/>
      <c r="W138" s="220"/>
      <c r="X138" s="220"/>
      <c r="Y138" s="220"/>
      <c r="Z138" s="220"/>
    </row>
    <row r="139" ht="15.75" customHeight="1">
      <c r="A139" s="486"/>
      <c r="B139" s="486"/>
      <c r="C139" s="486"/>
      <c r="D139" s="486"/>
      <c r="E139" s="486"/>
      <c r="F139" s="486"/>
      <c r="G139" s="487"/>
      <c r="H139" s="486"/>
      <c r="I139" s="486"/>
      <c r="J139" s="486"/>
      <c r="K139" s="486"/>
      <c r="L139" s="486"/>
      <c r="M139" s="486"/>
      <c r="N139" s="486"/>
      <c r="O139" s="486"/>
      <c r="P139" s="486"/>
      <c r="Q139" s="486"/>
      <c r="R139" s="486"/>
      <c r="S139" s="486"/>
      <c r="T139" s="486"/>
      <c r="U139" s="486"/>
      <c r="V139" s="486"/>
      <c r="W139" s="220"/>
      <c r="X139" s="220"/>
      <c r="Y139" s="220"/>
      <c r="Z139" s="220"/>
    </row>
    <row r="140" ht="15.75" customHeight="1">
      <c r="A140" s="486"/>
      <c r="B140" s="486"/>
      <c r="C140" s="486"/>
      <c r="D140" s="486"/>
      <c r="E140" s="486"/>
      <c r="F140" s="486"/>
      <c r="G140" s="487"/>
      <c r="H140" s="486"/>
      <c r="I140" s="486"/>
      <c r="J140" s="486"/>
      <c r="K140" s="486"/>
      <c r="L140" s="486"/>
      <c r="M140" s="486"/>
      <c r="N140" s="486"/>
      <c r="O140" s="486"/>
      <c r="P140" s="486"/>
      <c r="Q140" s="486"/>
      <c r="R140" s="486"/>
      <c r="S140" s="486"/>
      <c r="T140" s="486"/>
      <c r="U140" s="486"/>
      <c r="V140" s="486"/>
      <c r="W140" s="220"/>
      <c r="X140" s="220"/>
      <c r="Y140" s="220"/>
      <c r="Z140" s="220"/>
    </row>
    <row r="141" ht="15.75" customHeight="1">
      <c r="A141" s="486"/>
      <c r="B141" s="486"/>
      <c r="C141" s="486"/>
      <c r="D141" s="486"/>
      <c r="E141" s="486"/>
      <c r="F141" s="486"/>
      <c r="G141" s="487"/>
      <c r="H141" s="486"/>
      <c r="I141" s="486"/>
      <c r="J141" s="486"/>
      <c r="K141" s="486"/>
      <c r="L141" s="486"/>
      <c r="M141" s="486"/>
      <c r="N141" s="486"/>
      <c r="O141" s="486"/>
      <c r="P141" s="486"/>
      <c r="Q141" s="486"/>
      <c r="R141" s="486"/>
      <c r="S141" s="486"/>
      <c r="T141" s="486"/>
      <c r="U141" s="486"/>
      <c r="V141" s="486"/>
      <c r="W141" s="220"/>
      <c r="X141" s="220"/>
      <c r="Y141" s="220"/>
      <c r="Z141" s="220"/>
    </row>
    <row r="142" ht="15.75" customHeight="1">
      <c r="A142" s="486"/>
      <c r="B142" s="486"/>
      <c r="C142" s="486"/>
      <c r="D142" s="486"/>
      <c r="E142" s="486"/>
      <c r="F142" s="486"/>
      <c r="G142" s="487"/>
      <c r="H142" s="486"/>
      <c r="I142" s="486"/>
      <c r="J142" s="486"/>
      <c r="K142" s="486"/>
      <c r="L142" s="486"/>
      <c r="M142" s="486"/>
      <c r="N142" s="486"/>
      <c r="O142" s="486"/>
      <c r="P142" s="486"/>
      <c r="Q142" s="486"/>
      <c r="R142" s="486"/>
      <c r="S142" s="486"/>
      <c r="T142" s="486"/>
      <c r="U142" s="486"/>
      <c r="V142" s="486"/>
      <c r="W142" s="220"/>
      <c r="X142" s="220"/>
      <c r="Y142" s="220"/>
      <c r="Z142" s="220"/>
    </row>
    <row r="143" ht="15.75" customHeight="1">
      <c r="A143" s="486"/>
      <c r="B143" s="486"/>
      <c r="C143" s="486"/>
      <c r="D143" s="486"/>
      <c r="E143" s="486"/>
      <c r="F143" s="486"/>
      <c r="G143" s="487"/>
      <c r="H143" s="486"/>
      <c r="I143" s="486"/>
      <c r="J143" s="486"/>
      <c r="K143" s="486"/>
      <c r="L143" s="486"/>
      <c r="M143" s="486"/>
      <c r="N143" s="486"/>
      <c r="O143" s="486"/>
      <c r="P143" s="486"/>
      <c r="Q143" s="486"/>
      <c r="R143" s="486"/>
      <c r="S143" s="486"/>
      <c r="T143" s="486"/>
      <c r="U143" s="486"/>
      <c r="V143" s="486"/>
      <c r="W143" s="220"/>
      <c r="X143" s="220"/>
      <c r="Y143" s="220"/>
      <c r="Z143" s="220"/>
    </row>
    <row r="144" ht="15.75" customHeight="1">
      <c r="A144" s="486"/>
      <c r="B144" s="486"/>
      <c r="C144" s="486"/>
      <c r="D144" s="486"/>
      <c r="E144" s="486"/>
      <c r="F144" s="486"/>
      <c r="G144" s="487"/>
      <c r="H144" s="486"/>
      <c r="I144" s="486"/>
      <c r="J144" s="486"/>
      <c r="K144" s="486"/>
      <c r="L144" s="486"/>
      <c r="M144" s="486"/>
      <c r="N144" s="486"/>
      <c r="O144" s="486"/>
      <c r="P144" s="486"/>
      <c r="Q144" s="486"/>
      <c r="R144" s="486"/>
      <c r="S144" s="486"/>
      <c r="T144" s="486"/>
      <c r="U144" s="486"/>
      <c r="V144" s="486"/>
      <c r="W144" s="220"/>
      <c r="X144" s="220"/>
      <c r="Y144" s="220"/>
      <c r="Z144" s="220"/>
    </row>
    <row r="145" ht="15.75" customHeight="1">
      <c r="A145" s="486"/>
      <c r="B145" s="486"/>
      <c r="C145" s="486"/>
      <c r="D145" s="486"/>
      <c r="E145" s="486"/>
      <c r="F145" s="486"/>
      <c r="G145" s="487"/>
      <c r="H145" s="486"/>
      <c r="I145" s="486"/>
      <c r="J145" s="486"/>
      <c r="K145" s="486"/>
      <c r="L145" s="486"/>
      <c r="M145" s="486"/>
      <c r="N145" s="486"/>
      <c r="O145" s="486"/>
      <c r="P145" s="486"/>
      <c r="Q145" s="486"/>
      <c r="R145" s="486"/>
      <c r="S145" s="486"/>
      <c r="T145" s="486"/>
      <c r="U145" s="486"/>
      <c r="V145" s="486"/>
      <c r="W145" s="220"/>
      <c r="X145" s="220"/>
      <c r="Y145" s="220"/>
      <c r="Z145" s="220"/>
    </row>
    <row r="146" ht="15.75" customHeight="1">
      <c r="A146" s="486"/>
      <c r="B146" s="486"/>
      <c r="C146" s="486"/>
      <c r="D146" s="486"/>
      <c r="E146" s="486"/>
      <c r="F146" s="486"/>
      <c r="G146" s="487"/>
      <c r="H146" s="486"/>
      <c r="I146" s="486"/>
      <c r="J146" s="486"/>
      <c r="K146" s="486"/>
      <c r="L146" s="486"/>
      <c r="M146" s="486"/>
      <c r="N146" s="486"/>
      <c r="O146" s="486"/>
      <c r="P146" s="486"/>
      <c r="Q146" s="486"/>
      <c r="R146" s="486"/>
      <c r="S146" s="486"/>
      <c r="T146" s="486"/>
      <c r="U146" s="486"/>
      <c r="V146" s="486"/>
      <c r="W146" s="220"/>
      <c r="X146" s="220"/>
      <c r="Y146" s="220"/>
      <c r="Z146" s="220"/>
    </row>
    <row r="147" ht="15.75" customHeight="1">
      <c r="A147" s="486"/>
      <c r="B147" s="486"/>
      <c r="C147" s="486"/>
      <c r="D147" s="486"/>
      <c r="E147" s="486"/>
      <c r="F147" s="486"/>
      <c r="G147" s="487"/>
      <c r="H147" s="486"/>
      <c r="I147" s="486"/>
      <c r="J147" s="486"/>
      <c r="K147" s="486"/>
      <c r="L147" s="486"/>
      <c r="M147" s="486"/>
      <c r="N147" s="486"/>
      <c r="O147" s="486"/>
      <c r="P147" s="486"/>
      <c r="Q147" s="486"/>
      <c r="R147" s="486"/>
      <c r="S147" s="486"/>
      <c r="T147" s="486"/>
      <c r="U147" s="486"/>
      <c r="V147" s="486"/>
      <c r="W147" s="220"/>
      <c r="X147" s="220"/>
      <c r="Y147" s="220"/>
      <c r="Z147" s="220"/>
    </row>
    <row r="148" ht="15.75" customHeight="1">
      <c r="A148" s="486"/>
      <c r="B148" s="486"/>
      <c r="C148" s="486"/>
      <c r="D148" s="486"/>
      <c r="E148" s="486"/>
      <c r="F148" s="486"/>
      <c r="G148" s="487"/>
      <c r="H148" s="486"/>
      <c r="I148" s="486"/>
      <c r="J148" s="486"/>
      <c r="K148" s="486"/>
      <c r="L148" s="486"/>
      <c r="M148" s="486"/>
      <c r="N148" s="486"/>
      <c r="O148" s="486"/>
      <c r="P148" s="486"/>
      <c r="Q148" s="486"/>
      <c r="R148" s="486"/>
      <c r="S148" s="486"/>
      <c r="T148" s="486"/>
      <c r="U148" s="486"/>
      <c r="V148" s="486"/>
      <c r="W148" s="220"/>
      <c r="X148" s="220"/>
      <c r="Y148" s="220"/>
      <c r="Z148" s="220"/>
    </row>
    <row r="149" ht="15.75" customHeight="1">
      <c r="A149" s="486"/>
      <c r="B149" s="486"/>
      <c r="C149" s="486"/>
      <c r="D149" s="486"/>
      <c r="E149" s="486"/>
      <c r="F149" s="486"/>
      <c r="G149" s="487"/>
      <c r="H149" s="486"/>
      <c r="I149" s="486"/>
      <c r="J149" s="486"/>
      <c r="K149" s="486"/>
      <c r="L149" s="486"/>
      <c r="M149" s="486"/>
      <c r="N149" s="486"/>
      <c r="O149" s="486"/>
      <c r="P149" s="486"/>
      <c r="Q149" s="486"/>
      <c r="R149" s="486"/>
      <c r="S149" s="486"/>
      <c r="T149" s="486"/>
      <c r="U149" s="486"/>
      <c r="V149" s="486"/>
      <c r="W149" s="220"/>
      <c r="X149" s="220"/>
      <c r="Y149" s="220"/>
      <c r="Z149" s="220"/>
    </row>
    <row r="150" ht="15.75" customHeight="1">
      <c r="A150" s="486"/>
      <c r="B150" s="486"/>
      <c r="C150" s="486"/>
      <c r="D150" s="486"/>
      <c r="E150" s="486"/>
      <c r="F150" s="486"/>
      <c r="G150" s="487"/>
      <c r="H150" s="486"/>
      <c r="I150" s="486"/>
      <c r="J150" s="486"/>
      <c r="K150" s="486"/>
      <c r="L150" s="486"/>
      <c r="M150" s="486"/>
      <c r="N150" s="486"/>
      <c r="O150" s="486"/>
      <c r="P150" s="486"/>
      <c r="Q150" s="486"/>
      <c r="R150" s="486"/>
      <c r="S150" s="486"/>
      <c r="T150" s="486"/>
      <c r="U150" s="486"/>
      <c r="V150" s="486"/>
      <c r="W150" s="220"/>
      <c r="X150" s="220"/>
      <c r="Y150" s="220"/>
      <c r="Z150" s="220"/>
    </row>
    <row r="151" ht="15.75" customHeight="1">
      <c r="A151" s="486"/>
      <c r="B151" s="486"/>
      <c r="C151" s="486"/>
      <c r="D151" s="486"/>
      <c r="E151" s="486"/>
      <c r="F151" s="486"/>
      <c r="G151" s="487"/>
      <c r="H151" s="486"/>
      <c r="I151" s="486"/>
      <c r="J151" s="486"/>
      <c r="K151" s="486"/>
      <c r="L151" s="486"/>
      <c r="M151" s="486"/>
      <c r="N151" s="486"/>
      <c r="O151" s="486"/>
      <c r="P151" s="486"/>
      <c r="Q151" s="486"/>
      <c r="R151" s="486"/>
      <c r="S151" s="486"/>
      <c r="T151" s="486"/>
      <c r="U151" s="486"/>
      <c r="V151" s="486"/>
      <c r="W151" s="220"/>
      <c r="X151" s="220"/>
      <c r="Y151" s="220"/>
      <c r="Z151" s="220"/>
    </row>
    <row r="152" ht="15.75" customHeight="1">
      <c r="A152" s="486"/>
      <c r="B152" s="486"/>
      <c r="C152" s="486"/>
      <c r="D152" s="486"/>
      <c r="E152" s="486"/>
      <c r="F152" s="486"/>
      <c r="G152" s="487"/>
      <c r="H152" s="486"/>
      <c r="I152" s="486"/>
      <c r="J152" s="486"/>
      <c r="K152" s="486"/>
      <c r="L152" s="486"/>
      <c r="M152" s="486"/>
      <c r="N152" s="486"/>
      <c r="O152" s="486"/>
      <c r="P152" s="486"/>
      <c r="Q152" s="486"/>
      <c r="R152" s="486"/>
      <c r="S152" s="486"/>
      <c r="T152" s="486"/>
      <c r="U152" s="486"/>
      <c r="V152" s="486"/>
      <c r="W152" s="220"/>
      <c r="X152" s="220"/>
      <c r="Y152" s="220"/>
      <c r="Z152" s="220"/>
    </row>
    <row r="153" ht="15.75" customHeight="1">
      <c r="A153" s="486"/>
      <c r="B153" s="486"/>
      <c r="C153" s="486"/>
      <c r="D153" s="486"/>
      <c r="E153" s="486"/>
      <c r="F153" s="486"/>
      <c r="G153" s="487"/>
      <c r="H153" s="486"/>
      <c r="I153" s="486"/>
      <c r="J153" s="486"/>
      <c r="K153" s="486"/>
      <c r="L153" s="486"/>
      <c r="M153" s="486"/>
      <c r="N153" s="486"/>
      <c r="O153" s="486"/>
      <c r="P153" s="486"/>
      <c r="Q153" s="486"/>
      <c r="R153" s="486"/>
      <c r="S153" s="486"/>
      <c r="T153" s="486"/>
      <c r="U153" s="486"/>
      <c r="V153" s="486"/>
      <c r="W153" s="220"/>
      <c r="X153" s="220"/>
      <c r="Y153" s="220"/>
      <c r="Z153" s="220"/>
    </row>
    <row r="154" ht="15.75" customHeight="1">
      <c r="A154" s="486"/>
      <c r="B154" s="486"/>
      <c r="C154" s="486"/>
      <c r="D154" s="486"/>
      <c r="E154" s="486"/>
      <c r="F154" s="486"/>
      <c r="G154" s="487"/>
      <c r="H154" s="486"/>
      <c r="I154" s="486"/>
      <c r="J154" s="486"/>
      <c r="K154" s="486"/>
      <c r="L154" s="486"/>
      <c r="M154" s="486"/>
      <c r="N154" s="486"/>
      <c r="O154" s="486"/>
      <c r="P154" s="486"/>
      <c r="Q154" s="486"/>
      <c r="R154" s="486"/>
      <c r="S154" s="486"/>
      <c r="T154" s="486"/>
      <c r="U154" s="486"/>
      <c r="V154" s="486"/>
      <c r="W154" s="220"/>
      <c r="X154" s="220"/>
      <c r="Y154" s="220"/>
      <c r="Z154" s="220"/>
    </row>
    <row r="155" ht="15.75" customHeight="1">
      <c r="A155" s="486"/>
      <c r="B155" s="486"/>
      <c r="C155" s="486"/>
      <c r="D155" s="486"/>
      <c r="E155" s="486"/>
      <c r="F155" s="486"/>
      <c r="G155" s="487"/>
      <c r="H155" s="486"/>
      <c r="I155" s="486"/>
      <c r="J155" s="486"/>
      <c r="K155" s="486"/>
      <c r="L155" s="486"/>
      <c r="M155" s="486"/>
      <c r="N155" s="486"/>
      <c r="O155" s="486"/>
      <c r="P155" s="486"/>
      <c r="Q155" s="486"/>
      <c r="R155" s="486"/>
      <c r="S155" s="486"/>
      <c r="T155" s="486"/>
      <c r="U155" s="486"/>
      <c r="V155" s="486"/>
      <c r="W155" s="220"/>
      <c r="X155" s="220"/>
      <c r="Y155" s="220"/>
      <c r="Z155" s="220"/>
    </row>
    <row r="156" ht="15.75" customHeight="1">
      <c r="A156" s="486"/>
      <c r="B156" s="486"/>
      <c r="C156" s="486"/>
      <c r="D156" s="486"/>
      <c r="E156" s="486"/>
      <c r="F156" s="486"/>
      <c r="G156" s="487"/>
      <c r="H156" s="486"/>
      <c r="I156" s="486"/>
      <c r="J156" s="486"/>
      <c r="K156" s="486"/>
      <c r="L156" s="486"/>
      <c r="M156" s="486"/>
      <c r="N156" s="486"/>
      <c r="O156" s="486"/>
      <c r="P156" s="486"/>
      <c r="Q156" s="486"/>
      <c r="R156" s="486"/>
      <c r="S156" s="486"/>
      <c r="T156" s="486"/>
      <c r="U156" s="486"/>
      <c r="V156" s="486"/>
      <c r="W156" s="220"/>
      <c r="X156" s="220"/>
      <c r="Y156" s="220"/>
      <c r="Z156" s="220"/>
    </row>
    <row r="157" ht="15.75" customHeight="1">
      <c r="A157" s="486"/>
      <c r="B157" s="486"/>
      <c r="C157" s="486"/>
      <c r="D157" s="486"/>
      <c r="E157" s="486"/>
      <c r="F157" s="486"/>
      <c r="G157" s="487"/>
      <c r="H157" s="486"/>
      <c r="I157" s="486"/>
      <c r="J157" s="486"/>
      <c r="K157" s="486"/>
      <c r="L157" s="486"/>
      <c r="M157" s="486"/>
      <c r="N157" s="486"/>
      <c r="O157" s="486"/>
      <c r="P157" s="486"/>
      <c r="Q157" s="486"/>
      <c r="R157" s="486"/>
      <c r="S157" s="486"/>
      <c r="T157" s="486"/>
      <c r="U157" s="486"/>
      <c r="V157" s="486"/>
      <c r="W157" s="220"/>
      <c r="X157" s="220"/>
      <c r="Y157" s="220"/>
      <c r="Z157" s="220"/>
    </row>
    <row r="158" ht="15.75" customHeight="1">
      <c r="A158" s="486"/>
      <c r="B158" s="486"/>
      <c r="C158" s="486"/>
      <c r="D158" s="486"/>
      <c r="E158" s="486"/>
      <c r="F158" s="486"/>
      <c r="G158" s="487"/>
      <c r="H158" s="486"/>
      <c r="I158" s="486"/>
      <c r="J158" s="486"/>
      <c r="K158" s="486"/>
      <c r="L158" s="486"/>
      <c r="M158" s="486"/>
      <c r="N158" s="486"/>
      <c r="O158" s="486"/>
      <c r="P158" s="486"/>
      <c r="Q158" s="486"/>
      <c r="R158" s="486"/>
      <c r="S158" s="486"/>
      <c r="T158" s="486"/>
      <c r="U158" s="486"/>
      <c r="V158" s="486"/>
      <c r="W158" s="220"/>
      <c r="X158" s="220"/>
      <c r="Y158" s="220"/>
      <c r="Z158" s="220"/>
    </row>
    <row r="159" ht="15.75" customHeight="1">
      <c r="A159" s="486"/>
      <c r="B159" s="486"/>
      <c r="C159" s="486"/>
      <c r="D159" s="486"/>
      <c r="E159" s="486"/>
      <c r="F159" s="486"/>
      <c r="G159" s="487"/>
      <c r="H159" s="486"/>
      <c r="I159" s="486"/>
      <c r="J159" s="486"/>
      <c r="K159" s="486"/>
      <c r="L159" s="486"/>
      <c r="M159" s="486"/>
      <c r="N159" s="486"/>
      <c r="O159" s="486"/>
      <c r="P159" s="486"/>
      <c r="Q159" s="486"/>
      <c r="R159" s="486"/>
      <c r="S159" s="486"/>
      <c r="T159" s="486"/>
      <c r="U159" s="486"/>
      <c r="V159" s="486"/>
      <c r="W159" s="220"/>
      <c r="X159" s="220"/>
      <c r="Y159" s="220"/>
      <c r="Z159" s="220"/>
    </row>
    <row r="160" ht="15.75" customHeight="1">
      <c r="A160" s="486"/>
      <c r="B160" s="486"/>
      <c r="C160" s="486"/>
      <c r="D160" s="486"/>
      <c r="E160" s="486"/>
      <c r="F160" s="486"/>
      <c r="G160" s="487"/>
      <c r="H160" s="486"/>
      <c r="I160" s="486"/>
      <c r="J160" s="486"/>
      <c r="K160" s="486"/>
      <c r="L160" s="486"/>
      <c r="M160" s="486"/>
      <c r="N160" s="486"/>
      <c r="O160" s="486"/>
      <c r="P160" s="486"/>
      <c r="Q160" s="486"/>
      <c r="R160" s="486"/>
      <c r="S160" s="486"/>
      <c r="T160" s="486"/>
      <c r="U160" s="486"/>
      <c r="V160" s="486"/>
      <c r="W160" s="220"/>
      <c r="X160" s="220"/>
      <c r="Y160" s="220"/>
      <c r="Z160" s="220"/>
    </row>
    <row r="161" ht="15.75" customHeight="1">
      <c r="A161" s="486"/>
      <c r="B161" s="486"/>
      <c r="C161" s="486"/>
      <c r="D161" s="486"/>
      <c r="E161" s="486"/>
      <c r="F161" s="486"/>
      <c r="G161" s="487"/>
      <c r="H161" s="486"/>
      <c r="I161" s="486"/>
      <c r="J161" s="486"/>
      <c r="K161" s="486"/>
      <c r="L161" s="486"/>
      <c r="M161" s="486"/>
      <c r="N161" s="486"/>
      <c r="O161" s="486"/>
      <c r="P161" s="486"/>
      <c r="Q161" s="486"/>
      <c r="R161" s="486"/>
      <c r="S161" s="486"/>
      <c r="T161" s="486"/>
      <c r="U161" s="486"/>
      <c r="V161" s="486"/>
      <c r="W161" s="220"/>
      <c r="X161" s="220"/>
      <c r="Y161" s="220"/>
      <c r="Z161" s="220"/>
    </row>
    <row r="162" ht="15.75" customHeight="1">
      <c r="A162" s="486"/>
      <c r="B162" s="486"/>
      <c r="C162" s="486"/>
      <c r="D162" s="486"/>
      <c r="E162" s="486"/>
      <c r="F162" s="486"/>
      <c r="G162" s="487"/>
      <c r="H162" s="486"/>
      <c r="I162" s="486"/>
      <c r="J162" s="486"/>
      <c r="K162" s="486"/>
      <c r="L162" s="486"/>
      <c r="M162" s="486"/>
      <c r="N162" s="486"/>
      <c r="O162" s="486"/>
      <c r="P162" s="486"/>
      <c r="Q162" s="486"/>
      <c r="R162" s="486"/>
      <c r="S162" s="486"/>
      <c r="T162" s="486"/>
      <c r="U162" s="486"/>
      <c r="V162" s="486"/>
      <c r="W162" s="220"/>
      <c r="X162" s="220"/>
      <c r="Y162" s="220"/>
      <c r="Z162" s="220"/>
    </row>
    <row r="163" ht="15.75" customHeight="1">
      <c r="A163" s="486"/>
      <c r="B163" s="486"/>
      <c r="C163" s="486"/>
      <c r="D163" s="486"/>
      <c r="E163" s="486"/>
      <c r="F163" s="486"/>
      <c r="G163" s="487"/>
      <c r="H163" s="486"/>
      <c r="I163" s="486"/>
      <c r="J163" s="486"/>
      <c r="K163" s="486"/>
      <c r="L163" s="486"/>
      <c r="M163" s="486"/>
      <c r="N163" s="486"/>
      <c r="O163" s="486"/>
      <c r="P163" s="486"/>
      <c r="Q163" s="486"/>
      <c r="R163" s="486"/>
      <c r="S163" s="486"/>
      <c r="T163" s="486"/>
      <c r="U163" s="486"/>
      <c r="V163" s="486"/>
      <c r="W163" s="220"/>
      <c r="X163" s="220"/>
      <c r="Y163" s="220"/>
      <c r="Z163" s="220"/>
    </row>
    <row r="164" ht="15.75" customHeight="1">
      <c r="A164" s="486"/>
      <c r="B164" s="486"/>
      <c r="C164" s="486"/>
      <c r="D164" s="486"/>
      <c r="E164" s="486"/>
      <c r="F164" s="486"/>
      <c r="G164" s="487"/>
      <c r="H164" s="486"/>
      <c r="I164" s="486"/>
      <c r="J164" s="486"/>
      <c r="K164" s="486"/>
      <c r="L164" s="486"/>
      <c r="M164" s="486"/>
      <c r="N164" s="486"/>
      <c r="O164" s="486"/>
      <c r="P164" s="486"/>
      <c r="Q164" s="486"/>
      <c r="R164" s="486"/>
      <c r="S164" s="486"/>
      <c r="T164" s="486"/>
      <c r="U164" s="486"/>
      <c r="V164" s="486"/>
      <c r="W164" s="220"/>
      <c r="X164" s="220"/>
      <c r="Y164" s="220"/>
      <c r="Z164" s="220"/>
    </row>
    <row r="165" ht="15.75" customHeight="1">
      <c r="A165" s="486"/>
      <c r="B165" s="486"/>
      <c r="C165" s="486"/>
      <c r="D165" s="486"/>
      <c r="E165" s="486"/>
      <c r="F165" s="486"/>
      <c r="G165" s="487"/>
      <c r="H165" s="486"/>
      <c r="I165" s="486"/>
      <c r="J165" s="486"/>
      <c r="K165" s="486"/>
      <c r="L165" s="486"/>
      <c r="M165" s="486"/>
      <c r="N165" s="486"/>
      <c r="O165" s="486"/>
      <c r="P165" s="486"/>
      <c r="Q165" s="486"/>
      <c r="R165" s="486"/>
      <c r="S165" s="486"/>
      <c r="T165" s="486"/>
      <c r="U165" s="486"/>
      <c r="V165" s="486"/>
      <c r="W165" s="220"/>
      <c r="X165" s="220"/>
      <c r="Y165" s="220"/>
      <c r="Z165" s="220"/>
    </row>
    <row r="166" ht="15.75" customHeight="1">
      <c r="A166" s="486"/>
      <c r="B166" s="486"/>
      <c r="C166" s="486"/>
      <c r="D166" s="486"/>
      <c r="E166" s="486"/>
      <c r="F166" s="486"/>
      <c r="G166" s="487"/>
      <c r="H166" s="486"/>
      <c r="I166" s="486"/>
      <c r="J166" s="486"/>
      <c r="K166" s="486"/>
      <c r="L166" s="486"/>
      <c r="M166" s="486"/>
      <c r="N166" s="486"/>
      <c r="O166" s="486"/>
      <c r="P166" s="486"/>
      <c r="Q166" s="486"/>
      <c r="R166" s="486"/>
      <c r="S166" s="486"/>
      <c r="T166" s="486"/>
      <c r="U166" s="486"/>
      <c r="V166" s="486"/>
      <c r="W166" s="220"/>
      <c r="X166" s="220"/>
      <c r="Y166" s="220"/>
      <c r="Z166" s="220"/>
    </row>
    <row r="167" ht="15.75" customHeight="1">
      <c r="A167" s="486"/>
      <c r="B167" s="486"/>
      <c r="C167" s="486"/>
      <c r="D167" s="486"/>
      <c r="E167" s="486"/>
      <c r="F167" s="486"/>
      <c r="G167" s="487"/>
      <c r="H167" s="486"/>
      <c r="I167" s="486"/>
      <c r="J167" s="486"/>
      <c r="K167" s="486"/>
      <c r="L167" s="486"/>
      <c r="M167" s="486"/>
      <c r="N167" s="486"/>
      <c r="O167" s="486"/>
      <c r="P167" s="486"/>
      <c r="Q167" s="486"/>
      <c r="R167" s="486"/>
      <c r="S167" s="486"/>
      <c r="T167" s="486"/>
      <c r="U167" s="486"/>
      <c r="V167" s="486"/>
      <c r="W167" s="220"/>
      <c r="X167" s="220"/>
      <c r="Y167" s="220"/>
      <c r="Z167" s="220"/>
    </row>
    <row r="168" ht="15.75" customHeight="1">
      <c r="A168" s="486"/>
      <c r="B168" s="486"/>
      <c r="C168" s="486"/>
      <c r="D168" s="486"/>
      <c r="E168" s="486"/>
      <c r="F168" s="486"/>
      <c r="G168" s="487"/>
      <c r="H168" s="486"/>
      <c r="I168" s="486"/>
      <c r="J168" s="486"/>
      <c r="K168" s="486"/>
      <c r="L168" s="486"/>
      <c r="M168" s="486"/>
      <c r="N168" s="486"/>
      <c r="O168" s="486"/>
      <c r="P168" s="486"/>
      <c r="Q168" s="486"/>
      <c r="R168" s="486"/>
      <c r="S168" s="486"/>
      <c r="T168" s="486"/>
      <c r="U168" s="486"/>
      <c r="V168" s="486"/>
      <c r="W168" s="220"/>
      <c r="X168" s="220"/>
      <c r="Y168" s="220"/>
      <c r="Z168" s="220"/>
    </row>
    <row r="169" ht="15.75" customHeight="1">
      <c r="A169" s="486"/>
      <c r="B169" s="486"/>
      <c r="C169" s="486"/>
      <c r="D169" s="486"/>
      <c r="E169" s="486"/>
      <c r="F169" s="486"/>
      <c r="G169" s="487"/>
      <c r="H169" s="486"/>
      <c r="I169" s="486"/>
      <c r="J169" s="486"/>
      <c r="K169" s="486"/>
      <c r="L169" s="486"/>
      <c r="M169" s="486"/>
      <c r="N169" s="486"/>
      <c r="O169" s="486"/>
      <c r="P169" s="486"/>
      <c r="Q169" s="486"/>
      <c r="R169" s="486"/>
      <c r="S169" s="486"/>
      <c r="T169" s="486"/>
      <c r="U169" s="486"/>
      <c r="V169" s="486"/>
      <c r="W169" s="220"/>
      <c r="X169" s="220"/>
      <c r="Y169" s="220"/>
      <c r="Z169" s="220"/>
    </row>
    <row r="170" ht="15.75" customHeight="1">
      <c r="A170" s="486"/>
      <c r="B170" s="486"/>
      <c r="C170" s="486"/>
      <c r="D170" s="486"/>
      <c r="E170" s="486"/>
      <c r="F170" s="486"/>
      <c r="G170" s="487"/>
      <c r="H170" s="486"/>
      <c r="I170" s="486"/>
      <c r="J170" s="486"/>
      <c r="K170" s="486"/>
      <c r="L170" s="486"/>
      <c r="M170" s="486"/>
      <c r="N170" s="486"/>
      <c r="O170" s="486"/>
      <c r="P170" s="486"/>
      <c r="Q170" s="486"/>
      <c r="R170" s="486"/>
      <c r="S170" s="486"/>
      <c r="T170" s="486"/>
      <c r="U170" s="486"/>
      <c r="V170" s="486"/>
      <c r="W170" s="220"/>
      <c r="X170" s="220"/>
      <c r="Y170" s="220"/>
      <c r="Z170" s="220"/>
    </row>
    <row r="171" ht="15.75" customHeight="1">
      <c r="A171" s="486"/>
      <c r="B171" s="486"/>
      <c r="C171" s="486"/>
      <c r="D171" s="486"/>
      <c r="E171" s="486"/>
      <c r="F171" s="486"/>
      <c r="G171" s="487"/>
      <c r="H171" s="486"/>
      <c r="I171" s="486"/>
      <c r="J171" s="486"/>
      <c r="K171" s="486"/>
      <c r="L171" s="486"/>
      <c r="M171" s="486"/>
      <c r="N171" s="486"/>
      <c r="O171" s="486"/>
      <c r="P171" s="486"/>
      <c r="Q171" s="486"/>
      <c r="R171" s="486"/>
      <c r="S171" s="486"/>
      <c r="T171" s="486"/>
      <c r="U171" s="486"/>
      <c r="V171" s="486"/>
      <c r="W171" s="220"/>
      <c r="X171" s="220"/>
      <c r="Y171" s="220"/>
      <c r="Z171" s="220"/>
    </row>
    <row r="172" ht="15.75" customHeight="1">
      <c r="A172" s="486"/>
      <c r="B172" s="486"/>
      <c r="C172" s="486"/>
      <c r="D172" s="486"/>
      <c r="E172" s="486"/>
      <c r="F172" s="486"/>
      <c r="G172" s="487"/>
      <c r="H172" s="486"/>
      <c r="I172" s="486"/>
      <c r="J172" s="486"/>
      <c r="K172" s="486"/>
      <c r="L172" s="486"/>
      <c r="M172" s="486"/>
      <c r="N172" s="486"/>
      <c r="O172" s="486"/>
      <c r="P172" s="486"/>
      <c r="Q172" s="486"/>
      <c r="R172" s="486"/>
      <c r="S172" s="486"/>
      <c r="T172" s="486"/>
      <c r="U172" s="486"/>
      <c r="V172" s="486"/>
      <c r="W172" s="220"/>
      <c r="X172" s="220"/>
      <c r="Y172" s="220"/>
      <c r="Z172" s="220"/>
    </row>
    <row r="173" ht="15.75" customHeight="1">
      <c r="A173" s="486"/>
      <c r="B173" s="486"/>
      <c r="C173" s="486"/>
      <c r="D173" s="486"/>
      <c r="E173" s="486"/>
      <c r="F173" s="486"/>
      <c r="G173" s="487"/>
      <c r="H173" s="486"/>
      <c r="I173" s="486"/>
      <c r="J173" s="486"/>
      <c r="K173" s="486"/>
      <c r="L173" s="486"/>
      <c r="M173" s="486"/>
      <c r="N173" s="486"/>
      <c r="O173" s="486"/>
      <c r="P173" s="486"/>
      <c r="Q173" s="486"/>
      <c r="R173" s="486"/>
      <c r="S173" s="486"/>
      <c r="T173" s="486"/>
      <c r="U173" s="486"/>
      <c r="V173" s="486"/>
      <c r="W173" s="220"/>
      <c r="X173" s="220"/>
      <c r="Y173" s="220"/>
      <c r="Z173" s="220"/>
    </row>
    <row r="174" ht="15.75" customHeight="1">
      <c r="A174" s="486"/>
      <c r="B174" s="486"/>
      <c r="C174" s="486"/>
      <c r="D174" s="486"/>
      <c r="E174" s="486"/>
      <c r="F174" s="486"/>
      <c r="G174" s="487"/>
      <c r="H174" s="486"/>
      <c r="I174" s="486"/>
      <c r="J174" s="486"/>
      <c r="K174" s="486"/>
      <c r="L174" s="486"/>
      <c r="M174" s="486"/>
      <c r="N174" s="486"/>
      <c r="O174" s="486"/>
      <c r="P174" s="486"/>
      <c r="Q174" s="486"/>
      <c r="R174" s="486"/>
      <c r="S174" s="486"/>
      <c r="T174" s="486"/>
      <c r="U174" s="486"/>
      <c r="V174" s="486"/>
      <c r="W174" s="220"/>
      <c r="X174" s="220"/>
      <c r="Y174" s="220"/>
      <c r="Z174" s="220"/>
    </row>
    <row r="175" ht="15.75" customHeight="1">
      <c r="A175" s="486"/>
      <c r="B175" s="486"/>
      <c r="C175" s="486"/>
      <c r="D175" s="486"/>
      <c r="E175" s="486"/>
      <c r="F175" s="486"/>
      <c r="G175" s="487"/>
      <c r="H175" s="486"/>
      <c r="I175" s="486"/>
      <c r="J175" s="486"/>
      <c r="K175" s="486"/>
      <c r="L175" s="486"/>
      <c r="M175" s="486"/>
      <c r="N175" s="486"/>
      <c r="O175" s="486"/>
      <c r="P175" s="486"/>
      <c r="Q175" s="486"/>
      <c r="R175" s="486"/>
      <c r="S175" s="486"/>
      <c r="T175" s="486"/>
      <c r="U175" s="486"/>
      <c r="V175" s="486"/>
      <c r="W175" s="220"/>
      <c r="X175" s="220"/>
      <c r="Y175" s="220"/>
      <c r="Z175" s="220"/>
    </row>
    <row r="176" ht="15.75" customHeight="1">
      <c r="A176" s="486"/>
      <c r="B176" s="486"/>
      <c r="C176" s="486"/>
      <c r="D176" s="486"/>
      <c r="E176" s="486"/>
      <c r="F176" s="486"/>
      <c r="G176" s="487"/>
      <c r="H176" s="486"/>
      <c r="I176" s="486"/>
      <c r="J176" s="486"/>
      <c r="K176" s="486"/>
      <c r="L176" s="486"/>
      <c r="M176" s="486"/>
      <c r="N176" s="486"/>
      <c r="O176" s="486"/>
      <c r="P176" s="486"/>
      <c r="Q176" s="486"/>
      <c r="R176" s="486"/>
      <c r="S176" s="486"/>
      <c r="T176" s="486"/>
      <c r="U176" s="486"/>
      <c r="V176" s="486"/>
      <c r="W176" s="220"/>
      <c r="X176" s="220"/>
      <c r="Y176" s="220"/>
      <c r="Z176" s="220"/>
    </row>
    <row r="177" ht="15.75" customHeight="1">
      <c r="A177" s="486"/>
      <c r="B177" s="486"/>
      <c r="C177" s="486"/>
      <c r="D177" s="486"/>
      <c r="E177" s="486"/>
      <c r="F177" s="486"/>
      <c r="G177" s="487"/>
      <c r="H177" s="486"/>
      <c r="I177" s="486"/>
      <c r="J177" s="486"/>
      <c r="K177" s="486"/>
      <c r="L177" s="486"/>
      <c r="M177" s="486"/>
      <c r="N177" s="486"/>
      <c r="O177" s="486"/>
      <c r="P177" s="486"/>
      <c r="Q177" s="486"/>
      <c r="R177" s="486"/>
      <c r="S177" s="486"/>
      <c r="T177" s="486"/>
      <c r="U177" s="486"/>
      <c r="V177" s="486"/>
      <c r="W177" s="220"/>
      <c r="X177" s="220"/>
      <c r="Y177" s="220"/>
      <c r="Z177" s="220"/>
    </row>
    <row r="178" ht="15.75" customHeight="1">
      <c r="A178" s="486"/>
      <c r="B178" s="486"/>
      <c r="C178" s="486"/>
      <c r="D178" s="486"/>
      <c r="E178" s="486"/>
      <c r="F178" s="486"/>
      <c r="G178" s="487"/>
      <c r="H178" s="486"/>
      <c r="I178" s="486"/>
      <c r="J178" s="486"/>
      <c r="K178" s="486"/>
      <c r="L178" s="486"/>
      <c r="M178" s="486"/>
      <c r="N178" s="486"/>
      <c r="O178" s="486"/>
      <c r="P178" s="486"/>
      <c r="Q178" s="486"/>
      <c r="R178" s="486"/>
      <c r="S178" s="486"/>
      <c r="T178" s="486"/>
      <c r="U178" s="486"/>
      <c r="V178" s="486"/>
      <c r="W178" s="220"/>
      <c r="X178" s="220"/>
      <c r="Y178" s="220"/>
      <c r="Z178" s="220"/>
    </row>
    <row r="179" ht="15.75" customHeight="1">
      <c r="A179" s="486"/>
      <c r="B179" s="486"/>
      <c r="C179" s="486"/>
      <c r="D179" s="486"/>
      <c r="E179" s="486"/>
      <c r="F179" s="486"/>
      <c r="G179" s="487"/>
      <c r="H179" s="486"/>
      <c r="I179" s="486"/>
      <c r="J179" s="486"/>
      <c r="K179" s="486"/>
      <c r="L179" s="486"/>
      <c r="M179" s="486"/>
      <c r="N179" s="486"/>
      <c r="O179" s="486"/>
      <c r="P179" s="486"/>
      <c r="Q179" s="486"/>
      <c r="R179" s="486"/>
      <c r="S179" s="486"/>
      <c r="T179" s="486"/>
      <c r="U179" s="486"/>
      <c r="V179" s="486"/>
      <c r="W179" s="220"/>
      <c r="X179" s="220"/>
      <c r="Y179" s="220"/>
      <c r="Z179" s="220"/>
    </row>
    <row r="180" ht="15.75" customHeight="1">
      <c r="A180" s="486"/>
      <c r="B180" s="486"/>
      <c r="C180" s="486"/>
      <c r="D180" s="486"/>
      <c r="E180" s="486"/>
      <c r="F180" s="486"/>
      <c r="G180" s="487"/>
      <c r="H180" s="486"/>
      <c r="I180" s="486"/>
      <c r="J180" s="486"/>
      <c r="K180" s="486"/>
      <c r="L180" s="486"/>
      <c r="M180" s="486"/>
      <c r="N180" s="486"/>
      <c r="O180" s="486"/>
      <c r="P180" s="486"/>
      <c r="Q180" s="486"/>
      <c r="R180" s="486"/>
      <c r="S180" s="486"/>
      <c r="T180" s="486"/>
      <c r="U180" s="486"/>
      <c r="V180" s="486"/>
      <c r="W180" s="220"/>
      <c r="X180" s="220"/>
      <c r="Y180" s="220"/>
      <c r="Z180" s="220"/>
    </row>
    <row r="181" ht="15.75" customHeight="1">
      <c r="A181" s="486"/>
      <c r="B181" s="486"/>
      <c r="C181" s="486"/>
      <c r="D181" s="486"/>
      <c r="E181" s="486"/>
      <c r="F181" s="486"/>
      <c r="G181" s="487"/>
      <c r="H181" s="486"/>
      <c r="I181" s="486"/>
      <c r="J181" s="486"/>
      <c r="K181" s="486"/>
      <c r="L181" s="486"/>
      <c r="M181" s="486"/>
      <c r="N181" s="486"/>
      <c r="O181" s="486"/>
      <c r="P181" s="486"/>
      <c r="Q181" s="486"/>
      <c r="R181" s="486"/>
      <c r="S181" s="486"/>
      <c r="T181" s="486"/>
      <c r="U181" s="486"/>
      <c r="V181" s="486"/>
      <c r="W181" s="220"/>
      <c r="X181" s="220"/>
      <c r="Y181" s="220"/>
      <c r="Z181" s="220"/>
    </row>
    <row r="182" ht="15.75" customHeight="1">
      <c r="A182" s="486"/>
      <c r="B182" s="486"/>
      <c r="C182" s="486"/>
      <c r="D182" s="486"/>
      <c r="E182" s="486"/>
      <c r="F182" s="486"/>
      <c r="G182" s="487"/>
      <c r="H182" s="486"/>
      <c r="I182" s="486"/>
      <c r="J182" s="486"/>
      <c r="K182" s="486"/>
      <c r="L182" s="486"/>
      <c r="M182" s="486"/>
      <c r="N182" s="486"/>
      <c r="O182" s="486"/>
      <c r="P182" s="486"/>
      <c r="Q182" s="486"/>
      <c r="R182" s="486"/>
      <c r="S182" s="486"/>
      <c r="T182" s="486"/>
      <c r="U182" s="486"/>
      <c r="V182" s="486"/>
      <c r="W182" s="220"/>
      <c r="X182" s="220"/>
      <c r="Y182" s="220"/>
      <c r="Z182" s="220"/>
    </row>
    <row r="183" ht="15.75" customHeight="1">
      <c r="A183" s="486"/>
      <c r="B183" s="486"/>
      <c r="C183" s="486"/>
      <c r="D183" s="486"/>
      <c r="E183" s="486"/>
      <c r="F183" s="486"/>
      <c r="G183" s="487"/>
      <c r="H183" s="486"/>
      <c r="I183" s="486"/>
      <c r="J183" s="486"/>
      <c r="K183" s="486"/>
      <c r="L183" s="486"/>
      <c r="M183" s="486"/>
      <c r="N183" s="486"/>
      <c r="O183" s="486"/>
      <c r="P183" s="486"/>
      <c r="Q183" s="486"/>
      <c r="R183" s="486"/>
      <c r="S183" s="486"/>
      <c r="T183" s="486"/>
      <c r="U183" s="486"/>
      <c r="V183" s="486"/>
      <c r="W183" s="220"/>
      <c r="X183" s="220"/>
      <c r="Y183" s="220"/>
      <c r="Z183" s="220"/>
    </row>
    <row r="184" ht="15.75" customHeight="1">
      <c r="A184" s="486"/>
      <c r="B184" s="486"/>
      <c r="C184" s="486"/>
      <c r="D184" s="486"/>
      <c r="E184" s="486"/>
      <c r="F184" s="486"/>
      <c r="G184" s="487"/>
      <c r="H184" s="486"/>
      <c r="I184" s="486"/>
      <c r="J184" s="486"/>
      <c r="K184" s="486"/>
      <c r="L184" s="486"/>
      <c r="M184" s="486"/>
      <c r="N184" s="486"/>
      <c r="O184" s="486"/>
      <c r="P184" s="486"/>
      <c r="Q184" s="486"/>
      <c r="R184" s="486"/>
      <c r="S184" s="486"/>
      <c r="T184" s="486"/>
      <c r="U184" s="486"/>
      <c r="V184" s="486"/>
      <c r="W184" s="220"/>
      <c r="X184" s="220"/>
      <c r="Y184" s="220"/>
      <c r="Z184" s="220"/>
    </row>
    <row r="185" ht="15.75" customHeight="1">
      <c r="A185" s="486"/>
      <c r="B185" s="486"/>
      <c r="C185" s="486"/>
      <c r="D185" s="486"/>
      <c r="E185" s="486"/>
      <c r="F185" s="486"/>
      <c r="G185" s="487"/>
      <c r="H185" s="486"/>
      <c r="I185" s="486"/>
      <c r="J185" s="486"/>
      <c r="K185" s="486"/>
      <c r="L185" s="486"/>
      <c r="M185" s="486"/>
      <c r="N185" s="486"/>
      <c r="O185" s="486"/>
      <c r="P185" s="486"/>
      <c r="Q185" s="486"/>
      <c r="R185" s="486"/>
      <c r="S185" s="486"/>
      <c r="T185" s="486"/>
      <c r="U185" s="486"/>
      <c r="V185" s="486"/>
      <c r="W185" s="220"/>
      <c r="X185" s="220"/>
      <c r="Y185" s="220"/>
      <c r="Z185" s="220"/>
    </row>
    <row r="186" ht="15.75" customHeight="1">
      <c r="A186" s="486"/>
      <c r="B186" s="486"/>
      <c r="C186" s="486"/>
      <c r="D186" s="486"/>
      <c r="E186" s="486"/>
      <c r="F186" s="486"/>
      <c r="G186" s="487"/>
      <c r="H186" s="486"/>
      <c r="I186" s="486"/>
      <c r="J186" s="486"/>
      <c r="K186" s="486"/>
      <c r="L186" s="486"/>
      <c r="M186" s="486"/>
      <c r="N186" s="486"/>
      <c r="O186" s="486"/>
      <c r="P186" s="486"/>
      <c r="Q186" s="486"/>
      <c r="R186" s="486"/>
      <c r="S186" s="486"/>
      <c r="T186" s="486"/>
      <c r="U186" s="486"/>
      <c r="V186" s="486"/>
      <c r="W186" s="220"/>
      <c r="X186" s="220"/>
      <c r="Y186" s="220"/>
      <c r="Z186" s="220"/>
    </row>
    <row r="187" ht="15.75" customHeight="1">
      <c r="A187" s="486"/>
      <c r="B187" s="486"/>
      <c r="C187" s="486"/>
      <c r="D187" s="486"/>
      <c r="E187" s="486"/>
      <c r="F187" s="486"/>
      <c r="G187" s="487"/>
      <c r="H187" s="486"/>
      <c r="I187" s="486"/>
      <c r="J187" s="486"/>
      <c r="K187" s="486"/>
      <c r="L187" s="486"/>
      <c r="M187" s="486"/>
      <c r="N187" s="486"/>
      <c r="O187" s="486"/>
      <c r="P187" s="486"/>
      <c r="Q187" s="486"/>
      <c r="R187" s="486"/>
      <c r="S187" s="486"/>
      <c r="T187" s="486"/>
      <c r="U187" s="486"/>
      <c r="V187" s="486"/>
      <c r="W187" s="220"/>
      <c r="X187" s="220"/>
      <c r="Y187" s="220"/>
      <c r="Z187" s="220"/>
    </row>
    <row r="188" ht="15.75" customHeight="1">
      <c r="A188" s="486"/>
      <c r="B188" s="486"/>
      <c r="C188" s="486"/>
      <c r="D188" s="486"/>
      <c r="E188" s="486"/>
      <c r="F188" s="486"/>
      <c r="G188" s="487"/>
      <c r="H188" s="486"/>
      <c r="I188" s="486"/>
      <c r="J188" s="486"/>
      <c r="K188" s="486"/>
      <c r="L188" s="486"/>
      <c r="M188" s="486"/>
      <c r="N188" s="486"/>
      <c r="O188" s="486"/>
      <c r="P188" s="486"/>
      <c r="Q188" s="486"/>
      <c r="R188" s="486"/>
      <c r="S188" s="486"/>
      <c r="T188" s="486"/>
      <c r="U188" s="486"/>
      <c r="V188" s="486"/>
      <c r="W188" s="220"/>
      <c r="X188" s="220"/>
      <c r="Y188" s="220"/>
      <c r="Z188" s="220"/>
    </row>
    <row r="189" ht="15.75" customHeight="1">
      <c r="A189" s="486"/>
      <c r="B189" s="486"/>
      <c r="C189" s="486"/>
      <c r="D189" s="486"/>
      <c r="E189" s="486"/>
      <c r="F189" s="486"/>
      <c r="G189" s="487"/>
      <c r="H189" s="486"/>
      <c r="I189" s="486"/>
      <c r="J189" s="486"/>
      <c r="K189" s="486"/>
      <c r="L189" s="486"/>
      <c r="M189" s="486"/>
      <c r="N189" s="486"/>
      <c r="O189" s="486"/>
      <c r="P189" s="486"/>
      <c r="Q189" s="486"/>
      <c r="R189" s="486"/>
      <c r="S189" s="486"/>
      <c r="T189" s="486"/>
      <c r="U189" s="486"/>
      <c r="V189" s="486"/>
      <c r="W189" s="220"/>
      <c r="X189" s="220"/>
      <c r="Y189" s="220"/>
      <c r="Z189" s="220"/>
    </row>
    <row r="190" ht="15.75" customHeight="1">
      <c r="A190" s="486"/>
      <c r="B190" s="486"/>
      <c r="C190" s="486"/>
      <c r="D190" s="486"/>
      <c r="E190" s="486"/>
      <c r="F190" s="486"/>
      <c r="G190" s="487"/>
      <c r="H190" s="486"/>
      <c r="I190" s="486"/>
      <c r="J190" s="486"/>
      <c r="K190" s="486"/>
      <c r="L190" s="486"/>
      <c r="M190" s="486"/>
      <c r="N190" s="486"/>
      <c r="O190" s="486"/>
      <c r="P190" s="486"/>
      <c r="Q190" s="486"/>
      <c r="R190" s="486"/>
      <c r="S190" s="486"/>
      <c r="T190" s="486"/>
      <c r="U190" s="486"/>
      <c r="V190" s="486"/>
      <c r="W190" s="220"/>
      <c r="X190" s="220"/>
      <c r="Y190" s="220"/>
      <c r="Z190" s="220"/>
    </row>
    <row r="191" ht="15.75" customHeight="1">
      <c r="A191" s="486"/>
      <c r="B191" s="486"/>
      <c r="C191" s="486"/>
      <c r="D191" s="486"/>
      <c r="E191" s="486"/>
      <c r="F191" s="486"/>
      <c r="G191" s="487"/>
      <c r="H191" s="486"/>
      <c r="I191" s="486"/>
      <c r="J191" s="486"/>
      <c r="K191" s="486"/>
      <c r="L191" s="486"/>
      <c r="M191" s="486"/>
      <c r="N191" s="486"/>
      <c r="O191" s="486"/>
      <c r="P191" s="486"/>
      <c r="Q191" s="486"/>
      <c r="R191" s="486"/>
      <c r="S191" s="486"/>
      <c r="T191" s="486"/>
      <c r="U191" s="486"/>
      <c r="V191" s="486"/>
      <c r="W191" s="220"/>
      <c r="X191" s="220"/>
      <c r="Y191" s="220"/>
      <c r="Z191" s="220"/>
    </row>
    <row r="192" ht="15.75" customHeight="1">
      <c r="A192" s="486"/>
      <c r="B192" s="486"/>
      <c r="C192" s="486"/>
      <c r="D192" s="486"/>
      <c r="E192" s="486"/>
      <c r="F192" s="486"/>
      <c r="G192" s="487"/>
      <c r="H192" s="486"/>
      <c r="I192" s="486"/>
      <c r="J192" s="486"/>
      <c r="K192" s="486"/>
      <c r="L192" s="486"/>
      <c r="M192" s="486"/>
      <c r="N192" s="486"/>
      <c r="O192" s="486"/>
      <c r="P192" s="486"/>
      <c r="Q192" s="486"/>
      <c r="R192" s="486"/>
      <c r="S192" s="486"/>
      <c r="T192" s="486"/>
      <c r="U192" s="486"/>
      <c r="V192" s="486"/>
      <c r="W192" s="220"/>
      <c r="X192" s="220"/>
      <c r="Y192" s="220"/>
      <c r="Z192" s="220"/>
    </row>
    <row r="193" ht="15.75" customHeight="1">
      <c r="A193" s="486"/>
      <c r="B193" s="486"/>
      <c r="C193" s="486"/>
      <c r="D193" s="486"/>
      <c r="E193" s="486"/>
      <c r="F193" s="486"/>
      <c r="G193" s="487"/>
      <c r="H193" s="486"/>
      <c r="I193" s="486"/>
      <c r="J193" s="486"/>
      <c r="K193" s="486"/>
      <c r="L193" s="486"/>
      <c r="M193" s="486"/>
      <c r="N193" s="486"/>
      <c r="O193" s="486"/>
      <c r="P193" s="486"/>
      <c r="Q193" s="486"/>
      <c r="R193" s="486"/>
      <c r="S193" s="486"/>
      <c r="T193" s="486"/>
      <c r="U193" s="486"/>
      <c r="V193" s="486"/>
      <c r="W193" s="220"/>
      <c r="X193" s="220"/>
      <c r="Y193" s="220"/>
      <c r="Z193" s="220"/>
    </row>
    <row r="194" ht="15.75" customHeight="1">
      <c r="A194" s="486"/>
      <c r="B194" s="486"/>
      <c r="C194" s="486"/>
      <c r="D194" s="486"/>
      <c r="E194" s="486"/>
      <c r="F194" s="486"/>
      <c r="G194" s="487"/>
      <c r="H194" s="486"/>
      <c r="I194" s="486"/>
      <c r="J194" s="486"/>
      <c r="K194" s="486"/>
      <c r="L194" s="486"/>
      <c r="M194" s="486"/>
      <c r="N194" s="486"/>
      <c r="O194" s="486"/>
      <c r="P194" s="486"/>
      <c r="Q194" s="486"/>
      <c r="R194" s="486"/>
      <c r="S194" s="486"/>
      <c r="T194" s="486"/>
      <c r="U194" s="486"/>
      <c r="V194" s="486"/>
      <c r="W194" s="220"/>
      <c r="X194" s="220"/>
      <c r="Y194" s="220"/>
      <c r="Z194" s="220"/>
    </row>
    <row r="195" ht="15.75" customHeight="1">
      <c r="A195" s="486"/>
      <c r="B195" s="486"/>
      <c r="C195" s="486"/>
      <c r="D195" s="486"/>
      <c r="E195" s="486"/>
      <c r="F195" s="486"/>
      <c r="G195" s="487"/>
      <c r="H195" s="486"/>
      <c r="I195" s="486"/>
      <c r="J195" s="486"/>
      <c r="K195" s="486"/>
      <c r="L195" s="486"/>
      <c r="M195" s="486"/>
      <c r="N195" s="486"/>
      <c r="O195" s="486"/>
      <c r="P195" s="486"/>
      <c r="Q195" s="486"/>
      <c r="R195" s="486"/>
      <c r="S195" s="486"/>
      <c r="T195" s="486"/>
      <c r="U195" s="486"/>
      <c r="V195" s="486"/>
      <c r="W195" s="220"/>
      <c r="X195" s="220"/>
      <c r="Y195" s="220"/>
      <c r="Z195" s="220"/>
    </row>
    <row r="196" ht="15.75" customHeight="1">
      <c r="A196" s="486"/>
      <c r="B196" s="486"/>
      <c r="C196" s="486"/>
      <c r="D196" s="486"/>
      <c r="E196" s="486"/>
      <c r="F196" s="486"/>
      <c r="G196" s="487"/>
      <c r="H196" s="486"/>
      <c r="I196" s="486"/>
      <c r="J196" s="486"/>
      <c r="K196" s="486"/>
      <c r="L196" s="486"/>
      <c r="M196" s="486"/>
      <c r="N196" s="486"/>
      <c r="O196" s="486"/>
      <c r="P196" s="486"/>
      <c r="Q196" s="486"/>
      <c r="R196" s="486"/>
      <c r="S196" s="486"/>
      <c r="T196" s="486"/>
      <c r="U196" s="486"/>
      <c r="V196" s="486"/>
      <c r="W196" s="220"/>
      <c r="X196" s="220"/>
      <c r="Y196" s="220"/>
      <c r="Z196" s="220"/>
    </row>
    <row r="197" ht="15.75" customHeight="1">
      <c r="A197" s="486"/>
      <c r="B197" s="486"/>
      <c r="C197" s="486"/>
      <c r="D197" s="486"/>
      <c r="E197" s="486"/>
      <c r="F197" s="486"/>
      <c r="G197" s="487"/>
      <c r="H197" s="486"/>
      <c r="I197" s="486"/>
      <c r="J197" s="486"/>
      <c r="K197" s="486"/>
      <c r="L197" s="486"/>
      <c r="M197" s="486"/>
      <c r="N197" s="486"/>
      <c r="O197" s="486"/>
      <c r="P197" s="486"/>
      <c r="Q197" s="486"/>
      <c r="R197" s="486"/>
      <c r="S197" s="486"/>
      <c r="T197" s="486"/>
      <c r="U197" s="486"/>
      <c r="V197" s="486"/>
      <c r="W197" s="220"/>
      <c r="X197" s="220"/>
      <c r="Y197" s="220"/>
      <c r="Z197" s="220"/>
    </row>
    <row r="198" ht="15.75" customHeight="1">
      <c r="A198" s="486"/>
      <c r="B198" s="486"/>
      <c r="C198" s="486"/>
      <c r="D198" s="486"/>
      <c r="E198" s="486"/>
      <c r="F198" s="486"/>
      <c r="G198" s="487"/>
      <c r="H198" s="486"/>
      <c r="I198" s="486"/>
      <c r="J198" s="486"/>
      <c r="K198" s="486"/>
      <c r="L198" s="486"/>
      <c r="M198" s="486"/>
      <c r="N198" s="486"/>
      <c r="O198" s="486"/>
      <c r="P198" s="486"/>
      <c r="Q198" s="486"/>
      <c r="R198" s="486"/>
      <c r="S198" s="486"/>
      <c r="T198" s="486"/>
      <c r="U198" s="486"/>
      <c r="V198" s="486"/>
      <c r="W198" s="220"/>
      <c r="X198" s="220"/>
      <c r="Y198" s="220"/>
      <c r="Z198" s="220"/>
    </row>
    <row r="199" ht="15.75" customHeight="1">
      <c r="A199" s="486"/>
      <c r="B199" s="486"/>
      <c r="C199" s="486"/>
      <c r="D199" s="486"/>
      <c r="E199" s="486"/>
      <c r="F199" s="486"/>
      <c r="G199" s="487"/>
      <c r="H199" s="486"/>
      <c r="I199" s="486"/>
      <c r="J199" s="486"/>
      <c r="K199" s="486"/>
      <c r="L199" s="486"/>
      <c r="M199" s="486"/>
      <c r="N199" s="486"/>
      <c r="O199" s="486"/>
      <c r="P199" s="486"/>
      <c r="Q199" s="486"/>
      <c r="R199" s="486"/>
      <c r="S199" s="486"/>
      <c r="T199" s="486"/>
      <c r="U199" s="486"/>
      <c r="V199" s="486"/>
      <c r="W199" s="220"/>
      <c r="X199" s="220"/>
      <c r="Y199" s="220"/>
      <c r="Z199" s="220"/>
    </row>
    <row r="200" ht="15.75" customHeight="1">
      <c r="A200" s="486"/>
      <c r="B200" s="486"/>
      <c r="C200" s="486"/>
      <c r="D200" s="486"/>
      <c r="E200" s="486"/>
      <c r="F200" s="486"/>
      <c r="G200" s="487"/>
      <c r="H200" s="486"/>
      <c r="I200" s="486"/>
      <c r="J200" s="486"/>
      <c r="K200" s="486"/>
      <c r="L200" s="486"/>
      <c r="M200" s="486"/>
      <c r="N200" s="486"/>
      <c r="O200" s="486"/>
      <c r="P200" s="486"/>
      <c r="Q200" s="486"/>
      <c r="R200" s="486"/>
      <c r="S200" s="486"/>
      <c r="T200" s="486"/>
      <c r="U200" s="486"/>
      <c r="V200" s="486"/>
      <c r="W200" s="220"/>
      <c r="X200" s="220"/>
      <c r="Y200" s="220"/>
      <c r="Z200" s="220"/>
    </row>
    <row r="201" ht="15.75" customHeight="1">
      <c r="A201" s="486"/>
      <c r="B201" s="486"/>
      <c r="C201" s="486"/>
      <c r="D201" s="486"/>
      <c r="E201" s="486"/>
      <c r="F201" s="486"/>
      <c r="G201" s="487"/>
      <c r="H201" s="486"/>
      <c r="I201" s="486"/>
      <c r="J201" s="486"/>
      <c r="K201" s="486"/>
      <c r="L201" s="486"/>
      <c r="M201" s="486"/>
      <c r="N201" s="486"/>
      <c r="O201" s="486"/>
      <c r="P201" s="486"/>
      <c r="Q201" s="486"/>
      <c r="R201" s="486"/>
      <c r="S201" s="486"/>
      <c r="T201" s="486"/>
      <c r="U201" s="486"/>
      <c r="V201" s="486"/>
      <c r="W201" s="220"/>
      <c r="X201" s="220"/>
      <c r="Y201" s="220"/>
      <c r="Z201" s="220"/>
    </row>
    <row r="202" ht="15.75" customHeight="1">
      <c r="A202" s="486"/>
      <c r="B202" s="486"/>
      <c r="C202" s="486"/>
      <c r="D202" s="486"/>
      <c r="E202" s="486"/>
      <c r="F202" s="486"/>
      <c r="G202" s="487"/>
      <c r="H202" s="486"/>
      <c r="I202" s="486"/>
      <c r="J202" s="486"/>
      <c r="K202" s="486"/>
      <c r="L202" s="486"/>
      <c r="M202" s="486"/>
      <c r="N202" s="486"/>
      <c r="O202" s="486"/>
      <c r="P202" s="486"/>
      <c r="Q202" s="486"/>
      <c r="R202" s="486"/>
      <c r="S202" s="486"/>
      <c r="T202" s="486"/>
      <c r="U202" s="486"/>
      <c r="V202" s="486"/>
      <c r="W202" s="220"/>
      <c r="X202" s="220"/>
      <c r="Y202" s="220"/>
      <c r="Z202" s="220"/>
    </row>
    <row r="203" ht="15.75" customHeight="1">
      <c r="A203" s="486"/>
      <c r="B203" s="486"/>
      <c r="C203" s="486"/>
      <c r="D203" s="486"/>
      <c r="E203" s="486"/>
      <c r="F203" s="486"/>
      <c r="G203" s="487"/>
      <c r="H203" s="486"/>
      <c r="I203" s="486"/>
      <c r="J203" s="486"/>
      <c r="K203" s="486"/>
      <c r="L203" s="486"/>
      <c r="M203" s="486"/>
      <c r="N203" s="486"/>
      <c r="O203" s="486"/>
      <c r="P203" s="486"/>
      <c r="Q203" s="486"/>
      <c r="R203" s="486"/>
      <c r="S203" s="486"/>
      <c r="T203" s="486"/>
      <c r="U203" s="486"/>
      <c r="V203" s="486"/>
      <c r="W203" s="220"/>
      <c r="X203" s="220"/>
      <c r="Y203" s="220"/>
      <c r="Z203" s="220"/>
    </row>
    <row r="204" ht="15.75" customHeight="1">
      <c r="A204" s="486"/>
      <c r="B204" s="486"/>
      <c r="C204" s="486"/>
      <c r="D204" s="486"/>
      <c r="E204" s="486"/>
      <c r="F204" s="486"/>
      <c r="G204" s="487"/>
      <c r="H204" s="486"/>
      <c r="I204" s="486"/>
      <c r="J204" s="486"/>
      <c r="K204" s="486"/>
      <c r="L204" s="486"/>
      <c r="M204" s="486"/>
      <c r="N204" s="486"/>
      <c r="O204" s="486"/>
      <c r="P204" s="486"/>
      <c r="Q204" s="486"/>
      <c r="R204" s="486"/>
      <c r="S204" s="486"/>
      <c r="T204" s="486"/>
      <c r="U204" s="486"/>
      <c r="V204" s="486"/>
      <c r="W204" s="220"/>
      <c r="X204" s="220"/>
      <c r="Y204" s="220"/>
      <c r="Z204" s="220"/>
    </row>
    <row r="205" ht="15.75" customHeight="1">
      <c r="A205" s="486"/>
      <c r="B205" s="486"/>
      <c r="C205" s="486"/>
      <c r="D205" s="486"/>
      <c r="E205" s="486"/>
      <c r="F205" s="486"/>
      <c r="G205" s="487"/>
      <c r="H205" s="486"/>
      <c r="I205" s="486"/>
      <c r="J205" s="486"/>
      <c r="K205" s="486"/>
      <c r="L205" s="486"/>
      <c r="M205" s="486"/>
      <c r="N205" s="486"/>
      <c r="O205" s="486"/>
      <c r="P205" s="486"/>
      <c r="Q205" s="486"/>
      <c r="R205" s="486"/>
      <c r="S205" s="486"/>
      <c r="T205" s="486"/>
      <c r="U205" s="486"/>
      <c r="V205" s="486"/>
      <c r="W205" s="220"/>
      <c r="X205" s="220"/>
      <c r="Y205" s="220"/>
      <c r="Z205" s="220"/>
    </row>
    <row r="206" ht="15.75" customHeight="1">
      <c r="A206" s="486"/>
      <c r="B206" s="486"/>
      <c r="C206" s="486"/>
      <c r="D206" s="486"/>
      <c r="E206" s="486"/>
      <c r="F206" s="486"/>
      <c r="G206" s="487"/>
      <c r="H206" s="486"/>
      <c r="I206" s="486"/>
      <c r="J206" s="486"/>
      <c r="K206" s="486"/>
      <c r="L206" s="486"/>
      <c r="M206" s="486"/>
      <c r="N206" s="486"/>
      <c r="O206" s="486"/>
      <c r="P206" s="486"/>
      <c r="Q206" s="486"/>
      <c r="R206" s="486"/>
      <c r="S206" s="486"/>
      <c r="T206" s="486"/>
      <c r="U206" s="486"/>
      <c r="V206" s="486"/>
      <c r="W206" s="220"/>
      <c r="X206" s="220"/>
      <c r="Y206" s="220"/>
      <c r="Z206" s="220"/>
    </row>
    <row r="207" ht="15.75" customHeight="1">
      <c r="A207" s="486"/>
      <c r="B207" s="486"/>
      <c r="C207" s="486"/>
      <c r="D207" s="486"/>
      <c r="E207" s="486"/>
      <c r="F207" s="486"/>
      <c r="G207" s="487"/>
      <c r="H207" s="486"/>
      <c r="I207" s="486"/>
      <c r="J207" s="486"/>
      <c r="K207" s="486"/>
      <c r="L207" s="486"/>
      <c r="M207" s="486"/>
      <c r="N207" s="486"/>
      <c r="O207" s="486"/>
      <c r="P207" s="486"/>
      <c r="Q207" s="486"/>
      <c r="R207" s="486"/>
      <c r="S207" s="486"/>
      <c r="T207" s="486"/>
      <c r="U207" s="486"/>
      <c r="V207" s="486"/>
      <c r="W207" s="220"/>
      <c r="X207" s="220"/>
      <c r="Y207" s="220"/>
      <c r="Z207" s="220"/>
    </row>
    <row r="208" ht="15.75" customHeight="1">
      <c r="A208" s="486"/>
      <c r="B208" s="486"/>
      <c r="C208" s="486"/>
      <c r="D208" s="486"/>
      <c r="E208" s="486"/>
      <c r="F208" s="486"/>
      <c r="G208" s="487"/>
      <c r="H208" s="486"/>
      <c r="I208" s="486"/>
      <c r="J208" s="486"/>
      <c r="K208" s="486"/>
      <c r="L208" s="486"/>
      <c r="M208" s="486"/>
      <c r="N208" s="486"/>
      <c r="O208" s="486"/>
      <c r="P208" s="486"/>
      <c r="Q208" s="486"/>
      <c r="R208" s="486"/>
      <c r="S208" s="486"/>
      <c r="T208" s="486"/>
      <c r="U208" s="486"/>
      <c r="V208" s="486"/>
      <c r="W208" s="220"/>
      <c r="X208" s="220"/>
      <c r="Y208" s="220"/>
      <c r="Z208" s="220"/>
    </row>
    <row r="209" ht="15.75" customHeight="1">
      <c r="A209" s="486"/>
      <c r="B209" s="486"/>
      <c r="C209" s="486"/>
      <c r="D209" s="486"/>
      <c r="E209" s="486"/>
      <c r="F209" s="486"/>
      <c r="G209" s="487"/>
      <c r="H209" s="486"/>
      <c r="I209" s="486"/>
      <c r="J209" s="486"/>
      <c r="K209" s="486"/>
      <c r="L209" s="486"/>
      <c r="M209" s="486"/>
      <c r="N209" s="486"/>
      <c r="O209" s="486"/>
      <c r="P209" s="486"/>
      <c r="Q209" s="486"/>
      <c r="R209" s="486"/>
      <c r="S209" s="486"/>
      <c r="T209" s="486"/>
      <c r="U209" s="486"/>
      <c r="V209" s="486"/>
      <c r="W209" s="220"/>
      <c r="X209" s="220"/>
      <c r="Y209" s="220"/>
      <c r="Z209" s="220"/>
    </row>
    <row r="210" ht="15.75" customHeight="1">
      <c r="A210" s="486"/>
      <c r="B210" s="486"/>
      <c r="C210" s="486"/>
      <c r="D210" s="486"/>
      <c r="E210" s="486"/>
      <c r="F210" s="486"/>
      <c r="G210" s="487"/>
      <c r="H210" s="486"/>
      <c r="I210" s="486"/>
      <c r="J210" s="486"/>
      <c r="K210" s="486"/>
      <c r="L210" s="486"/>
      <c r="M210" s="486"/>
      <c r="N210" s="486"/>
      <c r="O210" s="486"/>
      <c r="P210" s="486"/>
      <c r="Q210" s="486"/>
      <c r="R210" s="486"/>
      <c r="S210" s="486"/>
      <c r="T210" s="486"/>
      <c r="U210" s="486"/>
      <c r="V210" s="486"/>
      <c r="W210" s="220"/>
      <c r="X210" s="220"/>
      <c r="Y210" s="220"/>
      <c r="Z210" s="220"/>
    </row>
    <row r="211" ht="15.75" customHeight="1">
      <c r="A211" s="486"/>
      <c r="B211" s="486"/>
      <c r="C211" s="486"/>
      <c r="D211" s="486"/>
      <c r="E211" s="486"/>
      <c r="F211" s="486"/>
      <c r="G211" s="487"/>
      <c r="H211" s="486"/>
      <c r="I211" s="486"/>
      <c r="J211" s="486"/>
      <c r="K211" s="486"/>
      <c r="L211" s="486"/>
      <c r="M211" s="486"/>
      <c r="N211" s="486"/>
      <c r="O211" s="486"/>
      <c r="P211" s="486"/>
      <c r="Q211" s="486"/>
      <c r="R211" s="486"/>
      <c r="S211" s="486"/>
      <c r="T211" s="486"/>
      <c r="U211" s="486"/>
      <c r="V211" s="486"/>
      <c r="W211" s="220"/>
      <c r="X211" s="220"/>
      <c r="Y211" s="220"/>
      <c r="Z211" s="220"/>
    </row>
    <row r="212" ht="15.75" customHeight="1">
      <c r="A212" s="486"/>
      <c r="B212" s="486"/>
      <c r="C212" s="486"/>
      <c r="D212" s="486"/>
      <c r="E212" s="486"/>
      <c r="F212" s="486"/>
      <c r="G212" s="487"/>
      <c r="H212" s="486"/>
      <c r="I212" s="486"/>
      <c r="J212" s="486"/>
      <c r="K212" s="486"/>
      <c r="L212" s="486"/>
      <c r="M212" s="486"/>
      <c r="N212" s="486"/>
      <c r="O212" s="486"/>
      <c r="P212" s="486"/>
      <c r="Q212" s="486"/>
      <c r="R212" s="486"/>
      <c r="S212" s="486"/>
      <c r="T212" s="486"/>
      <c r="U212" s="486"/>
      <c r="V212" s="486"/>
      <c r="W212" s="220"/>
      <c r="X212" s="220"/>
      <c r="Y212" s="220"/>
      <c r="Z212" s="220"/>
    </row>
    <row r="213" ht="15.75" customHeight="1">
      <c r="A213" s="486"/>
      <c r="B213" s="486"/>
      <c r="C213" s="486"/>
      <c r="D213" s="486"/>
      <c r="E213" s="486"/>
      <c r="F213" s="486"/>
      <c r="G213" s="487"/>
      <c r="H213" s="486"/>
      <c r="I213" s="486"/>
      <c r="J213" s="486"/>
      <c r="K213" s="486"/>
      <c r="L213" s="486"/>
      <c r="M213" s="486"/>
      <c r="N213" s="486"/>
      <c r="O213" s="486"/>
      <c r="P213" s="486"/>
      <c r="Q213" s="486"/>
      <c r="R213" s="486"/>
      <c r="S213" s="486"/>
      <c r="T213" s="486"/>
      <c r="U213" s="486"/>
      <c r="V213" s="486"/>
      <c r="W213" s="220"/>
      <c r="X213" s="220"/>
      <c r="Y213" s="220"/>
      <c r="Z213" s="220"/>
    </row>
    <row r="214" ht="15.75" customHeight="1">
      <c r="A214" s="486"/>
      <c r="B214" s="486"/>
      <c r="C214" s="486"/>
      <c r="D214" s="486"/>
      <c r="E214" s="486"/>
      <c r="F214" s="486"/>
      <c r="G214" s="487"/>
      <c r="H214" s="486"/>
      <c r="I214" s="486"/>
      <c r="J214" s="486"/>
      <c r="K214" s="486"/>
      <c r="L214" s="486"/>
      <c r="M214" s="486"/>
      <c r="N214" s="486"/>
      <c r="O214" s="486"/>
      <c r="P214" s="486"/>
      <c r="Q214" s="486"/>
      <c r="R214" s="486"/>
      <c r="S214" s="486"/>
      <c r="T214" s="486"/>
      <c r="U214" s="486"/>
      <c r="V214" s="486"/>
      <c r="W214" s="220"/>
      <c r="X214" s="220"/>
      <c r="Y214" s="220"/>
      <c r="Z214" s="220"/>
    </row>
    <row r="215" ht="15.75" customHeight="1">
      <c r="A215" s="486"/>
      <c r="B215" s="486"/>
      <c r="C215" s="486"/>
      <c r="D215" s="486"/>
      <c r="E215" s="486"/>
      <c r="F215" s="486"/>
      <c r="G215" s="487"/>
      <c r="H215" s="486"/>
      <c r="I215" s="486"/>
      <c r="J215" s="486"/>
      <c r="K215" s="486"/>
      <c r="L215" s="486"/>
      <c r="M215" s="486"/>
      <c r="N215" s="486"/>
      <c r="O215" s="486"/>
      <c r="P215" s="486"/>
      <c r="Q215" s="486"/>
      <c r="R215" s="486"/>
      <c r="S215" s="486"/>
      <c r="T215" s="486"/>
      <c r="U215" s="486"/>
      <c r="V215" s="486"/>
      <c r="W215" s="220"/>
      <c r="X215" s="220"/>
      <c r="Y215" s="220"/>
      <c r="Z215" s="220"/>
    </row>
    <row r="216" ht="15.75" customHeight="1">
      <c r="A216" s="486"/>
      <c r="B216" s="486"/>
      <c r="C216" s="486"/>
      <c r="D216" s="486"/>
      <c r="E216" s="486"/>
      <c r="F216" s="486"/>
      <c r="G216" s="487"/>
      <c r="H216" s="486"/>
      <c r="I216" s="486"/>
      <c r="J216" s="486"/>
      <c r="K216" s="486"/>
      <c r="L216" s="486"/>
      <c r="M216" s="486"/>
      <c r="N216" s="486"/>
      <c r="O216" s="486"/>
      <c r="P216" s="486"/>
      <c r="Q216" s="486"/>
      <c r="R216" s="486"/>
      <c r="S216" s="486"/>
      <c r="T216" s="486"/>
      <c r="U216" s="486"/>
      <c r="V216" s="486"/>
      <c r="W216" s="220"/>
      <c r="X216" s="220"/>
      <c r="Y216" s="220"/>
      <c r="Z216" s="220"/>
    </row>
    <row r="217" ht="15.75" customHeight="1">
      <c r="A217" s="486"/>
      <c r="B217" s="486"/>
      <c r="C217" s="486"/>
      <c r="D217" s="486"/>
      <c r="E217" s="486"/>
      <c r="F217" s="486"/>
      <c r="G217" s="487"/>
      <c r="H217" s="486"/>
      <c r="I217" s="486"/>
      <c r="J217" s="486"/>
      <c r="K217" s="486"/>
      <c r="L217" s="486"/>
      <c r="M217" s="486"/>
      <c r="N217" s="486"/>
      <c r="O217" s="486"/>
      <c r="P217" s="486"/>
      <c r="Q217" s="486"/>
      <c r="R217" s="486"/>
      <c r="S217" s="486"/>
      <c r="T217" s="486"/>
      <c r="U217" s="486"/>
      <c r="V217" s="486"/>
      <c r="W217" s="220"/>
      <c r="X217" s="220"/>
      <c r="Y217" s="220"/>
      <c r="Z217" s="220"/>
    </row>
    <row r="218" ht="15.75" customHeight="1">
      <c r="A218" s="486"/>
      <c r="B218" s="486"/>
      <c r="C218" s="486"/>
      <c r="D218" s="486"/>
      <c r="E218" s="486"/>
      <c r="F218" s="486"/>
      <c r="G218" s="487"/>
      <c r="H218" s="486"/>
      <c r="I218" s="486"/>
      <c r="J218" s="486"/>
      <c r="K218" s="486"/>
      <c r="L218" s="486"/>
      <c r="M218" s="486"/>
      <c r="N218" s="486"/>
      <c r="O218" s="486"/>
      <c r="P218" s="486"/>
      <c r="Q218" s="486"/>
      <c r="R218" s="486"/>
      <c r="S218" s="486"/>
      <c r="T218" s="486"/>
      <c r="U218" s="486"/>
      <c r="V218" s="486"/>
      <c r="W218" s="220"/>
      <c r="X218" s="220"/>
      <c r="Y218" s="220"/>
      <c r="Z218" s="220"/>
    </row>
    <row r="219" ht="15.75" customHeight="1">
      <c r="A219" s="486"/>
      <c r="B219" s="486"/>
      <c r="C219" s="486"/>
      <c r="D219" s="486"/>
      <c r="E219" s="486"/>
      <c r="F219" s="486"/>
      <c r="G219" s="487"/>
      <c r="H219" s="486"/>
      <c r="I219" s="486"/>
      <c r="J219" s="486"/>
      <c r="K219" s="486"/>
      <c r="L219" s="486"/>
      <c r="M219" s="486"/>
      <c r="N219" s="486"/>
      <c r="O219" s="486"/>
      <c r="P219" s="486"/>
      <c r="Q219" s="486"/>
      <c r="R219" s="486"/>
      <c r="S219" s="486"/>
      <c r="T219" s="486"/>
      <c r="U219" s="486"/>
      <c r="V219" s="486"/>
      <c r="W219" s="220"/>
      <c r="X219" s="220"/>
      <c r="Y219" s="220"/>
      <c r="Z219" s="220"/>
    </row>
    <row r="220" ht="15.75" customHeight="1">
      <c r="A220" s="486"/>
      <c r="B220" s="486"/>
      <c r="C220" s="486"/>
      <c r="D220" s="486"/>
      <c r="E220" s="486"/>
      <c r="F220" s="486"/>
      <c r="G220" s="487"/>
      <c r="H220" s="486"/>
      <c r="I220" s="486"/>
      <c r="J220" s="486"/>
      <c r="K220" s="486"/>
      <c r="L220" s="486"/>
      <c r="M220" s="486"/>
      <c r="N220" s="486"/>
      <c r="O220" s="486"/>
      <c r="P220" s="486"/>
      <c r="Q220" s="486"/>
      <c r="R220" s="486"/>
      <c r="S220" s="486"/>
      <c r="T220" s="486"/>
      <c r="U220" s="486"/>
      <c r="V220" s="486"/>
      <c r="W220" s="220"/>
      <c r="X220" s="220"/>
      <c r="Y220" s="220"/>
      <c r="Z220" s="220"/>
    </row>
    <row r="221" ht="15.75" customHeight="1">
      <c r="A221" s="486"/>
      <c r="B221" s="486"/>
      <c r="C221" s="486"/>
      <c r="D221" s="486"/>
      <c r="E221" s="486"/>
      <c r="F221" s="486"/>
      <c r="G221" s="487"/>
      <c r="H221" s="486"/>
      <c r="I221" s="486"/>
      <c r="J221" s="486"/>
      <c r="K221" s="486"/>
      <c r="L221" s="486"/>
      <c r="M221" s="486"/>
      <c r="N221" s="486"/>
      <c r="O221" s="486"/>
      <c r="P221" s="486"/>
      <c r="Q221" s="486"/>
      <c r="R221" s="486"/>
      <c r="S221" s="486"/>
      <c r="T221" s="486"/>
      <c r="U221" s="486"/>
      <c r="V221" s="486"/>
      <c r="W221" s="220"/>
      <c r="X221" s="220"/>
      <c r="Y221" s="220"/>
      <c r="Z221" s="220"/>
    </row>
    <row r="222" ht="15.75" customHeight="1">
      <c r="A222" s="486"/>
      <c r="B222" s="486"/>
      <c r="C222" s="486"/>
      <c r="D222" s="486"/>
      <c r="E222" s="486"/>
      <c r="F222" s="486"/>
      <c r="G222" s="487"/>
      <c r="H222" s="486"/>
      <c r="I222" s="486"/>
      <c r="J222" s="486"/>
      <c r="K222" s="486"/>
      <c r="L222" s="486"/>
      <c r="M222" s="486"/>
      <c r="N222" s="486"/>
      <c r="O222" s="486"/>
      <c r="P222" s="486"/>
      <c r="Q222" s="486"/>
      <c r="R222" s="486"/>
      <c r="S222" s="486"/>
      <c r="T222" s="486"/>
      <c r="U222" s="486"/>
      <c r="V222" s="486"/>
      <c r="W222" s="220"/>
      <c r="X222" s="220"/>
      <c r="Y222" s="220"/>
      <c r="Z222" s="220"/>
    </row>
    <row r="223" ht="15.75" customHeight="1">
      <c r="A223" s="486"/>
      <c r="B223" s="486"/>
      <c r="C223" s="486"/>
      <c r="D223" s="486"/>
      <c r="E223" s="486"/>
      <c r="F223" s="486"/>
      <c r="G223" s="487"/>
      <c r="H223" s="486"/>
      <c r="I223" s="486"/>
      <c r="J223" s="486"/>
      <c r="K223" s="486"/>
      <c r="L223" s="486"/>
      <c r="M223" s="486"/>
      <c r="N223" s="486"/>
      <c r="O223" s="486"/>
      <c r="P223" s="486"/>
      <c r="Q223" s="486"/>
      <c r="R223" s="486"/>
      <c r="S223" s="486"/>
      <c r="T223" s="486"/>
      <c r="U223" s="486"/>
      <c r="V223" s="486"/>
      <c r="W223" s="220"/>
      <c r="X223" s="220"/>
      <c r="Y223" s="220"/>
      <c r="Z223" s="220"/>
    </row>
    <row r="224" ht="15.75" customHeight="1">
      <c r="A224" s="486"/>
      <c r="B224" s="486"/>
      <c r="C224" s="486"/>
      <c r="D224" s="486"/>
      <c r="E224" s="486"/>
      <c r="F224" s="486"/>
      <c r="G224" s="487"/>
      <c r="H224" s="486"/>
      <c r="I224" s="486"/>
      <c r="J224" s="486"/>
      <c r="K224" s="486"/>
      <c r="L224" s="486"/>
      <c r="M224" s="486"/>
      <c r="N224" s="486"/>
      <c r="O224" s="486"/>
      <c r="P224" s="486"/>
      <c r="Q224" s="486"/>
      <c r="R224" s="486"/>
      <c r="S224" s="486"/>
      <c r="T224" s="486"/>
      <c r="U224" s="486"/>
      <c r="V224" s="486"/>
      <c r="W224" s="220"/>
      <c r="X224" s="220"/>
      <c r="Y224" s="220"/>
      <c r="Z224" s="220"/>
    </row>
    <row r="225" ht="15.75" customHeight="1">
      <c r="A225" s="486"/>
      <c r="B225" s="486"/>
      <c r="C225" s="486"/>
      <c r="D225" s="486"/>
      <c r="E225" s="486"/>
      <c r="F225" s="486"/>
      <c r="G225" s="487"/>
      <c r="H225" s="486"/>
      <c r="I225" s="486"/>
      <c r="J225" s="486"/>
      <c r="K225" s="486"/>
      <c r="L225" s="486"/>
      <c r="M225" s="486"/>
      <c r="N225" s="486"/>
      <c r="O225" s="486"/>
      <c r="P225" s="486"/>
      <c r="Q225" s="486"/>
      <c r="R225" s="486"/>
      <c r="S225" s="486"/>
      <c r="T225" s="486"/>
      <c r="U225" s="486"/>
      <c r="V225" s="486"/>
      <c r="W225" s="220"/>
      <c r="X225" s="220"/>
      <c r="Y225" s="220"/>
      <c r="Z225" s="220"/>
    </row>
    <row r="226" ht="15.75" customHeight="1">
      <c r="A226" s="486"/>
      <c r="B226" s="486"/>
      <c r="C226" s="486"/>
      <c r="D226" s="486"/>
      <c r="E226" s="486"/>
      <c r="F226" s="486"/>
      <c r="G226" s="487"/>
      <c r="H226" s="486"/>
      <c r="I226" s="486"/>
      <c r="J226" s="486"/>
      <c r="K226" s="486"/>
      <c r="L226" s="486"/>
      <c r="M226" s="486"/>
      <c r="N226" s="486"/>
      <c r="O226" s="486"/>
      <c r="P226" s="486"/>
      <c r="Q226" s="486"/>
      <c r="R226" s="486"/>
      <c r="S226" s="486"/>
      <c r="T226" s="486"/>
      <c r="U226" s="486"/>
      <c r="V226" s="486"/>
      <c r="W226" s="220"/>
      <c r="X226" s="220"/>
      <c r="Y226" s="220"/>
      <c r="Z226" s="220"/>
    </row>
    <row r="227" ht="15.75" customHeight="1">
      <c r="A227" s="486"/>
      <c r="B227" s="486"/>
      <c r="C227" s="486"/>
      <c r="D227" s="486"/>
      <c r="E227" s="486"/>
      <c r="F227" s="486"/>
      <c r="G227" s="487"/>
      <c r="H227" s="486"/>
      <c r="I227" s="486"/>
      <c r="J227" s="486"/>
      <c r="K227" s="486"/>
      <c r="L227" s="486"/>
      <c r="M227" s="486"/>
      <c r="N227" s="486"/>
      <c r="O227" s="486"/>
      <c r="P227" s="486"/>
      <c r="Q227" s="486"/>
      <c r="R227" s="486"/>
      <c r="S227" s="486"/>
      <c r="T227" s="486"/>
      <c r="U227" s="486"/>
      <c r="V227" s="486"/>
      <c r="W227" s="220"/>
      <c r="X227" s="220"/>
      <c r="Y227" s="220"/>
      <c r="Z227" s="220"/>
    </row>
    <row r="228" ht="15.75" customHeight="1">
      <c r="A228" s="486"/>
      <c r="B228" s="486"/>
      <c r="C228" s="486"/>
      <c r="D228" s="486"/>
      <c r="E228" s="486"/>
      <c r="F228" s="486"/>
      <c r="G228" s="487"/>
      <c r="H228" s="486"/>
      <c r="I228" s="486"/>
      <c r="J228" s="486"/>
      <c r="K228" s="486"/>
      <c r="L228" s="486"/>
      <c r="M228" s="486"/>
      <c r="N228" s="486"/>
      <c r="O228" s="486"/>
      <c r="P228" s="486"/>
      <c r="Q228" s="486"/>
      <c r="R228" s="486"/>
      <c r="S228" s="486"/>
      <c r="T228" s="486"/>
      <c r="U228" s="486"/>
      <c r="V228" s="486"/>
      <c r="W228" s="220"/>
      <c r="X228" s="220"/>
      <c r="Y228" s="220"/>
      <c r="Z228" s="220"/>
    </row>
    <row r="229" ht="15.75" customHeight="1">
      <c r="A229" s="486"/>
      <c r="B229" s="486"/>
      <c r="C229" s="486"/>
      <c r="D229" s="486"/>
      <c r="E229" s="486"/>
      <c r="F229" s="486"/>
      <c r="G229" s="487"/>
      <c r="H229" s="486"/>
      <c r="I229" s="486"/>
      <c r="J229" s="486"/>
      <c r="K229" s="486"/>
      <c r="L229" s="486"/>
      <c r="M229" s="486"/>
      <c r="N229" s="486"/>
      <c r="O229" s="486"/>
      <c r="P229" s="486"/>
      <c r="Q229" s="486"/>
      <c r="R229" s="486"/>
      <c r="S229" s="486"/>
      <c r="T229" s="486"/>
      <c r="U229" s="486"/>
      <c r="V229" s="486"/>
      <c r="W229" s="220"/>
      <c r="X229" s="220"/>
      <c r="Y229" s="220"/>
      <c r="Z229" s="220"/>
    </row>
    <row r="230" ht="15.75" customHeight="1">
      <c r="A230" s="486"/>
      <c r="B230" s="486"/>
      <c r="C230" s="486"/>
      <c r="D230" s="486"/>
      <c r="E230" s="486"/>
      <c r="F230" s="486"/>
      <c r="G230" s="487"/>
      <c r="H230" s="486"/>
      <c r="I230" s="486"/>
      <c r="J230" s="486"/>
      <c r="K230" s="486"/>
      <c r="L230" s="486"/>
      <c r="M230" s="486"/>
      <c r="N230" s="486"/>
      <c r="O230" s="486"/>
      <c r="P230" s="486"/>
      <c r="Q230" s="486"/>
      <c r="R230" s="486"/>
      <c r="S230" s="486"/>
      <c r="T230" s="486"/>
      <c r="U230" s="486"/>
      <c r="V230" s="486"/>
      <c r="W230" s="220"/>
      <c r="X230" s="220"/>
      <c r="Y230" s="220"/>
      <c r="Z230" s="220"/>
    </row>
    <row r="231" ht="15.75" customHeight="1">
      <c r="A231" s="486"/>
      <c r="B231" s="486"/>
      <c r="C231" s="486"/>
      <c r="D231" s="486"/>
      <c r="E231" s="486"/>
      <c r="F231" s="486"/>
      <c r="G231" s="487"/>
      <c r="H231" s="486"/>
      <c r="I231" s="486"/>
      <c r="J231" s="486"/>
      <c r="K231" s="486"/>
      <c r="L231" s="486"/>
      <c r="M231" s="486"/>
      <c r="N231" s="486"/>
      <c r="O231" s="486"/>
      <c r="P231" s="486"/>
      <c r="Q231" s="486"/>
      <c r="R231" s="486"/>
      <c r="S231" s="486"/>
      <c r="T231" s="486"/>
      <c r="U231" s="486"/>
      <c r="V231" s="486"/>
      <c r="W231" s="220"/>
      <c r="X231" s="220"/>
      <c r="Y231" s="220"/>
      <c r="Z231" s="220"/>
    </row>
    <row r="232" ht="15.75" customHeight="1">
      <c r="A232" s="486"/>
      <c r="B232" s="486"/>
      <c r="C232" s="486"/>
      <c r="D232" s="486"/>
      <c r="E232" s="486"/>
      <c r="F232" s="486"/>
      <c r="G232" s="487"/>
      <c r="H232" s="486"/>
      <c r="I232" s="486"/>
      <c r="J232" s="486"/>
      <c r="K232" s="486"/>
      <c r="L232" s="486"/>
      <c r="M232" s="486"/>
      <c r="N232" s="486"/>
      <c r="O232" s="486"/>
      <c r="P232" s="486"/>
      <c r="Q232" s="486"/>
      <c r="R232" s="486"/>
      <c r="S232" s="486"/>
      <c r="T232" s="486"/>
      <c r="U232" s="486"/>
      <c r="V232" s="486"/>
      <c r="W232" s="220"/>
      <c r="X232" s="220"/>
      <c r="Y232" s="220"/>
      <c r="Z232" s="220"/>
    </row>
    <row r="233" ht="15.75" customHeight="1">
      <c r="A233" s="486"/>
      <c r="B233" s="486"/>
      <c r="C233" s="486"/>
      <c r="D233" s="486"/>
      <c r="E233" s="486"/>
      <c r="F233" s="486"/>
      <c r="G233" s="487"/>
      <c r="H233" s="486"/>
      <c r="I233" s="486"/>
      <c r="J233" s="486"/>
      <c r="K233" s="486"/>
      <c r="L233" s="486"/>
      <c r="M233" s="486"/>
      <c r="N233" s="486"/>
      <c r="O233" s="486"/>
      <c r="P233" s="486"/>
      <c r="Q233" s="486"/>
      <c r="R233" s="486"/>
      <c r="S233" s="486"/>
      <c r="T233" s="486"/>
      <c r="U233" s="486"/>
      <c r="V233" s="486"/>
      <c r="W233" s="220"/>
      <c r="X233" s="220"/>
      <c r="Y233" s="220"/>
      <c r="Z233" s="220"/>
    </row>
    <row r="234" ht="15.75" customHeight="1">
      <c r="A234" s="486"/>
      <c r="B234" s="486"/>
      <c r="C234" s="486"/>
      <c r="D234" s="486"/>
      <c r="E234" s="486"/>
      <c r="F234" s="486"/>
      <c r="G234" s="487"/>
      <c r="H234" s="486"/>
      <c r="I234" s="486"/>
      <c r="J234" s="486"/>
      <c r="K234" s="486"/>
      <c r="L234" s="486"/>
      <c r="M234" s="486"/>
      <c r="N234" s="486"/>
      <c r="O234" s="486"/>
      <c r="P234" s="486"/>
      <c r="Q234" s="486"/>
      <c r="R234" s="486"/>
      <c r="S234" s="486"/>
      <c r="T234" s="486"/>
      <c r="U234" s="486"/>
      <c r="V234" s="486"/>
      <c r="W234" s="220"/>
      <c r="X234" s="220"/>
      <c r="Y234" s="220"/>
      <c r="Z234" s="220"/>
    </row>
    <row r="235" ht="15.75" customHeight="1">
      <c r="A235" s="486"/>
      <c r="B235" s="486"/>
      <c r="C235" s="486"/>
      <c r="D235" s="486"/>
      <c r="E235" s="486"/>
      <c r="F235" s="486"/>
      <c r="G235" s="487"/>
      <c r="H235" s="486"/>
      <c r="I235" s="486"/>
      <c r="J235" s="486"/>
      <c r="K235" s="486"/>
      <c r="L235" s="486"/>
      <c r="M235" s="486"/>
      <c r="N235" s="486"/>
      <c r="O235" s="486"/>
      <c r="P235" s="486"/>
      <c r="Q235" s="486"/>
      <c r="R235" s="486"/>
      <c r="S235" s="486"/>
      <c r="T235" s="486"/>
      <c r="U235" s="486"/>
      <c r="V235" s="486"/>
      <c r="W235" s="220"/>
      <c r="X235" s="220"/>
      <c r="Y235" s="220"/>
      <c r="Z235" s="220"/>
    </row>
    <row r="236" ht="15.75" customHeight="1">
      <c r="A236" s="486"/>
      <c r="B236" s="486"/>
      <c r="C236" s="486"/>
      <c r="D236" s="486"/>
      <c r="E236" s="486"/>
      <c r="F236" s="486"/>
      <c r="G236" s="487"/>
      <c r="H236" s="486"/>
      <c r="I236" s="486"/>
      <c r="J236" s="486"/>
      <c r="K236" s="486"/>
      <c r="L236" s="486"/>
      <c r="M236" s="486"/>
      <c r="N236" s="486"/>
      <c r="O236" s="486"/>
      <c r="P236" s="486"/>
      <c r="Q236" s="486"/>
      <c r="R236" s="486"/>
      <c r="S236" s="486"/>
      <c r="T236" s="486"/>
      <c r="U236" s="486"/>
      <c r="V236" s="486"/>
      <c r="W236" s="220"/>
      <c r="X236" s="220"/>
      <c r="Y236" s="220"/>
      <c r="Z236" s="220"/>
    </row>
    <row r="237" ht="15.75" customHeight="1">
      <c r="A237" s="486"/>
      <c r="B237" s="486"/>
      <c r="C237" s="486"/>
      <c r="D237" s="486"/>
      <c r="E237" s="486"/>
      <c r="F237" s="486"/>
      <c r="G237" s="487"/>
      <c r="H237" s="486"/>
      <c r="I237" s="486"/>
      <c r="J237" s="486"/>
      <c r="K237" s="486"/>
      <c r="L237" s="486"/>
      <c r="M237" s="486"/>
      <c r="N237" s="486"/>
      <c r="O237" s="486"/>
      <c r="P237" s="486"/>
      <c r="Q237" s="486"/>
      <c r="R237" s="486"/>
      <c r="S237" s="486"/>
      <c r="T237" s="486"/>
      <c r="U237" s="486"/>
      <c r="V237" s="486"/>
      <c r="W237" s="220"/>
      <c r="X237" s="220"/>
      <c r="Y237" s="220"/>
      <c r="Z237" s="220"/>
    </row>
    <row r="238" ht="15.75" customHeight="1">
      <c r="A238" s="486"/>
      <c r="B238" s="486"/>
      <c r="C238" s="486"/>
      <c r="D238" s="486"/>
      <c r="E238" s="486"/>
      <c r="F238" s="486"/>
      <c r="G238" s="487"/>
      <c r="H238" s="486"/>
      <c r="I238" s="486"/>
      <c r="J238" s="486"/>
      <c r="K238" s="486"/>
      <c r="L238" s="486"/>
      <c r="M238" s="486"/>
      <c r="N238" s="486"/>
      <c r="O238" s="486"/>
      <c r="P238" s="486"/>
      <c r="Q238" s="486"/>
      <c r="R238" s="486"/>
      <c r="S238" s="486"/>
      <c r="T238" s="486"/>
      <c r="U238" s="486"/>
      <c r="V238" s="486"/>
      <c r="W238" s="220"/>
      <c r="X238" s="220"/>
      <c r="Y238" s="220"/>
      <c r="Z238" s="220"/>
    </row>
    <row r="239" ht="15.75" customHeight="1">
      <c r="A239" s="486"/>
      <c r="B239" s="486"/>
      <c r="C239" s="486"/>
      <c r="D239" s="486"/>
      <c r="E239" s="486"/>
      <c r="F239" s="486"/>
      <c r="G239" s="487"/>
      <c r="H239" s="486"/>
      <c r="I239" s="486"/>
      <c r="J239" s="486"/>
      <c r="K239" s="486"/>
      <c r="L239" s="486"/>
      <c r="M239" s="486"/>
      <c r="N239" s="486"/>
      <c r="O239" s="486"/>
      <c r="P239" s="486"/>
      <c r="Q239" s="486"/>
      <c r="R239" s="486"/>
      <c r="S239" s="486"/>
      <c r="T239" s="486"/>
      <c r="U239" s="486"/>
      <c r="V239" s="486"/>
      <c r="W239" s="220"/>
      <c r="X239" s="220"/>
      <c r="Y239" s="220"/>
      <c r="Z239" s="220"/>
    </row>
    <row r="240" ht="15.75" customHeight="1">
      <c r="A240" s="486"/>
      <c r="B240" s="486"/>
      <c r="C240" s="486"/>
      <c r="D240" s="486"/>
      <c r="E240" s="486"/>
      <c r="F240" s="486"/>
      <c r="G240" s="487"/>
      <c r="H240" s="486"/>
      <c r="I240" s="486"/>
      <c r="J240" s="486"/>
      <c r="K240" s="486"/>
      <c r="L240" s="486"/>
      <c r="M240" s="486"/>
      <c r="N240" s="486"/>
      <c r="O240" s="486"/>
      <c r="P240" s="486"/>
      <c r="Q240" s="486"/>
      <c r="R240" s="486"/>
      <c r="S240" s="486"/>
      <c r="T240" s="486"/>
      <c r="U240" s="486"/>
      <c r="V240" s="486"/>
      <c r="W240" s="220"/>
      <c r="X240" s="220"/>
      <c r="Y240" s="220"/>
      <c r="Z240" s="220"/>
    </row>
    <row r="241" ht="15.75" customHeight="1">
      <c r="A241" s="486"/>
      <c r="B241" s="486"/>
      <c r="C241" s="486"/>
      <c r="D241" s="486"/>
      <c r="E241" s="486"/>
      <c r="F241" s="486"/>
      <c r="G241" s="487"/>
      <c r="H241" s="486"/>
      <c r="I241" s="486"/>
      <c r="J241" s="486"/>
      <c r="K241" s="486"/>
      <c r="L241" s="486"/>
      <c r="M241" s="486"/>
      <c r="N241" s="486"/>
      <c r="O241" s="486"/>
      <c r="P241" s="486"/>
      <c r="Q241" s="486"/>
      <c r="R241" s="486"/>
      <c r="S241" s="486"/>
      <c r="T241" s="486"/>
      <c r="U241" s="486"/>
      <c r="V241" s="486"/>
      <c r="W241" s="220"/>
      <c r="X241" s="220"/>
      <c r="Y241" s="220"/>
      <c r="Z241" s="220"/>
    </row>
    <row r="242" ht="15.75" customHeight="1">
      <c r="A242" s="486"/>
      <c r="B242" s="486"/>
      <c r="C242" s="486"/>
      <c r="D242" s="486"/>
      <c r="E242" s="486"/>
      <c r="F242" s="486"/>
      <c r="G242" s="487"/>
      <c r="H242" s="486"/>
      <c r="I242" s="486"/>
      <c r="J242" s="486"/>
      <c r="K242" s="486"/>
      <c r="L242" s="486"/>
      <c r="M242" s="486"/>
      <c r="N242" s="486"/>
      <c r="O242" s="486"/>
      <c r="P242" s="486"/>
      <c r="Q242" s="486"/>
      <c r="R242" s="486"/>
      <c r="S242" s="486"/>
      <c r="T242" s="486"/>
      <c r="U242" s="486"/>
      <c r="V242" s="486"/>
      <c r="W242" s="220"/>
      <c r="X242" s="220"/>
      <c r="Y242" s="220"/>
      <c r="Z242" s="220"/>
    </row>
    <row r="243" ht="15.75" customHeight="1">
      <c r="A243" s="486"/>
      <c r="B243" s="486"/>
      <c r="C243" s="486"/>
      <c r="D243" s="486"/>
      <c r="E243" s="486"/>
      <c r="F243" s="486"/>
      <c r="G243" s="487"/>
      <c r="H243" s="486"/>
      <c r="I243" s="486"/>
      <c r="J243" s="486"/>
      <c r="K243" s="486"/>
      <c r="L243" s="486"/>
      <c r="M243" s="486"/>
      <c r="N243" s="486"/>
      <c r="O243" s="486"/>
      <c r="P243" s="486"/>
      <c r="Q243" s="486"/>
      <c r="R243" s="486"/>
      <c r="S243" s="486"/>
      <c r="T243" s="486"/>
      <c r="U243" s="486"/>
      <c r="V243" s="486"/>
      <c r="W243" s="220"/>
      <c r="X243" s="220"/>
      <c r="Y243" s="220"/>
      <c r="Z243" s="220"/>
    </row>
    <row r="244" ht="15.75" customHeight="1">
      <c r="A244" s="486"/>
      <c r="B244" s="486"/>
      <c r="C244" s="486"/>
      <c r="D244" s="486"/>
      <c r="E244" s="486"/>
      <c r="F244" s="486"/>
      <c r="G244" s="487"/>
      <c r="H244" s="486"/>
      <c r="I244" s="486"/>
      <c r="J244" s="486"/>
      <c r="K244" s="486"/>
      <c r="L244" s="486"/>
      <c r="M244" s="486"/>
      <c r="N244" s="486"/>
      <c r="O244" s="486"/>
      <c r="P244" s="486"/>
      <c r="Q244" s="486"/>
      <c r="R244" s="486"/>
      <c r="S244" s="486"/>
      <c r="T244" s="486"/>
      <c r="U244" s="486"/>
      <c r="V244" s="486"/>
      <c r="W244" s="220"/>
      <c r="X244" s="220"/>
      <c r="Y244" s="220"/>
      <c r="Z244" s="220"/>
    </row>
    <row r="245" ht="15.75" customHeight="1">
      <c r="A245" s="486"/>
      <c r="B245" s="486"/>
      <c r="C245" s="486"/>
      <c r="D245" s="486"/>
      <c r="E245" s="486"/>
      <c r="F245" s="486"/>
      <c r="G245" s="487"/>
      <c r="H245" s="486"/>
      <c r="I245" s="486"/>
      <c r="J245" s="486"/>
      <c r="K245" s="486"/>
      <c r="L245" s="486"/>
      <c r="M245" s="486"/>
      <c r="N245" s="486"/>
      <c r="O245" s="486"/>
      <c r="P245" s="486"/>
      <c r="Q245" s="486"/>
      <c r="R245" s="486"/>
      <c r="S245" s="486"/>
      <c r="T245" s="486"/>
      <c r="U245" s="486"/>
      <c r="V245" s="486"/>
      <c r="W245" s="220"/>
      <c r="X245" s="220"/>
      <c r="Y245" s="220"/>
      <c r="Z245" s="220"/>
    </row>
    <row r="246" ht="15.75" customHeight="1">
      <c r="A246" s="486"/>
      <c r="B246" s="486"/>
      <c r="C246" s="486"/>
      <c r="D246" s="486"/>
      <c r="E246" s="486"/>
      <c r="F246" s="486"/>
      <c r="G246" s="487"/>
      <c r="H246" s="486"/>
      <c r="I246" s="486"/>
      <c r="J246" s="486"/>
      <c r="K246" s="486"/>
      <c r="L246" s="486"/>
      <c r="M246" s="486"/>
      <c r="N246" s="486"/>
      <c r="O246" s="486"/>
      <c r="P246" s="486"/>
      <c r="Q246" s="486"/>
      <c r="R246" s="486"/>
      <c r="S246" s="486"/>
      <c r="T246" s="486"/>
      <c r="U246" s="486"/>
      <c r="V246" s="486"/>
      <c r="W246" s="220"/>
      <c r="X246" s="220"/>
      <c r="Y246" s="220"/>
      <c r="Z246" s="220"/>
    </row>
    <row r="247" ht="15.75" customHeight="1">
      <c r="A247" s="486"/>
      <c r="B247" s="486"/>
      <c r="C247" s="486"/>
      <c r="D247" s="486"/>
      <c r="E247" s="486"/>
      <c r="F247" s="486"/>
      <c r="G247" s="487"/>
      <c r="H247" s="486"/>
      <c r="I247" s="486"/>
      <c r="J247" s="486"/>
      <c r="K247" s="486"/>
      <c r="L247" s="486"/>
      <c r="M247" s="486"/>
      <c r="N247" s="486"/>
      <c r="O247" s="486"/>
      <c r="P247" s="486"/>
      <c r="Q247" s="486"/>
      <c r="R247" s="486"/>
      <c r="S247" s="486"/>
      <c r="T247" s="486"/>
      <c r="U247" s="486"/>
      <c r="V247" s="486"/>
      <c r="W247" s="220"/>
      <c r="X247" s="220"/>
      <c r="Y247" s="220"/>
      <c r="Z247" s="220"/>
    </row>
    <row r="248" ht="15.75" customHeight="1">
      <c r="A248" s="486"/>
      <c r="B248" s="486"/>
      <c r="C248" s="486"/>
      <c r="D248" s="486"/>
      <c r="E248" s="486"/>
      <c r="F248" s="486"/>
      <c r="G248" s="487"/>
      <c r="H248" s="486"/>
      <c r="I248" s="486"/>
      <c r="J248" s="486"/>
      <c r="K248" s="486"/>
      <c r="L248" s="486"/>
      <c r="M248" s="486"/>
      <c r="N248" s="486"/>
      <c r="O248" s="486"/>
      <c r="P248" s="486"/>
      <c r="Q248" s="486"/>
      <c r="R248" s="486"/>
      <c r="S248" s="486"/>
      <c r="T248" s="486"/>
      <c r="U248" s="486"/>
      <c r="V248" s="486"/>
      <c r="W248" s="220"/>
      <c r="X248" s="220"/>
      <c r="Y248" s="220"/>
      <c r="Z248" s="220"/>
    </row>
    <row r="249" ht="15.75" customHeight="1">
      <c r="A249" s="486"/>
      <c r="B249" s="486"/>
      <c r="C249" s="486"/>
      <c r="D249" s="486"/>
      <c r="E249" s="486"/>
      <c r="F249" s="486"/>
      <c r="G249" s="487"/>
      <c r="H249" s="486"/>
      <c r="I249" s="486"/>
      <c r="J249" s="486"/>
      <c r="K249" s="486"/>
      <c r="L249" s="486"/>
      <c r="M249" s="486"/>
      <c r="N249" s="486"/>
      <c r="O249" s="486"/>
      <c r="P249" s="486"/>
      <c r="Q249" s="486"/>
      <c r="R249" s="486"/>
      <c r="S249" s="486"/>
      <c r="T249" s="486"/>
      <c r="U249" s="486"/>
      <c r="V249" s="486"/>
      <c r="W249" s="220"/>
      <c r="X249" s="220"/>
      <c r="Y249" s="220"/>
      <c r="Z249" s="220"/>
    </row>
    <row r="250" ht="15.75" customHeight="1">
      <c r="A250" s="486"/>
      <c r="B250" s="486"/>
      <c r="C250" s="486"/>
      <c r="D250" s="486"/>
      <c r="E250" s="486"/>
      <c r="F250" s="486"/>
      <c r="G250" s="487"/>
      <c r="H250" s="486"/>
      <c r="I250" s="486"/>
      <c r="J250" s="486"/>
      <c r="K250" s="486"/>
      <c r="L250" s="486"/>
      <c r="M250" s="486"/>
      <c r="N250" s="486"/>
      <c r="O250" s="486"/>
      <c r="P250" s="486"/>
      <c r="Q250" s="486"/>
      <c r="R250" s="486"/>
      <c r="S250" s="486"/>
      <c r="T250" s="486"/>
      <c r="U250" s="486"/>
      <c r="V250" s="486"/>
      <c r="W250" s="220"/>
      <c r="X250" s="220"/>
      <c r="Y250" s="220"/>
      <c r="Z250" s="220"/>
    </row>
    <row r="251" ht="15.75" customHeight="1">
      <c r="A251" s="486"/>
      <c r="B251" s="486"/>
      <c r="C251" s="486"/>
      <c r="D251" s="486"/>
      <c r="E251" s="486"/>
      <c r="F251" s="486"/>
      <c r="G251" s="487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6"/>
      <c r="S251" s="486"/>
      <c r="T251" s="486"/>
      <c r="U251" s="486"/>
      <c r="V251" s="486"/>
      <c r="W251" s="220"/>
      <c r="X251" s="220"/>
      <c r="Y251" s="220"/>
      <c r="Z251" s="220"/>
    </row>
    <row r="252" ht="15.75" customHeight="1">
      <c r="A252" s="486"/>
      <c r="B252" s="486"/>
      <c r="C252" s="486"/>
      <c r="D252" s="486"/>
      <c r="E252" s="486"/>
      <c r="F252" s="486"/>
      <c r="G252" s="487"/>
      <c r="H252" s="486"/>
      <c r="I252" s="486"/>
      <c r="J252" s="486"/>
      <c r="K252" s="486"/>
      <c r="L252" s="486"/>
      <c r="M252" s="486"/>
      <c r="N252" s="486"/>
      <c r="O252" s="486"/>
      <c r="P252" s="486"/>
      <c r="Q252" s="486"/>
      <c r="R252" s="486"/>
      <c r="S252" s="486"/>
      <c r="T252" s="486"/>
      <c r="U252" s="486"/>
      <c r="V252" s="486"/>
      <c r="W252" s="220"/>
      <c r="X252" s="220"/>
      <c r="Y252" s="220"/>
      <c r="Z252" s="220"/>
    </row>
    <row r="253" ht="15.75" customHeight="1">
      <c r="A253" s="220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0"/>
    </row>
    <row r="254" ht="15.75" customHeight="1">
      <c r="A254" s="22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0"/>
    </row>
    <row r="255" ht="15.75" customHeight="1">
      <c r="A255" s="220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0"/>
    </row>
    <row r="256" ht="15.75" customHeight="1">
      <c r="A256" s="220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0"/>
    </row>
    <row r="257" ht="15.75" customHeight="1">
      <c r="A257" s="220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0"/>
    </row>
    <row r="258" ht="15.75" customHeight="1">
      <c r="A258" s="22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0"/>
    </row>
    <row r="259" ht="15.75" customHeight="1">
      <c r="A259" s="220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0"/>
    </row>
    <row r="260" ht="15.75" customHeight="1">
      <c r="A260" s="220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0"/>
    </row>
    <row r="261" ht="15.75" customHeight="1">
      <c r="A261" s="220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0"/>
    </row>
    <row r="262" ht="15.75" customHeight="1">
      <c r="A262" s="22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0"/>
    </row>
    <row r="263" ht="15.75" customHeight="1">
      <c r="A263" s="220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0"/>
    </row>
    <row r="264" ht="15.75" customHeight="1">
      <c r="A264" s="220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0"/>
    </row>
    <row r="265" ht="15.75" customHeight="1">
      <c r="A265" s="220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0"/>
    </row>
    <row r="266" ht="15.75" customHeight="1">
      <c r="A266" s="22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0"/>
    </row>
    <row r="267" ht="15.75" customHeight="1">
      <c r="A267" s="220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0"/>
    </row>
    <row r="268" ht="15.75" customHeight="1">
      <c r="A268" s="220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0"/>
    </row>
    <row r="269" ht="15.75" customHeight="1">
      <c r="A269" s="220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0"/>
    </row>
    <row r="270" ht="15.75" customHeight="1">
      <c r="A270" s="22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0"/>
    </row>
    <row r="271" ht="15.75" customHeight="1">
      <c r="A271" s="220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0"/>
    </row>
    <row r="272" ht="15.75" customHeight="1">
      <c r="A272" s="220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0"/>
    </row>
    <row r="273" ht="15.75" customHeight="1">
      <c r="A273" s="220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0"/>
    </row>
    <row r="274" ht="15.75" customHeight="1">
      <c r="A274" s="220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0"/>
    </row>
    <row r="275" ht="15.75" customHeight="1">
      <c r="A275" s="220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0"/>
    </row>
    <row r="276" ht="15.75" customHeight="1">
      <c r="A276" s="220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</row>
    <row r="277" ht="15.75" customHeight="1">
      <c r="A277" s="220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0"/>
    </row>
    <row r="278" ht="15.75" customHeight="1">
      <c r="A278" s="220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0"/>
    </row>
    <row r="279" ht="15.75" customHeight="1">
      <c r="A279" s="220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0"/>
    </row>
    <row r="280" ht="15.75" customHeight="1">
      <c r="A280" s="220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0"/>
    </row>
    <row r="281" ht="15.75" customHeight="1">
      <c r="A281" s="220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0"/>
    </row>
    <row r="282" ht="15.75" customHeight="1">
      <c r="A282" s="220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0"/>
    </row>
    <row r="283" ht="15.75" customHeight="1">
      <c r="A283" s="220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0"/>
    </row>
    <row r="284" ht="15.75" customHeight="1">
      <c r="A284" s="220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0"/>
    </row>
    <row r="285" ht="15.75" customHeight="1">
      <c r="A285" s="22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0"/>
    </row>
    <row r="286" ht="15.75" customHeight="1">
      <c r="A286" s="220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0"/>
    </row>
    <row r="287" ht="15.75" customHeight="1">
      <c r="A287" s="22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0"/>
    </row>
    <row r="288" ht="15.75" customHeight="1">
      <c r="A288" s="220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0"/>
    </row>
    <row r="289" ht="15.75" customHeight="1">
      <c r="A289" s="220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0"/>
    </row>
    <row r="290" ht="15.75" customHeight="1">
      <c r="A290" s="220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0"/>
    </row>
    <row r="291" ht="15.75" customHeight="1">
      <c r="A291" s="22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0"/>
    </row>
    <row r="292" ht="15.75" customHeight="1">
      <c r="A292" s="220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0"/>
    </row>
    <row r="293" ht="15.75" customHeight="1">
      <c r="A293" s="220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0"/>
    </row>
    <row r="294" ht="15.75" customHeight="1">
      <c r="A294" s="220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0"/>
    </row>
    <row r="295" ht="15.75" customHeight="1">
      <c r="A295" s="220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0"/>
    </row>
    <row r="296" ht="15.75" customHeight="1">
      <c r="A296" s="220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0"/>
    </row>
    <row r="297" ht="15.75" customHeight="1">
      <c r="A297" s="22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0"/>
    </row>
    <row r="298" ht="15.75" customHeight="1">
      <c r="A298" s="220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0"/>
    </row>
    <row r="299" ht="15.75" customHeight="1">
      <c r="A299" s="220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0"/>
    </row>
    <row r="300" ht="15.75" customHeight="1">
      <c r="A300" s="220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0"/>
    </row>
    <row r="301" ht="15.75" customHeight="1">
      <c r="A301" s="220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</row>
    <row r="302" ht="15.75" customHeight="1">
      <c r="A302" s="220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</row>
    <row r="303" ht="15.75" customHeight="1">
      <c r="A303" s="220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</row>
    <row r="304" ht="15.75" customHeight="1">
      <c r="A304" s="220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0"/>
    </row>
    <row r="305" ht="15.75" customHeight="1">
      <c r="A305" s="220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0"/>
    </row>
    <row r="306" ht="15.75" customHeight="1">
      <c r="A306" s="220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0"/>
    </row>
    <row r="307" ht="15.75" customHeight="1">
      <c r="A307" s="220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</row>
    <row r="308" ht="15.75" customHeight="1">
      <c r="A308" s="220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0"/>
    </row>
    <row r="309" ht="15.75" customHeight="1">
      <c r="A309" s="220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</row>
    <row r="310" ht="15.75" customHeight="1">
      <c r="A310" s="220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</row>
    <row r="311" ht="15.75" customHeight="1">
      <c r="A311" s="220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</row>
    <row r="312" ht="15.75" customHeight="1">
      <c r="A312" s="220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0"/>
    </row>
    <row r="313" ht="15.75" customHeight="1">
      <c r="A313" s="220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</row>
    <row r="314" ht="15.75" customHeight="1">
      <c r="A314" s="220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</row>
    <row r="315" ht="15.75" customHeight="1">
      <c r="A315" s="220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0"/>
    </row>
    <row r="316" ht="15.75" customHeight="1">
      <c r="A316" s="220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0"/>
    </row>
    <row r="317" ht="15.75" customHeight="1">
      <c r="A317" s="220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0"/>
    </row>
    <row r="318" ht="15.75" customHeight="1">
      <c r="A318" s="220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0"/>
    </row>
    <row r="319" ht="15.75" customHeight="1">
      <c r="A319" s="220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0"/>
    </row>
    <row r="320" ht="15.75" customHeight="1">
      <c r="A320" s="220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0"/>
    </row>
    <row r="321" ht="15.75" customHeight="1">
      <c r="A321" s="220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0"/>
    </row>
    <row r="322" ht="15.75" customHeight="1">
      <c r="A322" s="220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0"/>
    </row>
    <row r="323" ht="15.75" customHeight="1">
      <c r="A323" s="220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0"/>
    </row>
    <row r="324" ht="15.75" customHeight="1">
      <c r="A324" s="220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0"/>
    </row>
    <row r="325" ht="15.75" customHeight="1">
      <c r="A325" s="220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0"/>
    </row>
    <row r="326" ht="15.75" customHeight="1">
      <c r="A326" s="220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0"/>
    </row>
    <row r="327" ht="15.75" customHeight="1">
      <c r="A327" s="220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0"/>
    </row>
    <row r="328" ht="15.75" customHeight="1">
      <c r="A328" s="220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0"/>
    </row>
    <row r="329" ht="15.75" customHeight="1">
      <c r="A329" s="220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0"/>
    </row>
    <row r="330" ht="15.75" customHeight="1">
      <c r="A330" s="220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0"/>
    </row>
    <row r="331" ht="15.75" customHeight="1">
      <c r="A331" s="220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0"/>
    </row>
    <row r="332" ht="15.75" customHeight="1">
      <c r="A332" s="220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0"/>
    </row>
    <row r="333" ht="15.75" customHeight="1">
      <c r="A333" s="220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0"/>
    </row>
    <row r="334" ht="15.75" customHeight="1">
      <c r="A334" s="220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0"/>
    </row>
    <row r="335" ht="15.75" customHeight="1">
      <c r="A335" s="220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0"/>
    </row>
    <row r="336" ht="15.75" customHeight="1">
      <c r="A336" s="220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0"/>
    </row>
    <row r="337" ht="15.75" customHeight="1">
      <c r="A337" s="220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0"/>
    </row>
    <row r="338" ht="15.75" customHeight="1">
      <c r="A338" s="220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0"/>
    </row>
    <row r="339" ht="15.75" customHeight="1">
      <c r="A339" s="220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0"/>
    </row>
    <row r="340" ht="15.75" customHeight="1">
      <c r="A340" s="220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0"/>
    </row>
    <row r="341" ht="15.75" customHeight="1">
      <c r="A341" s="220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0"/>
    </row>
    <row r="342" ht="15.75" customHeight="1">
      <c r="A342" s="220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0"/>
    </row>
    <row r="343" ht="15.75" customHeight="1">
      <c r="A343" s="220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0"/>
    </row>
    <row r="344" ht="15.75" customHeight="1">
      <c r="A344" s="220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0"/>
    </row>
    <row r="345" ht="15.75" customHeight="1">
      <c r="A345" s="220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0"/>
    </row>
    <row r="346" ht="15.75" customHeight="1">
      <c r="A346" s="220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0"/>
    </row>
    <row r="347" ht="15.75" customHeight="1">
      <c r="A347" s="220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0"/>
    </row>
    <row r="348" ht="15.75" customHeight="1">
      <c r="A348" s="220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0"/>
    </row>
    <row r="349" ht="15.75" customHeight="1">
      <c r="A349" s="220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0"/>
    </row>
    <row r="350" ht="15.75" customHeight="1">
      <c r="A350" s="220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0"/>
    </row>
    <row r="351" ht="15.75" customHeight="1">
      <c r="A351" s="220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0"/>
    </row>
    <row r="352" ht="15.75" customHeight="1">
      <c r="A352" s="220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0"/>
    </row>
    <row r="353" ht="15.75" customHeight="1">
      <c r="A353" s="220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0"/>
    </row>
    <row r="354" ht="15.75" customHeight="1">
      <c r="A354" s="220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0"/>
    </row>
    <row r="355" ht="15.75" customHeight="1">
      <c r="A355" s="220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0"/>
    </row>
    <row r="356" ht="15.75" customHeight="1">
      <c r="A356" s="220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0"/>
    </row>
    <row r="357" ht="15.75" customHeight="1">
      <c r="A357" s="220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0"/>
    </row>
    <row r="358" ht="15.75" customHeight="1">
      <c r="A358" s="220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0"/>
    </row>
    <row r="359" ht="15.75" customHeight="1">
      <c r="A359" s="220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0"/>
    </row>
    <row r="360" ht="15.75" customHeight="1">
      <c r="A360" s="220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0"/>
    </row>
    <row r="361" ht="15.75" customHeight="1">
      <c r="A361" s="220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0"/>
    </row>
    <row r="362" ht="15.75" customHeight="1">
      <c r="A362" s="220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0"/>
    </row>
    <row r="363" ht="15.75" customHeight="1">
      <c r="A363" s="220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0"/>
    </row>
    <row r="364" ht="15.75" customHeight="1">
      <c r="A364" s="220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0"/>
    </row>
    <row r="365" ht="15.75" customHeight="1">
      <c r="A365" s="220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0"/>
    </row>
    <row r="366" ht="15.75" customHeight="1">
      <c r="A366" s="220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0"/>
    </row>
    <row r="367" ht="15.75" customHeight="1">
      <c r="A367" s="220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0"/>
    </row>
    <row r="368" ht="15.75" customHeight="1">
      <c r="A368" s="220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0"/>
    </row>
    <row r="369" ht="15.75" customHeight="1">
      <c r="A369" s="220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0"/>
    </row>
    <row r="370" ht="15.75" customHeight="1">
      <c r="A370" s="220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0"/>
    </row>
    <row r="371" ht="15.75" customHeight="1">
      <c r="A371" s="220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0"/>
    </row>
    <row r="372" ht="15.75" customHeight="1">
      <c r="A372" s="220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0"/>
    </row>
    <row r="373" ht="15.75" customHeight="1">
      <c r="A373" s="220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0"/>
    </row>
    <row r="374" ht="15.75" customHeight="1">
      <c r="A374" s="220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0"/>
    </row>
    <row r="375" ht="15.75" customHeight="1">
      <c r="A375" s="220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0"/>
    </row>
    <row r="376" ht="15.75" customHeight="1">
      <c r="A376" s="220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0"/>
    </row>
    <row r="377" ht="15.75" customHeight="1">
      <c r="A377" s="220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0"/>
    </row>
    <row r="378" ht="15.75" customHeight="1">
      <c r="A378" s="220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0"/>
    </row>
    <row r="379" ht="15.75" customHeight="1">
      <c r="A379" s="220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0"/>
    </row>
    <row r="380" ht="15.75" customHeight="1">
      <c r="A380" s="220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0"/>
    </row>
    <row r="381" ht="15.75" customHeight="1">
      <c r="A381" s="220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0"/>
    </row>
    <row r="382" ht="15.75" customHeight="1">
      <c r="A382" s="220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0"/>
    </row>
    <row r="383" ht="15.75" customHeight="1">
      <c r="A383" s="220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0"/>
    </row>
    <row r="384" ht="15.75" customHeight="1">
      <c r="A384" s="220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0"/>
    </row>
    <row r="385" ht="15.75" customHeight="1">
      <c r="A385" s="220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0"/>
    </row>
    <row r="386" ht="15.75" customHeight="1">
      <c r="A386" s="220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0"/>
    </row>
    <row r="387" ht="15.75" customHeight="1">
      <c r="A387" s="220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0"/>
    </row>
    <row r="388" ht="15.75" customHeight="1">
      <c r="A388" s="220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0"/>
    </row>
    <row r="389" ht="15.75" customHeight="1">
      <c r="A389" s="220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0"/>
    </row>
    <row r="390" ht="15.75" customHeight="1">
      <c r="A390" s="220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0"/>
    </row>
    <row r="391" ht="15.75" customHeight="1">
      <c r="A391" s="220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0"/>
    </row>
    <row r="392" ht="15.75" customHeight="1">
      <c r="A392" s="220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0"/>
    </row>
    <row r="393" ht="15.75" customHeight="1">
      <c r="A393" s="220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0"/>
    </row>
    <row r="394" ht="15.75" customHeight="1">
      <c r="A394" s="220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0"/>
    </row>
    <row r="395" ht="15.75" customHeight="1">
      <c r="A395" s="220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0"/>
    </row>
    <row r="396" ht="15.75" customHeight="1">
      <c r="A396" s="220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0"/>
    </row>
    <row r="397" ht="15.75" customHeight="1">
      <c r="A397" s="220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0"/>
    </row>
    <row r="398" ht="15.75" customHeight="1">
      <c r="A398" s="220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0"/>
    </row>
    <row r="399" ht="15.75" customHeight="1">
      <c r="A399" s="220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0"/>
    </row>
    <row r="400" ht="15.75" customHeight="1">
      <c r="A400" s="220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0"/>
    </row>
    <row r="401" ht="15.75" customHeight="1">
      <c r="A401" s="220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0"/>
    </row>
    <row r="402" ht="15.75" customHeight="1">
      <c r="A402" s="220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0"/>
    </row>
    <row r="403" ht="15.75" customHeight="1">
      <c r="A403" s="220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0"/>
    </row>
    <row r="404" ht="15.75" customHeight="1">
      <c r="A404" s="220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0"/>
    </row>
    <row r="405" ht="15.75" customHeight="1">
      <c r="A405" s="220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0"/>
    </row>
    <row r="406" ht="15.75" customHeight="1">
      <c r="A406" s="220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0"/>
    </row>
    <row r="407" ht="15.75" customHeight="1">
      <c r="A407" s="220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0"/>
    </row>
    <row r="408" ht="15.75" customHeight="1">
      <c r="A408" s="220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0"/>
    </row>
    <row r="409" ht="15.75" customHeight="1">
      <c r="A409" s="220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0"/>
    </row>
    <row r="410" ht="15.75" customHeight="1">
      <c r="A410" s="220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0"/>
    </row>
    <row r="411" ht="15.75" customHeight="1">
      <c r="A411" s="220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0"/>
    </row>
    <row r="412" ht="15.75" customHeight="1">
      <c r="A412" s="220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0"/>
    </row>
    <row r="413" ht="15.75" customHeight="1">
      <c r="A413" s="220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0"/>
    </row>
    <row r="414" ht="15.75" customHeight="1">
      <c r="A414" s="220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0"/>
    </row>
    <row r="415" ht="15.75" customHeight="1">
      <c r="A415" s="220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0"/>
    </row>
    <row r="416" ht="15.75" customHeight="1">
      <c r="A416" s="220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0"/>
    </row>
    <row r="417" ht="15.75" customHeight="1">
      <c r="A417" s="220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0"/>
    </row>
    <row r="418" ht="15.75" customHeight="1">
      <c r="A418" s="220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0"/>
    </row>
    <row r="419" ht="15.75" customHeight="1">
      <c r="A419" s="220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0"/>
    </row>
    <row r="420" ht="15.75" customHeight="1">
      <c r="A420" s="220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0"/>
    </row>
    <row r="421" ht="15.75" customHeight="1">
      <c r="A421" s="220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0"/>
    </row>
    <row r="422" ht="15.75" customHeight="1">
      <c r="A422" s="220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0"/>
    </row>
    <row r="423" ht="15.75" customHeight="1">
      <c r="A423" s="220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0"/>
    </row>
    <row r="424" ht="15.75" customHeight="1">
      <c r="A424" s="220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0"/>
    </row>
    <row r="425" ht="15.75" customHeight="1">
      <c r="A425" s="220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0"/>
    </row>
    <row r="426" ht="15.75" customHeight="1">
      <c r="A426" s="220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0"/>
    </row>
    <row r="427" ht="15.75" customHeight="1">
      <c r="A427" s="220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0"/>
    </row>
    <row r="428" ht="15.75" customHeight="1">
      <c r="A428" s="220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0"/>
    </row>
    <row r="429" ht="15.75" customHeight="1">
      <c r="A429" s="220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0"/>
    </row>
    <row r="430" ht="15.75" customHeight="1">
      <c r="A430" s="220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0"/>
    </row>
    <row r="431" ht="15.75" customHeight="1">
      <c r="A431" s="220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0"/>
    </row>
    <row r="432" ht="15.75" customHeight="1">
      <c r="A432" s="220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0"/>
    </row>
    <row r="433" ht="15.75" customHeight="1">
      <c r="A433" s="220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0"/>
    </row>
    <row r="434" ht="15.75" customHeight="1">
      <c r="A434" s="220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0"/>
    </row>
    <row r="435" ht="15.75" customHeight="1">
      <c r="A435" s="220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0"/>
    </row>
    <row r="436" ht="15.75" customHeight="1">
      <c r="A436" s="220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0"/>
    </row>
    <row r="437" ht="15.75" customHeight="1">
      <c r="A437" s="220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0"/>
    </row>
    <row r="438" ht="15.75" customHeight="1">
      <c r="A438" s="220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0"/>
    </row>
    <row r="439" ht="15.75" customHeight="1">
      <c r="A439" s="220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0"/>
    </row>
    <row r="440" ht="15.75" customHeight="1">
      <c r="A440" s="220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0"/>
    </row>
    <row r="441" ht="15.75" customHeight="1">
      <c r="A441" s="220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0"/>
    </row>
    <row r="442" ht="15.75" customHeight="1">
      <c r="A442" s="220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0"/>
    </row>
    <row r="443" ht="15.75" customHeight="1">
      <c r="A443" s="220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0"/>
    </row>
    <row r="444" ht="15.75" customHeight="1">
      <c r="A444" s="220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0"/>
    </row>
    <row r="445" ht="15.75" customHeight="1">
      <c r="A445" s="220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0"/>
    </row>
    <row r="446" ht="15.75" customHeight="1">
      <c r="A446" s="220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0"/>
    </row>
    <row r="447" ht="15.75" customHeight="1">
      <c r="A447" s="220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0"/>
    </row>
    <row r="448" ht="15.75" customHeight="1">
      <c r="A448" s="220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0"/>
    </row>
    <row r="449" ht="15.75" customHeight="1">
      <c r="A449" s="220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0"/>
    </row>
    <row r="450" ht="15.75" customHeight="1">
      <c r="A450" s="220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0"/>
    </row>
    <row r="451" ht="15.75" customHeight="1">
      <c r="A451" s="220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0"/>
    </row>
    <row r="452" ht="15.75" customHeight="1">
      <c r="A452" s="220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0"/>
    </row>
    <row r="453" ht="15.75" customHeight="1">
      <c r="A453" s="220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0"/>
    </row>
    <row r="454" ht="15.75" customHeight="1">
      <c r="A454" s="220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0"/>
    </row>
    <row r="455" ht="15.75" customHeight="1">
      <c r="A455" s="220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0"/>
    </row>
    <row r="456" ht="15.75" customHeight="1">
      <c r="A456" s="220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0"/>
    </row>
    <row r="457" ht="15.75" customHeight="1">
      <c r="A457" s="220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0"/>
    </row>
    <row r="458" ht="15.75" customHeight="1">
      <c r="A458" s="220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0"/>
    </row>
    <row r="459" ht="15.75" customHeight="1">
      <c r="A459" s="220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0"/>
    </row>
    <row r="460" ht="15.75" customHeight="1">
      <c r="A460" s="220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0"/>
    </row>
    <row r="461" ht="15.75" customHeight="1">
      <c r="A461" s="220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0"/>
    </row>
    <row r="462" ht="15.75" customHeight="1">
      <c r="A462" s="220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0"/>
    </row>
    <row r="463" ht="15.75" customHeight="1">
      <c r="A463" s="220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0"/>
    </row>
    <row r="464" ht="15.75" customHeight="1">
      <c r="A464" s="220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0"/>
    </row>
    <row r="465" ht="15.75" customHeight="1">
      <c r="A465" s="220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0"/>
    </row>
    <row r="466" ht="15.75" customHeight="1">
      <c r="A466" s="220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0"/>
    </row>
    <row r="467" ht="15.75" customHeight="1">
      <c r="A467" s="220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0"/>
    </row>
    <row r="468" ht="15.75" customHeight="1">
      <c r="A468" s="220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0"/>
    </row>
    <row r="469" ht="15.75" customHeight="1">
      <c r="A469" s="220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0"/>
    </row>
    <row r="470" ht="15.75" customHeight="1">
      <c r="A470" s="220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0"/>
    </row>
    <row r="471" ht="15.75" customHeight="1">
      <c r="A471" s="220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0"/>
    </row>
    <row r="472" ht="15.75" customHeight="1">
      <c r="A472" s="220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0"/>
    </row>
    <row r="473" ht="15.75" customHeight="1">
      <c r="A473" s="220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0"/>
    </row>
    <row r="474" ht="15.75" customHeight="1">
      <c r="A474" s="220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0"/>
    </row>
    <row r="475" ht="15.75" customHeight="1">
      <c r="A475" s="220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0"/>
    </row>
    <row r="476" ht="15.75" customHeight="1">
      <c r="A476" s="220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0"/>
    </row>
    <row r="477" ht="15.75" customHeight="1">
      <c r="A477" s="220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0"/>
    </row>
    <row r="478" ht="15.75" customHeight="1">
      <c r="A478" s="220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0"/>
    </row>
    <row r="479" ht="15.75" customHeight="1">
      <c r="A479" s="220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0"/>
    </row>
    <row r="480" ht="15.75" customHeight="1">
      <c r="A480" s="220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0"/>
    </row>
    <row r="481" ht="15.75" customHeight="1">
      <c r="A481" s="220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0"/>
    </row>
    <row r="482" ht="15.75" customHeight="1">
      <c r="A482" s="220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0"/>
    </row>
    <row r="483" ht="15.75" customHeight="1">
      <c r="A483" s="220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0"/>
    </row>
    <row r="484" ht="15.75" customHeight="1">
      <c r="A484" s="220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0"/>
    </row>
    <row r="485" ht="15.75" customHeight="1">
      <c r="A485" s="220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0"/>
    </row>
    <row r="486" ht="15.75" customHeight="1">
      <c r="A486" s="220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0"/>
    </row>
    <row r="487" ht="15.75" customHeight="1">
      <c r="A487" s="220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0"/>
    </row>
    <row r="488" ht="15.75" customHeight="1">
      <c r="A488" s="220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0"/>
    </row>
    <row r="489" ht="15.75" customHeight="1">
      <c r="A489" s="220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0"/>
    </row>
    <row r="490" ht="15.75" customHeight="1">
      <c r="A490" s="220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0"/>
    </row>
    <row r="491" ht="15.75" customHeight="1">
      <c r="A491" s="220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0"/>
    </row>
    <row r="492" ht="15.75" customHeight="1">
      <c r="A492" s="220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0"/>
    </row>
    <row r="493" ht="15.75" customHeight="1">
      <c r="A493" s="220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0"/>
    </row>
    <row r="494" ht="15.75" customHeight="1">
      <c r="A494" s="220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0"/>
    </row>
    <row r="495" ht="15.75" customHeight="1">
      <c r="A495" s="220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0"/>
    </row>
    <row r="496" ht="15.75" customHeight="1">
      <c r="A496" s="220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0"/>
    </row>
    <row r="497" ht="15.75" customHeight="1">
      <c r="A497" s="220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0"/>
    </row>
    <row r="498" ht="15.75" customHeight="1">
      <c r="A498" s="220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0"/>
    </row>
    <row r="499" ht="15.75" customHeight="1">
      <c r="A499" s="220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0"/>
    </row>
    <row r="500" ht="15.75" customHeight="1">
      <c r="A500" s="220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0"/>
    </row>
    <row r="501" ht="15.75" customHeight="1">
      <c r="A501" s="220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0"/>
    </row>
    <row r="502" ht="15.75" customHeight="1">
      <c r="A502" s="220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0"/>
    </row>
    <row r="503" ht="15.75" customHeight="1">
      <c r="A503" s="220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0"/>
    </row>
    <row r="504" ht="15.75" customHeight="1">
      <c r="A504" s="220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0"/>
    </row>
    <row r="505" ht="15.75" customHeight="1">
      <c r="A505" s="220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0"/>
    </row>
    <row r="506" ht="15.75" customHeight="1">
      <c r="A506" s="220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0"/>
    </row>
    <row r="507" ht="15.75" customHeight="1">
      <c r="A507" s="220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0"/>
    </row>
    <row r="508" ht="15.75" customHeight="1">
      <c r="A508" s="220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0"/>
    </row>
    <row r="509" ht="15.75" customHeight="1">
      <c r="A509" s="220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0"/>
    </row>
    <row r="510" ht="15.75" customHeight="1">
      <c r="A510" s="220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0"/>
    </row>
    <row r="511" ht="15.75" customHeight="1">
      <c r="A511" s="220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0"/>
    </row>
    <row r="512" ht="15.75" customHeight="1">
      <c r="A512" s="220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0"/>
    </row>
    <row r="513" ht="15.75" customHeight="1">
      <c r="A513" s="220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0"/>
    </row>
    <row r="514" ht="15.75" customHeight="1">
      <c r="A514" s="220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0"/>
    </row>
    <row r="515" ht="15.75" customHeight="1">
      <c r="A515" s="220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0"/>
    </row>
    <row r="516" ht="15.75" customHeight="1">
      <c r="A516" s="220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0"/>
    </row>
    <row r="517" ht="15.75" customHeight="1">
      <c r="A517" s="220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0"/>
    </row>
    <row r="518" ht="15.75" customHeight="1">
      <c r="A518" s="220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0"/>
    </row>
    <row r="519" ht="15.75" customHeight="1">
      <c r="A519" s="220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0"/>
    </row>
    <row r="520" ht="15.75" customHeight="1">
      <c r="A520" s="220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0"/>
    </row>
    <row r="521" ht="15.75" customHeight="1">
      <c r="A521" s="220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0"/>
    </row>
    <row r="522" ht="15.75" customHeight="1">
      <c r="A522" s="220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0"/>
    </row>
    <row r="523" ht="15.75" customHeight="1">
      <c r="A523" s="220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0"/>
    </row>
    <row r="524" ht="15.75" customHeight="1">
      <c r="A524" s="220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0"/>
    </row>
    <row r="525" ht="15.75" customHeight="1">
      <c r="A525" s="220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0"/>
    </row>
    <row r="526" ht="15.75" customHeight="1">
      <c r="A526" s="220"/>
      <c r="B526" s="220"/>
      <c r="C526" s="220"/>
      <c r="D526" s="220"/>
      <c r="E526" s="220"/>
      <c r="F526" s="22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0"/>
    </row>
    <row r="527" ht="15.75" customHeight="1">
      <c r="A527" s="220"/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0"/>
    </row>
    <row r="528" ht="15.75" customHeight="1">
      <c r="A528" s="220"/>
      <c r="B528" s="220"/>
      <c r="C528" s="220"/>
      <c r="D528" s="220"/>
      <c r="E528" s="220"/>
      <c r="F528" s="22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0"/>
    </row>
    <row r="529" ht="15.75" customHeight="1">
      <c r="A529" s="220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0"/>
    </row>
    <row r="530" ht="15.75" customHeight="1">
      <c r="A530" s="220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0"/>
    </row>
    <row r="531" ht="15.75" customHeight="1">
      <c r="A531" s="220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0"/>
    </row>
    <row r="532" ht="15.75" customHeight="1">
      <c r="A532" s="220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0"/>
    </row>
    <row r="533" ht="15.75" customHeight="1">
      <c r="A533" s="220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0"/>
    </row>
    <row r="534" ht="15.75" customHeight="1">
      <c r="A534" s="220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0"/>
    </row>
    <row r="535" ht="15.75" customHeight="1">
      <c r="A535" s="220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0"/>
    </row>
    <row r="536" ht="15.75" customHeight="1">
      <c r="A536" s="220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0"/>
    </row>
    <row r="537" ht="15.75" customHeight="1">
      <c r="A537" s="220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0"/>
    </row>
    <row r="538" ht="15.75" customHeight="1">
      <c r="A538" s="220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0"/>
    </row>
    <row r="539" ht="15.75" customHeight="1">
      <c r="A539" s="220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0"/>
    </row>
    <row r="540" ht="15.75" customHeight="1">
      <c r="A540" s="220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0"/>
    </row>
    <row r="541" ht="15.75" customHeight="1">
      <c r="A541" s="220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0"/>
    </row>
    <row r="542" ht="15.75" customHeight="1">
      <c r="A542" s="220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0"/>
    </row>
    <row r="543" ht="15.75" customHeight="1">
      <c r="A543" s="220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0"/>
    </row>
    <row r="544" ht="15.75" customHeight="1">
      <c r="A544" s="220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0"/>
    </row>
    <row r="545" ht="15.75" customHeight="1">
      <c r="A545" s="220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0"/>
    </row>
    <row r="546" ht="15.75" customHeight="1">
      <c r="A546" s="220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0"/>
    </row>
    <row r="547" ht="15.75" customHeight="1">
      <c r="A547" s="220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0"/>
    </row>
    <row r="548" ht="15.75" customHeight="1">
      <c r="A548" s="220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0"/>
    </row>
    <row r="549" ht="15.75" customHeight="1">
      <c r="A549" s="220"/>
      <c r="B549" s="220"/>
      <c r="C549" s="220"/>
      <c r="D549" s="220"/>
      <c r="E549" s="220"/>
      <c r="F549" s="22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0"/>
    </row>
    <row r="550" ht="15.75" customHeight="1">
      <c r="A550" s="220"/>
      <c r="B550" s="220"/>
      <c r="C550" s="220"/>
      <c r="D550" s="220"/>
      <c r="E550" s="220"/>
      <c r="F550" s="22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0"/>
    </row>
    <row r="551" ht="15.75" customHeight="1">
      <c r="A551" s="220"/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0"/>
    </row>
    <row r="552" ht="15.75" customHeight="1">
      <c r="A552" s="220"/>
      <c r="B552" s="220"/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0"/>
    </row>
    <row r="553" ht="15.75" customHeight="1">
      <c r="A553" s="220"/>
      <c r="B553" s="220"/>
      <c r="C553" s="220"/>
      <c r="D553" s="220"/>
      <c r="E553" s="220"/>
      <c r="F553" s="22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0"/>
    </row>
    <row r="554" ht="15.75" customHeight="1">
      <c r="A554" s="220"/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0"/>
    </row>
    <row r="555" ht="15.75" customHeight="1">
      <c r="A555" s="220"/>
      <c r="B555" s="220"/>
      <c r="C555" s="220"/>
      <c r="D555" s="220"/>
      <c r="E555" s="220"/>
      <c r="F555" s="22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0"/>
    </row>
    <row r="556" ht="15.75" customHeight="1">
      <c r="A556" s="220"/>
      <c r="B556" s="220"/>
      <c r="C556" s="220"/>
      <c r="D556" s="220"/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0"/>
    </row>
    <row r="557" ht="15.75" customHeight="1">
      <c r="A557" s="220"/>
      <c r="B557" s="220"/>
      <c r="C557" s="220"/>
      <c r="D557" s="220"/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0"/>
    </row>
    <row r="558" ht="15.75" customHeight="1">
      <c r="A558" s="220"/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0"/>
    </row>
    <row r="559" ht="15.75" customHeight="1">
      <c r="A559" s="220"/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0"/>
    </row>
    <row r="560" ht="15.75" customHeight="1">
      <c r="A560" s="220"/>
      <c r="B560" s="220"/>
      <c r="C560" s="220"/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0"/>
    </row>
    <row r="561" ht="15.75" customHeight="1">
      <c r="A561" s="220"/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0"/>
    </row>
    <row r="562" ht="15.75" customHeight="1">
      <c r="A562" s="220"/>
      <c r="B562" s="220"/>
      <c r="C562" s="220"/>
      <c r="D562" s="220"/>
      <c r="E562" s="220"/>
      <c r="F562" s="22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0"/>
    </row>
    <row r="563" ht="15.75" customHeight="1">
      <c r="A563" s="220"/>
      <c r="B563" s="220"/>
      <c r="C563" s="220"/>
      <c r="D563" s="220"/>
      <c r="E563" s="220"/>
      <c r="F563" s="22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0"/>
    </row>
    <row r="564" ht="15.75" customHeight="1">
      <c r="A564" s="220"/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0"/>
    </row>
    <row r="565" ht="15.75" customHeight="1">
      <c r="A565" s="220"/>
      <c r="B565" s="220"/>
      <c r="C565" s="220"/>
      <c r="D565" s="220"/>
      <c r="E565" s="220"/>
      <c r="F565" s="22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0"/>
    </row>
    <row r="566" ht="15.75" customHeight="1">
      <c r="A566" s="220"/>
      <c r="B566" s="220"/>
      <c r="C566" s="220"/>
      <c r="D566" s="220"/>
      <c r="E566" s="220"/>
      <c r="F566" s="22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0"/>
    </row>
    <row r="567" ht="15.75" customHeight="1">
      <c r="A567" s="220"/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0"/>
    </row>
    <row r="568" ht="15.75" customHeight="1">
      <c r="A568" s="220"/>
      <c r="B568" s="220"/>
      <c r="C568" s="220"/>
      <c r="D568" s="220"/>
      <c r="E568" s="220"/>
      <c r="F568" s="22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0"/>
    </row>
    <row r="569" ht="15.75" customHeight="1">
      <c r="A569" s="220"/>
      <c r="B569" s="220"/>
      <c r="C569" s="220"/>
      <c r="D569" s="220"/>
      <c r="E569" s="220"/>
      <c r="F569" s="22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0"/>
    </row>
    <row r="570" ht="15.75" customHeight="1">
      <c r="A570" s="220"/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0"/>
    </row>
    <row r="571" ht="15.75" customHeight="1">
      <c r="A571" s="220"/>
      <c r="B571" s="220"/>
      <c r="C571" s="220"/>
      <c r="D571" s="220"/>
      <c r="E571" s="220"/>
      <c r="F571" s="22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0"/>
    </row>
    <row r="572" ht="15.75" customHeight="1">
      <c r="A572" s="220"/>
      <c r="B572" s="220"/>
      <c r="C572" s="220"/>
      <c r="D572" s="220"/>
      <c r="E572" s="220"/>
      <c r="F572" s="22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0"/>
    </row>
    <row r="573" ht="15.75" customHeight="1">
      <c r="A573" s="220"/>
      <c r="B573" s="220"/>
      <c r="C573" s="220"/>
      <c r="D573" s="220"/>
      <c r="E573" s="220"/>
      <c r="F573" s="22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0"/>
    </row>
    <row r="574" ht="15.75" customHeight="1">
      <c r="A574" s="220"/>
      <c r="B574" s="220"/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0"/>
    </row>
    <row r="575" ht="15.75" customHeight="1">
      <c r="A575" s="220"/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0"/>
    </row>
    <row r="576" ht="15.75" customHeight="1">
      <c r="A576" s="220"/>
      <c r="B576" s="220"/>
      <c r="C576" s="220"/>
      <c r="D576" s="220"/>
      <c r="E576" s="220"/>
      <c r="F576" s="22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0"/>
    </row>
    <row r="577" ht="15.75" customHeight="1">
      <c r="A577" s="220"/>
      <c r="B577" s="220"/>
      <c r="C577" s="220"/>
      <c r="D577" s="220"/>
      <c r="E577" s="220"/>
      <c r="F577" s="22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0"/>
    </row>
    <row r="578" ht="15.75" customHeight="1">
      <c r="A578" s="220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0"/>
    </row>
    <row r="579" ht="15.75" customHeight="1">
      <c r="A579" s="220"/>
      <c r="B579" s="220"/>
      <c r="C579" s="220"/>
      <c r="D579" s="220"/>
      <c r="E579" s="220"/>
      <c r="F579" s="22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0"/>
    </row>
    <row r="580" ht="15.75" customHeight="1">
      <c r="A580" s="220"/>
      <c r="B580" s="220"/>
      <c r="C580" s="220"/>
      <c r="D580" s="220"/>
      <c r="E580" s="220"/>
      <c r="F580" s="22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0"/>
    </row>
    <row r="581" ht="15.75" customHeight="1">
      <c r="A581" s="220"/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0"/>
    </row>
    <row r="582" ht="15.75" customHeight="1">
      <c r="A582" s="220"/>
      <c r="B582" s="220"/>
      <c r="C582" s="220"/>
      <c r="D582" s="220"/>
      <c r="E582" s="220"/>
      <c r="F582" s="22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0"/>
    </row>
    <row r="583" ht="15.75" customHeight="1">
      <c r="A583" s="220"/>
      <c r="B583" s="220"/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0"/>
    </row>
    <row r="584" ht="15.75" customHeight="1">
      <c r="A584" s="220"/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0"/>
    </row>
    <row r="585" ht="15.75" customHeight="1">
      <c r="A585" s="220"/>
      <c r="B585" s="220"/>
      <c r="C585" s="220"/>
      <c r="D585" s="220"/>
      <c r="E585" s="220"/>
      <c r="F585" s="22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0"/>
    </row>
    <row r="586" ht="15.75" customHeight="1">
      <c r="A586" s="220"/>
      <c r="B586" s="220"/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0"/>
    </row>
    <row r="587" ht="15.75" customHeight="1">
      <c r="A587" s="220"/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0"/>
    </row>
    <row r="588" ht="15.75" customHeight="1">
      <c r="A588" s="220"/>
      <c r="B588" s="220"/>
      <c r="C588" s="220"/>
      <c r="D588" s="220"/>
      <c r="E588" s="220"/>
      <c r="F588" s="22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0"/>
    </row>
    <row r="589" ht="15.75" customHeight="1">
      <c r="A589" s="220"/>
      <c r="B589" s="220"/>
      <c r="C589" s="220"/>
      <c r="D589" s="220"/>
      <c r="E589" s="220"/>
      <c r="F589" s="22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0"/>
    </row>
    <row r="590" ht="15.75" customHeight="1">
      <c r="A590" s="220"/>
      <c r="B590" s="220"/>
      <c r="C590" s="220"/>
      <c r="D590" s="220"/>
      <c r="E590" s="220"/>
      <c r="F590" s="22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0"/>
    </row>
    <row r="591" ht="15.75" customHeight="1">
      <c r="A591" s="220"/>
      <c r="B591" s="220"/>
      <c r="C591" s="220"/>
      <c r="D591" s="220"/>
      <c r="E591" s="220"/>
      <c r="F591" s="22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0"/>
    </row>
    <row r="592" ht="15.75" customHeight="1">
      <c r="A592" s="220"/>
      <c r="B592" s="220"/>
      <c r="C592" s="220"/>
      <c r="D592" s="220"/>
      <c r="E592" s="220"/>
      <c r="F592" s="22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0"/>
    </row>
    <row r="593" ht="15.75" customHeight="1">
      <c r="A593" s="220"/>
      <c r="B593" s="220"/>
      <c r="C593" s="220"/>
      <c r="D593" s="220"/>
      <c r="E593" s="220"/>
      <c r="F593" s="22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0"/>
    </row>
    <row r="594" ht="15.75" customHeight="1">
      <c r="A594" s="220"/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0"/>
    </row>
    <row r="595" ht="15.75" customHeight="1">
      <c r="A595" s="220"/>
      <c r="B595" s="220"/>
      <c r="C595" s="220"/>
      <c r="D595" s="220"/>
      <c r="E595" s="220"/>
      <c r="F595" s="22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0"/>
    </row>
    <row r="596" ht="15.75" customHeight="1">
      <c r="A596" s="220"/>
      <c r="B596" s="220"/>
      <c r="C596" s="220"/>
      <c r="D596" s="220"/>
      <c r="E596" s="220"/>
      <c r="F596" s="22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0"/>
    </row>
    <row r="597" ht="15.75" customHeight="1">
      <c r="A597" s="220"/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0"/>
    </row>
    <row r="598" ht="15.75" customHeight="1">
      <c r="A598" s="220"/>
      <c r="B598" s="220"/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0"/>
    </row>
    <row r="599" ht="15.75" customHeight="1">
      <c r="A599" s="220"/>
      <c r="B599" s="220"/>
      <c r="C599" s="220"/>
      <c r="D599" s="220"/>
      <c r="E599" s="220"/>
      <c r="F599" s="22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0"/>
    </row>
    <row r="600" ht="15.75" customHeight="1">
      <c r="A600" s="220"/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0"/>
    </row>
    <row r="601" ht="15.75" customHeight="1">
      <c r="A601" s="220"/>
      <c r="B601" s="220"/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0"/>
    </row>
    <row r="602" ht="15.75" customHeight="1">
      <c r="A602" s="220"/>
      <c r="B602" s="220"/>
      <c r="C602" s="220"/>
      <c r="D602" s="220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0"/>
    </row>
    <row r="603" ht="15.75" customHeight="1">
      <c r="A603" s="220"/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0"/>
    </row>
    <row r="604" ht="15.75" customHeight="1">
      <c r="A604" s="220"/>
      <c r="B604" s="220"/>
      <c r="C604" s="220"/>
      <c r="D604" s="220"/>
      <c r="E604" s="220"/>
      <c r="F604" s="22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0"/>
    </row>
    <row r="605" ht="15.75" customHeight="1">
      <c r="A605" s="220"/>
      <c r="B605" s="220"/>
      <c r="C605" s="220"/>
      <c r="D605" s="220"/>
      <c r="E605" s="220"/>
      <c r="F605" s="22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0"/>
    </row>
    <row r="606" ht="15.75" customHeight="1">
      <c r="A606" s="220"/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0"/>
    </row>
    <row r="607" ht="15.75" customHeight="1">
      <c r="A607" s="220"/>
      <c r="B607" s="220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0"/>
    </row>
    <row r="608" ht="15.75" customHeight="1">
      <c r="A608" s="220"/>
      <c r="B608" s="220"/>
      <c r="C608" s="220"/>
      <c r="D608" s="220"/>
      <c r="E608" s="220"/>
      <c r="F608" s="22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0"/>
    </row>
    <row r="609" ht="15.75" customHeight="1">
      <c r="A609" s="220"/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0"/>
    </row>
    <row r="610" ht="15.75" customHeight="1">
      <c r="A610" s="220"/>
      <c r="B610" s="220"/>
      <c r="C610" s="220"/>
      <c r="D610" s="220"/>
      <c r="E610" s="220"/>
      <c r="F610" s="22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0"/>
    </row>
    <row r="611" ht="15.75" customHeight="1">
      <c r="A611" s="220"/>
      <c r="B611" s="220"/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0"/>
    </row>
    <row r="612" ht="15.75" customHeight="1">
      <c r="A612" s="220"/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0"/>
    </row>
    <row r="613" ht="15.75" customHeight="1">
      <c r="A613" s="220"/>
      <c r="B613" s="220"/>
      <c r="C613" s="220"/>
      <c r="D613" s="220"/>
      <c r="E613" s="220"/>
      <c r="F613" s="22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0"/>
    </row>
    <row r="614" ht="15.75" customHeight="1">
      <c r="A614" s="220"/>
      <c r="B614" s="220"/>
      <c r="C614" s="220"/>
      <c r="D614" s="220"/>
      <c r="E614" s="220"/>
      <c r="F614" s="220"/>
      <c r="G614" s="220"/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  <c r="W614" s="220"/>
      <c r="X614" s="220"/>
      <c r="Y614" s="220"/>
      <c r="Z614" s="220"/>
    </row>
    <row r="615" ht="15.75" customHeight="1">
      <c r="A615" s="220"/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  <c r="W615" s="220"/>
      <c r="X615" s="220"/>
      <c r="Y615" s="220"/>
      <c r="Z615" s="220"/>
    </row>
    <row r="616" ht="15.75" customHeight="1">
      <c r="A616" s="220"/>
      <c r="B616" s="220"/>
      <c r="C616" s="220"/>
      <c r="D616" s="220"/>
      <c r="E616" s="220"/>
      <c r="F616" s="220"/>
      <c r="G616" s="220"/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  <c r="W616" s="220"/>
      <c r="X616" s="220"/>
      <c r="Y616" s="220"/>
      <c r="Z616" s="220"/>
    </row>
    <row r="617" ht="15.75" customHeight="1">
      <c r="A617" s="220"/>
      <c r="B617" s="220"/>
      <c r="C617" s="220"/>
      <c r="D617" s="220"/>
      <c r="E617" s="220"/>
      <c r="F617" s="220"/>
      <c r="G617" s="220"/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  <c r="W617" s="220"/>
      <c r="X617" s="220"/>
      <c r="Y617" s="220"/>
      <c r="Z617" s="220"/>
    </row>
    <row r="618" ht="15.75" customHeight="1">
      <c r="A618" s="220"/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  <c r="W618" s="220"/>
      <c r="X618" s="220"/>
      <c r="Y618" s="220"/>
      <c r="Z618" s="220"/>
    </row>
    <row r="619" ht="15.75" customHeight="1">
      <c r="A619" s="220"/>
      <c r="B619" s="220"/>
      <c r="C619" s="220"/>
      <c r="D619" s="220"/>
      <c r="E619" s="220"/>
      <c r="F619" s="220"/>
      <c r="G619" s="220"/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  <c r="W619" s="220"/>
      <c r="X619" s="220"/>
      <c r="Y619" s="220"/>
      <c r="Z619" s="220"/>
    </row>
    <row r="620" ht="15.75" customHeight="1">
      <c r="A620" s="220"/>
      <c r="B620" s="220"/>
      <c r="C620" s="220"/>
      <c r="D620" s="220"/>
      <c r="E620" s="220"/>
      <c r="F620" s="220"/>
      <c r="G620" s="220"/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  <c r="W620" s="220"/>
      <c r="X620" s="220"/>
      <c r="Y620" s="220"/>
      <c r="Z620" s="220"/>
    </row>
    <row r="621" ht="15.75" customHeight="1">
      <c r="A621" s="220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220"/>
      <c r="Y621" s="220"/>
      <c r="Z621" s="220"/>
    </row>
    <row r="622" ht="15.75" customHeight="1">
      <c r="A622" s="220"/>
      <c r="B622" s="220"/>
      <c r="C622" s="220"/>
      <c r="D622" s="220"/>
      <c r="E622" s="220"/>
      <c r="F622" s="220"/>
      <c r="G622" s="220"/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  <c r="W622" s="220"/>
      <c r="X622" s="220"/>
      <c r="Y622" s="220"/>
      <c r="Z622" s="220"/>
    </row>
    <row r="623" ht="15.75" customHeight="1">
      <c r="A623" s="220"/>
      <c r="B623" s="220"/>
      <c r="C623" s="220"/>
      <c r="D623" s="220"/>
      <c r="E623" s="220"/>
      <c r="F623" s="220"/>
      <c r="G623" s="220"/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  <c r="W623" s="220"/>
      <c r="X623" s="220"/>
      <c r="Y623" s="220"/>
      <c r="Z623" s="220"/>
    </row>
    <row r="624" ht="15.75" customHeight="1">
      <c r="A624" s="220"/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  <c r="W624" s="220"/>
      <c r="X624" s="220"/>
      <c r="Y624" s="220"/>
      <c r="Z624" s="220"/>
    </row>
    <row r="625" ht="15.75" customHeight="1">
      <c r="A625" s="220"/>
      <c r="B625" s="220"/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  <c r="W625" s="220"/>
      <c r="X625" s="220"/>
      <c r="Y625" s="220"/>
      <c r="Z625" s="220"/>
    </row>
    <row r="626" ht="15.75" customHeight="1">
      <c r="A626" s="220"/>
      <c r="B626" s="220"/>
      <c r="C626" s="220"/>
      <c r="D626" s="220"/>
      <c r="E626" s="220"/>
      <c r="F626" s="220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  <c r="W626" s="220"/>
      <c r="X626" s="220"/>
      <c r="Y626" s="220"/>
      <c r="Z626" s="220"/>
    </row>
    <row r="627" ht="15.75" customHeight="1">
      <c r="A627" s="220"/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  <c r="W627" s="220"/>
      <c r="X627" s="220"/>
      <c r="Y627" s="220"/>
      <c r="Z627" s="220"/>
    </row>
    <row r="628" ht="15.75" customHeight="1">
      <c r="A628" s="220"/>
      <c r="B628" s="220"/>
      <c r="C628" s="220"/>
      <c r="D628" s="220"/>
      <c r="E628" s="220"/>
      <c r="F628" s="220"/>
      <c r="G628" s="220"/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  <c r="W628" s="220"/>
      <c r="X628" s="220"/>
      <c r="Y628" s="220"/>
      <c r="Z628" s="220"/>
    </row>
    <row r="629" ht="15.75" customHeight="1">
      <c r="A629" s="220"/>
      <c r="B629" s="220"/>
      <c r="C629" s="220"/>
      <c r="D629" s="220"/>
      <c r="E629" s="220"/>
      <c r="F629" s="220"/>
      <c r="G629" s="220"/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  <c r="W629" s="220"/>
      <c r="X629" s="220"/>
      <c r="Y629" s="220"/>
      <c r="Z629" s="220"/>
    </row>
    <row r="630" ht="15.75" customHeight="1">
      <c r="A630" s="220"/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  <c r="W630" s="220"/>
      <c r="X630" s="220"/>
      <c r="Y630" s="220"/>
      <c r="Z630" s="220"/>
    </row>
    <row r="631" ht="15.75" customHeight="1">
      <c r="A631" s="220"/>
      <c r="B631" s="220"/>
      <c r="C631" s="220"/>
      <c r="D631" s="220"/>
      <c r="E631" s="220"/>
      <c r="F631" s="220"/>
      <c r="G631" s="220"/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  <c r="W631" s="220"/>
      <c r="X631" s="220"/>
      <c r="Y631" s="220"/>
      <c r="Z631" s="220"/>
    </row>
    <row r="632" ht="15.75" customHeight="1">
      <c r="A632" s="220"/>
      <c r="B632" s="220"/>
      <c r="C632" s="220"/>
      <c r="D632" s="220"/>
      <c r="E632" s="220"/>
      <c r="F632" s="220"/>
      <c r="G632" s="220"/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  <c r="W632" s="220"/>
      <c r="X632" s="220"/>
      <c r="Y632" s="220"/>
      <c r="Z632" s="220"/>
    </row>
    <row r="633" ht="15.75" customHeight="1">
      <c r="A633" s="220"/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  <c r="W633" s="220"/>
      <c r="X633" s="220"/>
      <c r="Y633" s="220"/>
      <c r="Z633" s="220"/>
    </row>
    <row r="634" ht="15.75" customHeight="1">
      <c r="A634" s="220"/>
      <c r="B634" s="220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  <c r="W634" s="220"/>
      <c r="X634" s="220"/>
      <c r="Y634" s="220"/>
      <c r="Z634" s="220"/>
    </row>
    <row r="635" ht="15.75" customHeight="1">
      <c r="A635" s="220"/>
      <c r="B635" s="220"/>
      <c r="C635" s="220"/>
      <c r="D635" s="220"/>
      <c r="E635" s="220"/>
      <c r="F635" s="220"/>
      <c r="G635" s="220"/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  <c r="W635" s="220"/>
      <c r="X635" s="220"/>
      <c r="Y635" s="220"/>
      <c r="Z635" s="220"/>
    </row>
    <row r="636" ht="15.75" customHeight="1">
      <c r="A636" s="220"/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  <c r="W636" s="220"/>
      <c r="X636" s="220"/>
      <c r="Y636" s="220"/>
      <c r="Z636" s="220"/>
    </row>
    <row r="637" ht="15.75" customHeight="1">
      <c r="A637" s="220"/>
      <c r="B637" s="220"/>
      <c r="C637" s="220"/>
      <c r="D637" s="220"/>
      <c r="E637" s="220"/>
      <c r="F637" s="220"/>
      <c r="G637" s="220"/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  <c r="W637" s="220"/>
      <c r="X637" s="220"/>
      <c r="Y637" s="220"/>
      <c r="Z637" s="220"/>
    </row>
    <row r="638" ht="15.75" customHeight="1">
      <c r="A638" s="220"/>
      <c r="B638" s="220"/>
      <c r="C638" s="220"/>
      <c r="D638" s="220"/>
      <c r="E638" s="220"/>
      <c r="F638" s="220"/>
      <c r="G638" s="220"/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  <c r="W638" s="220"/>
      <c r="X638" s="220"/>
      <c r="Y638" s="220"/>
      <c r="Z638" s="220"/>
    </row>
    <row r="639" ht="15.75" customHeight="1">
      <c r="A639" s="220"/>
      <c r="B639" s="220"/>
      <c r="C639" s="220"/>
      <c r="D639" s="220"/>
      <c r="E639" s="220"/>
      <c r="F639" s="220"/>
      <c r="G639" s="220"/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  <c r="W639" s="220"/>
      <c r="X639" s="220"/>
      <c r="Y639" s="220"/>
      <c r="Z639" s="220"/>
    </row>
    <row r="640" ht="15.75" customHeight="1">
      <c r="A640" s="220"/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  <c r="W640" s="220"/>
      <c r="X640" s="220"/>
      <c r="Y640" s="220"/>
      <c r="Z640" s="220"/>
    </row>
    <row r="641" ht="15.75" customHeight="1">
      <c r="A641" s="220"/>
      <c r="B641" s="220"/>
      <c r="C641" s="220"/>
      <c r="D641" s="220"/>
      <c r="E641" s="220"/>
      <c r="F641" s="220"/>
      <c r="G641" s="220"/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  <c r="W641" s="220"/>
      <c r="X641" s="220"/>
      <c r="Y641" s="220"/>
      <c r="Z641" s="220"/>
    </row>
    <row r="642" ht="15.75" customHeight="1">
      <c r="A642" s="220"/>
      <c r="B642" s="220"/>
      <c r="C642" s="220"/>
      <c r="D642" s="220"/>
      <c r="E642" s="220"/>
      <c r="F642" s="220"/>
      <c r="G642" s="220"/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  <c r="W642" s="220"/>
      <c r="X642" s="220"/>
      <c r="Y642" s="220"/>
      <c r="Z642" s="220"/>
    </row>
    <row r="643" ht="15.75" customHeight="1">
      <c r="A643" s="220"/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  <c r="W643" s="220"/>
      <c r="X643" s="220"/>
      <c r="Y643" s="220"/>
      <c r="Z643" s="220"/>
    </row>
    <row r="644" ht="15.75" customHeight="1">
      <c r="A644" s="220"/>
      <c r="B644" s="220"/>
      <c r="C644" s="220"/>
      <c r="D644" s="220"/>
      <c r="E644" s="220"/>
      <c r="F644" s="220"/>
      <c r="G644" s="220"/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  <c r="W644" s="220"/>
      <c r="X644" s="220"/>
      <c r="Y644" s="220"/>
      <c r="Z644" s="220"/>
    </row>
    <row r="645" ht="15.75" customHeight="1">
      <c r="A645" s="220"/>
      <c r="B645" s="220"/>
      <c r="C645" s="220"/>
      <c r="D645" s="220"/>
      <c r="E645" s="220"/>
      <c r="F645" s="220"/>
      <c r="G645" s="220"/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  <c r="W645" s="220"/>
      <c r="X645" s="220"/>
      <c r="Y645" s="220"/>
      <c r="Z645" s="220"/>
    </row>
    <row r="646" ht="15.75" customHeight="1">
      <c r="A646" s="220"/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  <c r="W646" s="220"/>
      <c r="X646" s="220"/>
      <c r="Y646" s="220"/>
      <c r="Z646" s="220"/>
    </row>
    <row r="647" ht="15.75" customHeight="1">
      <c r="A647" s="220"/>
      <c r="B647" s="220"/>
      <c r="C647" s="220"/>
      <c r="D647" s="220"/>
      <c r="E647" s="220"/>
      <c r="F647" s="220"/>
      <c r="G647" s="220"/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  <c r="W647" s="220"/>
      <c r="X647" s="220"/>
      <c r="Y647" s="220"/>
      <c r="Z647" s="220"/>
    </row>
    <row r="648" ht="15.75" customHeight="1">
      <c r="A648" s="220"/>
      <c r="B648" s="220"/>
      <c r="C648" s="220"/>
      <c r="D648" s="220"/>
      <c r="E648" s="220"/>
      <c r="F648" s="220"/>
      <c r="G648" s="220"/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  <c r="W648" s="220"/>
      <c r="X648" s="220"/>
      <c r="Y648" s="220"/>
      <c r="Z648" s="220"/>
    </row>
    <row r="649" ht="15.75" customHeight="1">
      <c r="A649" s="220"/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  <c r="W649" s="220"/>
      <c r="X649" s="220"/>
      <c r="Y649" s="220"/>
      <c r="Z649" s="220"/>
    </row>
    <row r="650" ht="15.75" customHeight="1">
      <c r="A650" s="220"/>
      <c r="B650" s="220"/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  <c r="W650" s="220"/>
      <c r="X650" s="220"/>
      <c r="Y650" s="220"/>
      <c r="Z650" s="220"/>
    </row>
    <row r="651" ht="15.75" customHeight="1">
      <c r="A651" s="220"/>
      <c r="B651" s="220"/>
      <c r="C651" s="220"/>
      <c r="D651" s="220"/>
      <c r="E651" s="220"/>
      <c r="F651" s="220"/>
      <c r="G651" s="220"/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  <c r="W651" s="220"/>
      <c r="X651" s="220"/>
      <c r="Y651" s="220"/>
      <c r="Z651" s="220"/>
    </row>
    <row r="652" ht="15.75" customHeight="1">
      <c r="A652" s="220"/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  <c r="W652" s="220"/>
      <c r="X652" s="220"/>
      <c r="Y652" s="220"/>
      <c r="Z652" s="220"/>
    </row>
    <row r="653" ht="15.75" customHeight="1">
      <c r="A653" s="220"/>
      <c r="B653" s="220"/>
      <c r="C653" s="220"/>
      <c r="D653" s="220"/>
      <c r="E653" s="220"/>
      <c r="F653" s="220"/>
      <c r="G653" s="220"/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  <c r="W653" s="220"/>
      <c r="X653" s="220"/>
      <c r="Y653" s="220"/>
      <c r="Z653" s="220"/>
    </row>
    <row r="654" ht="15.75" customHeight="1">
      <c r="A654" s="220"/>
      <c r="B654" s="220"/>
      <c r="C654" s="220"/>
      <c r="D654" s="220"/>
      <c r="E654" s="220"/>
      <c r="F654" s="220"/>
      <c r="G654" s="220"/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  <c r="W654" s="220"/>
      <c r="X654" s="220"/>
      <c r="Y654" s="220"/>
      <c r="Z654" s="220"/>
    </row>
    <row r="655" ht="15.75" customHeight="1">
      <c r="A655" s="220"/>
      <c r="B655" s="220"/>
      <c r="C655" s="220"/>
      <c r="D655" s="220"/>
      <c r="E655" s="220"/>
      <c r="F655" s="220"/>
      <c r="G655" s="220"/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  <c r="W655" s="220"/>
      <c r="X655" s="220"/>
      <c r="Y655" s="220"/>
      <c r="Z655" s="220"/>
    </row>
    <row r="656" ht="15.75" customHeight="1">
      <c r="A656" s="220"/>
      <c r="B656" s="220"/>
      <c r="C656" s="220"/>
      <c r="D656" s="220"/>
      <c r="E656" s="220"/>
      <c r="F656" s="220"/>
      <c r="G656" s="220"/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  <c r="W656" s="220"/>
      <c r="X656" s="220"/>
      <c r="Y656" s="220"/>
      <c r="Z656" s="220"/>
    </row>
    <row r="657" ht="15.75" customHeight="1">
      <c r="A657" s="220"/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220"/>
      <c r="Y657" s="220"/>
      <c r="Z657" s="220"/>
    </row>
    <row r="658" ht="15.75" customHeight="1">
      <c r="A658" s="220"/>
      <c r="B658" s="220"/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  <c r="W658" s="220"/>
      <c r="X658" s="220"/>
      <c r="Y658" s="220"/>
      <c r="Z658" s="220"/>
    </row>
    <row r="659" ht="15.75" customHeight="1">
      <c r="A659" s="220"/>
      <c r="B659" s="220"/>
      <c r="C659" s="220"/>
      <c r="D659" s="220"/>
      <c r="E659" s="220"/>
      <c r="F659" s="220"/>
      <c r="G659" s="220"/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  <c r="W659" s="220"/>
      <c r="X659" s="220"/>
      <c r="Y659" s="220"/>
      <c r="Z659" s="220"/>
    </row>
    <row r="660" ht="15.75" customHeight="1">
      <c r="A660" s="220"/>
      <c r="B660" s="220"/>
      <c r="C660" s="220"/>
      <c r="D660" s="220"/>
      <c r="E660" s="220"/>
      <c r="F660" s="220"/>
      <c r="G660" s="220"/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  <c r="W660" s="220"/>
      <c r="X660" s="220"/>
      <c r="Y660" s="220"/>
      <c r="Z660" s="220"/>
    </row>
    <row r="661" ht="15.75" customHeight="1">
      <c r="A661" s="220"/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  <c r="W661" s="220"/>
      <c r="X661" s="220"/>
      <c r="Y661" s="220"/>
      <c r="Z661" s="220"/>
    </row>
    <row r="662" ht="15.75" customHeight="1">
      <c r="A662" s="220"/>
      <c r="B662" s="220"/>
      <c r="C662" s="220"/>
      <c r="D662" s="220"/>
      <c r="E662" s="220"/>
      <c r="F662" s="220"/>
      <c r="G662" s="220"/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  <c r="W662" s="220"/>
      <c r="X662" s="220"/>
      <c r="Y662" s="220"/>
      <c r="Z662" s="220"/>
    </row>
    <row r="663" ht="15.75" customHeight="1">
      <c r="A663" s="220"/>
      <c r="B663" s="220"/>
      <c r="C663" s="220"/>
      <c r="D663" s="220"/>
      <c r="E663" s="220"/>
      <c r="F663" s="220"/>
      <c r="G663" s="220"/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  <c r="W663" s="220"/>
      <c r="X663" s="220"/>
      <c r="Y663" s="220"/>
      <c r="Z663" s="220"/>
    </row>
    <row r="664" ht="15.75" customHeight="1">
      <c r="A664" s="220"/>
      <c r="B664" s="220"/>
      <c r="C664" s="220"/>
      <c r="D664" s="220"/>
      <c r="E664" s="220"/>
      <c r="F664" s="220"/>
      <c r="G664" s="220"/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  <c r="W664" s="220"/>
      <c r="X664" s="220"/>
      <c r="Y664" s="220"/>
      <c r="Z664" s="220"/>
    </row>
    <row r="665" ht="15.75" customHeight="1">
      <c r="A665" s="220"/>
      <c r="B665" s="220"/>
      <c r="C665" s="220"/>
      <c r="D665" s="220"/>
      <c r="E665" s="220"/>
      <c r="F665" s="220"/>
      <c r="G665" s="220"/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  <c r="W665" s="220"/>
      <c r="X665" s="220"/>
      <c r="Y665" s="220"/>
      <c r="Z665" s="220"/>
    </row>
    <row r="666" ht="15.75" customHeight="1">
      <c r="A666" s="220"/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  <c r="W666" s="220"/>
      <c r="X666" s="220"/>
      <c r="Y666" s="220"/>
      <c r="Z666" s="220"/>
    </row>
    <row r="667" ht="15.75" customHeight="1">
      <c r="A667" s="220"/>
      <c r="B667" s="220"/>
      <c r="C667" s="220"/>
      <c r="D667" s="220"/>
      <c r="E667" s="220"/>
      <c r="F667" s="220"/>
      <c r="G667" s="220"/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  <c r="W667" s="220"/>
      <c r="X667" s="220"/>
      <c r="Y667" s="220"/>
      <c r="Z667" s="220"/>
    </row>
    <row r="668" ht="15.75" customHeight="1">
      <c r="A668" s="220"/>
      <c r="B668" s="220"/>
      <c r="C668" s="220"/>
      <c r="D668" s="220"/>
      <c r="E668" s="220"/>
      <c r="F668" s="220"/>
      <c r="G668" s="220"/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  <c r="W668" s="220"/>
      <c r="X668" s="220"/>
      <c r="Y668" s="220"/>
      <c r="Z668" s="220"/>
    </row>
    <row r="669" ht="15.75" customHeight="1">
      <c r="A669" s="220"/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  <c r="W669" s="220"/>
      <c r="X669" s="220"/>
      <c r="Y669" s="220"/>
      <c r="Z669" s="220"/>
    </row>
    <row r="670" ht="15.75" customHeight="1">
      <c r="A670" s="220"/>
      <c r="B670" s="220"/>
      <c r="C670" s="220"/>
      <c r="D670" s="220"/>
      <c r="E670" s="220"/>
      <c r="F670" s="220"/>
      <c r="G670" s="220"/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  <c r="W670" s="220"/>
      <c r="X670" s="220"/>
      <c r="Y670" s="220"/>
      <c r="Z670" s="220"/>
    </row>
    <row r="671" ht="15.75" customHeight="1">
      <c r="A671" s="220"/>
      <c r="B671" s="220"/>
      <c r="C671" s="220"/>
      <c r="D671" s="220"/>
      <c r="E671" s="220"/>
      <c r="F671" s="220"/>
      <c r="G671" s="220"/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  <c r="W671" s="220"/>
      <c r="X671" s="220"/>
      <c r="Y671" s="220"/>
      <c r="Z671" s="220"/>
    </row>
    <row r="672" ht="15.75" customHeight="1">
      <c r="A672" s="220"/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  <c r="W672" s="220"/>
      <c r="X672" s="220"/>
      <c r="Y672" s="220"/>
      <c r="Z672" s="220"/>
    </row>
    <row r="673" ht="15.75" customHeight="1">
      <c r="A673" s="220"/>
      <c r="B673" s="220"/>
      <c r="C673" s="220"/>
      <c r="D673" s="220"/>
      <c r="E673" s="220"/>
      <c r="F673" s="220"/>
      <c r="G673" s="220"/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  <c r="W673" s="220"/>
      <c r="X673" s="220"/>
      <c r="Y673" s="220"/>
      <c r="Z673" s="220"/>
    </row>
    <row r="674" ht="15.75" customHeight="1">
      <c r="A674" s="220"/>
      <c r="B674" s="220"/>
      <c r="C674" s="220"/>
      <c r="D674" s="220"/>
      <c r="E674" s="220"/>
      <c r="F674" s="220"/>
      <c r="G674" s="220"/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  <c r="W674" s="220"/>
      <c r="X674" s="220"/>
      <c r="Y674" s="220"/>
      <c r="Z674" s="220"/>
    </row>
    <row r="675" ht="15.75" customHeight="1">
      <c r="A675" s="220"/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  <c r="W675" s="220"/>
      <c r="X675" s="220"/>
      <c r="Y675" s="220"/>
      <c r="Z675" s="220"/>
    </row>
    <row r="676" ht="15.75" customHeight="1">
      <c r="A676" s="220"/>
      <c r="B676" s="220"/>
      <c r="C676" s="220"/>
      <c r="D676" s="220"/>
      <c r="E676" s="220"/>
      <c r="F676" s="220"/>
      <c r="G676" s="220"/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  <c r="W676" s="220"/>
      <c r="X676" s="220"/>
      <c r="Y676" s="220"/>
      <c r="Z676" s="220"/>
    </row>
    <row r="677" ht="15.75" customHeight="1">
      <c r="A677" s="220"/>
      <c r="B677" s="220"/>
      <c r="C677" s="220"/>
      <c r="D677" s="220"/>
      <c r="E677" s="220"/>
      <c r="F677" s="220"/>
      <c r="G677" s="220"/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  <c r="W677" s="220"/>
      <c r="X677" s="220"/>
      <c r="Y677" s="220"/>
      <c r="Z677" s="220"/>
    </row>
    <row r="678" ht="15.75" customHeight="1">
      <c r="A678" s="220"/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  <c r="W678" s="220"/>
      <c r="X678" s="220"/>
      <c r="Y678" s="220"/>
      <c r="Z678" s="220"/>
    </row>
    <row r="679" ht="15.75" customHeight="1">
      <c r="A679" s="220"/>
      <c r="B679" s="220"/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  <c r="W679" s="220"/>
      <c r="X679" s="220"/>
      <c r="Y679" s="220"/>
      <c r="Z679" s="220"/>
    </row>
    <row r="680" ht="15.75" customHeight="1">
      <c r="A680" s="220"/>
      <c r="B680" s="220"/>
      <c r="C680" s="220"/>
      <c r="D680" s="220"/>
      <c r="E680" s="220"/>
      <c r="F680" s="220"/>
      <c r="G680" s="220"/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  <c r="W680" s="220"/>
      <c r="X680" s="220"/>
      <c r="Y680" s="220"/>
      <c r="Z680" s="220"/>
    </row>
    <row r="681" ht="15.75" customHeight="1">
      <c r="A681" s="220"/>
      <c r="B681" s="220"/>
      <c r="C681" s="220"/>
      <c r="D681" s="220"/>
      <c r="E681" s="220"/>
      <c r="F681" s="220"/>
      <c r="G681" s="220"/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  <c r="W681" s="220"/>
      <c r="X681" s="220"/>
      <c r="Y681" s="220"/>
      <c r="Z681" s="220"/>
    </row>
    <row r="682" ht="15.75" customHeight="1">
      <c r="A682" s="220"/>
      <c r="B682" s="220"/>
      <c r="C682" s="220"/>
      <c r="D682" s="220"/>
      <c r="E682" s="220"/>
      <c r="F682" s="220"/>
      <c r="G682" s="220"/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  <c r="W682" s="220"/>
      <c r="X682" s="220"/>
      <c r="Y682" s="220"/>
      <c r="Z682" s="220"/>
    </row>
    <row r="683" ht="15.75" customHeight="1">
      <c r="A683" s="220"/>
      <c r="B683" s="220"/>
      <c r="C683" s="220"/>
      <c r="D683" s="220"/>
      <c r="E683" s="220"/>
      <c r="F683" s="220"/>
      <c r="G683" s="220"/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  <c r="W683" s="220"/>
      <c r="X683" s="220"/>
      <c r="Y683" s="220"/>
      <c r="Z683" s="220"/>
    </row>
    <row r="684" ht="15.75" customHeight="1">
      <c r="A684" s="220"/>
      <c r="B684" s="220"/>
      <c r="C684" s="220"/>
      <c r="D684" s="220"/>
      <c r="E684" s="220"/>
      <c r="F684" s="220"/>
      <c r="G684" s="220"/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  <c r="W684" s="220"/>
      <c r="X684" s="220"/>
      <c r="Y684" s="220"/>
      <c r="Z684" s="220"/>
    </row>
    <row r="685" ht="15.75" customHeight="1">
      <c r="A685" s="220"/>
      <c r="B685" s="220"/>
      <c r="C685" s="220"/>
      <c r="D685" s="220"/>
      <c r="E685" s="220"/>
      <c r="F685" s="220"/>
      <c r="G685" s="220"/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  <c r="W685" s="220"/>
      <c r="X685" s="220"/>
      <c r="Y685" s="220"/>
      <c r="Z685" s="220"/>
    </row>
    <row r="686" ht="15.75" customHeight="1">
      <c r="A686" s="220"/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  <c r="W686" s="220"/>
      <c r="X686" s="220"/>
      <c r="Y686" s="220"/>
      <c r="Z686" s="220"/>
    </row>
    <row r="687" ht="15.75" customHeight="1">
      <c r="A687" s="220"/>
      <c r="B687" s="220"/>
      <c r="C687" s="220"/>
      <c r="D687" s="220"/>
      <c r="E687" s="220"/>
      <c r="F687" s="220"/>
      <c r="G687" s="220"/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  <c r="W687" s="220"/>
      <c r="X687" s="220"/>
      <c r="Y687" s="220"/>
      <c r="Z687" s="220"/>
    </row>
    <row r="688" ht="15.75" customHeight="1">
      <c r="A688" s="220"/>
      <c r="B688" s="220"/>
      <c r="C688" s="220"/>
      <c r="D688" s="220"/>
      <c r="E688" s="220"/>
      <c r="F688" s="220"/>
      <c r="G688" s="220"/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  <c r="W688" s="220"/>
      <c r="X688" s="220"/>
      <c r="Y688" s="220"/>
      <c r="Z688" s="220"/>
    </row>
    <row r="689" ht="15.75" customHeight="1">
      <c r="A689" s="220"/>
      <c r="B689" s="220"/>
      <c r="C689" s="220"/>
      <c r="D689" s="220"/>
      <c r="E689" s="220"/>
      <c r="F689" s="220"/>
      <c r="G689" s="220"/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  <c r="W689" s="220"/>
      <c r="X689" s="220"/>
      <c r="Y689" s="220"/>
      <c r="Z689" s="220"/>
    </row>
    <row r="690" ht="15.75" customHeight="1">
      <c r="A690" s="220"/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  <c r="W690" s="220"/>
      <c r="X690" s="220"/>
      <c r="Y690" s="220"/>
      <c r="Z690" s="220"/>
    </row>
    <row r="691" ht="15.75" customHeight="1">
      <c r="A691" s="220"/>
      <c r="B691" s="220"/>
      <c r="C691" s="220"/>
      <c r="D691" s="220"/>
      <c r="E691" s="220"/>
      <c r="F691" s="220"/>
      <c r="G691" s="220"/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  <c r="W691" s="220"/>
      <c r="X691" s="220"/>
      <c r="Y691" s="220"/>
      <c r="Z691" s="220"/>
    </row>
    <row r="692" ht="15.75" customHeight="1">
      <c r="A692" s="220"/>
      <c r="B692" s="220"/>
      <c r="C692" s="220"/>
      <c r="D692" s="220"/>
      <c r="E692" s="220"/>
      <c r="F692" s="220"/>
      <c r="G692" s="220"/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  <c r="W692" s="220"/>
      <c r="X692" s="220"/>
      <c r="Y692" s="220"/>
      <c r="Z692" s="220"/>
    </row>
    <row r="693" ht="15.75" customHeight="1">
      <c r="A693" s="220"/>
      <c r="B693" s="220"/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  <c r="W693" s="220"/>
      <c r="X693" s="220"/>
      <c r="Y693" s="220"/>
      <c r="Z693" s="220"/>
    </row>
    <row r="694" ht="15.75" customHeight="1">
      <c r="A694" s="220"/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  <c r="W694" s="220"/>
      <c r="X694" s="220"/>
      <c r="Y694" s="220"/>
      <c r="Z694" s="220"/>
    </row>
    <row r="695" ht="15.75" customHeight="1">
      <c r="A695" s="220"/>
      <c r="B695" s="220"/>
      <c r="C695" s="220"/>
      <c r="D695" s="220"/>
      <c r="E695" s="220"/>
      <c r="F695" s="220"/>
      <c r="G695" s="220"/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  <c r="W695" s="220"/>
      <c r="X695" s="220"/>
      <c r="Y695" s="220"/>
      <c r="Z695" s="220"/>
    </row>
    <row r="696" ht="15.75" customHeight="1">
      <c r="A696" s="220"/>
      <c r="B696" s="220"/>
      <c r="C696" s="220"/>
      <c r="D696" s="220"/>
      <c r="E696" s="220"/>
      <c r="F696" s="220"/>
      <c r="G696" s="220"/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  <c r="W696" s="220"/>
      <c r="X696" s="220"/>
      <c r="Y696" s="220"/>
      <c r="Z696" s="220"/>
    </row>
    <row r="697" ht="15.75" customHeight="1">
      <c r="A697" s="220"/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  <c r="W697" s="220"/>
      <c r="X697" s="220"/>
      <c r="Y697" s="220"/>
      <c r="Z697" s="220"/>
    </row>
    <row r="698" ht="15.75" customHeight="1">
      <c r="A698" s="220"/>
      <c r="B698" s="220"/>
      <c r="C698" s="220"/>
      <c r="D698" s="220"/>
      <c r="E698" s="220"/>
      <c r="F698" s="220"/>
      <c r="G698" s="220"/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  <c r="W698" s="220"/>
      <c r="X698" s="220"/>
      <c r="Y698" s="220"/>
      <c r="Z698" s="220"/>
    </row>
    <row r="699" ht="15.75" customHeight="1">
      <c r="A699" s="220"/>
      <c r="B699" s="220"/>
      <c r="C699" s="220"/>
      <c r="D699" s="220"/>
      <c r="E699" s="220"/>
      <c r="F699" s="220"/>
      <c r="G699" s="220"/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  <c r="W699" s="220"/>
      <c r="X699" s="220"/>
      <c r="Y699" s="220"/>
      <c r="Z699" s="220"/>
    </row>
    <row r="700" ht="15.75" customHeight="1">
      <c r="A700" s="220"/>
      <c r="B700" s="220"/>
      <c r="C700" s="220"/>
      <c r="D700" s="220"/>
      <c r="E700" s="220"/>
      <c r="F700" s="220"/>
      <c r="G700" s="220"/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  <c r="W700" s="220"/>
      <c r="X700" s="220"/>
      <c r="Y700" s="220"/>
      <c r="Z700" s="220"/>
    </row>
    <row r="701" ht="15.75" customHeight="1">
      <c r="A701" s="220"/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  <c r="W701" s="220"/>
      <c r="X701" s="220"/>
      <c r="Y701" s="220"/>
      <c r="Z701" s="220"/>
    </row>
    <row r="702" ht="15.75" customHeight="1">
      <c r="A702" s="220"/>
      <c r="B702" s="220"/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  <c r="W702" s="220"/>
      <c r="X702" s="220"/>
      <c r="Y702" s="220"/>
      <c r="Z702" s="220"/>
    </row>
    <row r="703" ht="15.75" customHeight="1">
      <c r="A703" s="220"/>
      <c r="B703" s="220"/>
      <c r="C703" s="220"/>
      <c r="D703" s="220"/>
      <c r="E703" s="220"/>
      <c r="F703" s="220"/>
      <c r="G703" s="220"/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  <c r="W703" s="220"/>
      <c r="X703" s="220"/>
      <c r="Y703" s="220"/>
      <c r="Z703" s="220"/>
    </row>
    <row r="704" ht="15.75" customHeight="1">
      <c r="A704" s="220"/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  <c r="W704" s="220"/>
      <c r="X704" s="220"/>
      <c r="Y704" s="220"/>
      <c r="Z704" s="220"/>
    </row>
    <row r="705" ht="15.75" customHeight="1">
      <c r="A705" s="220"/>
      <c r="B705" s="220"/>
      <c r="C705" s="220"/>
      <c r="D705" s="220"/>
      <c r="E705" s="220"/>
      <c r="F705" s="220"/>
      <c r="G705" s="220"/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  <c r="W705" s="220"/>
      <c r="X705" s="220"/>
      <c r="Y705" s="220"/>
      <c r="Z705" s="220"/>
    </row>
    <row r="706" ht="15.75" customHeight="1">
      <c r="A706" s="220"/>
      <c r="B706" s="220"/>
      <c r="C706" s="220"/>
      <c r="D706" s="220"/>
      <c r="E706" s="220"/>
      <c r="F706" s="220"/>
      <c r="G706" s="220"/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  <c r="W706" s="220"/>
      <c r="X706" s="220"/>
      <c r="Y706" s="220"/>
      <c r="Z706" s="220"/>
    </row>
    <row r="707" ht="15.75" customHeight="1">
      <c r="A707" s="220"/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  <c r="W707" s="220"/>
      <c r="X707" s="220"/>
      <c r="Y707" s="220"/>
      <c r="Z707" s="220"/>
    </row>
    <row r="708" ht="15.75" customHeight="1">
      <c r="A708" s="220"/>
      <c r="B708" s="220"/>
      <c r="C708" s="220"/>
      <c r="D708" s="220"/>
      <c r="E708" s="220"/>
      <c r="F708" s="220"/>
      <c r="G708" s="220"/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  <c r="W708" s="220"/>
      <c r="X708" s="220"/>
      <c r="Y708" s="220"/>
      <c r="Z708" s="220"/>
    </row>
    <row r="709" ht="15.75" customHeight="1">
      <c r="A709" s="220"/>
      <c r="B709" s="220"/>
      <c r="C709" s="220"/>
      <c r="D709" s="220"/>
      <c r="E709" s="220"/>
      <c r="F709" s="220"/>
      <c r="G709" s="220"/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  <c r="W709" s="220"/>
      <c r="X709" s="220"/>
      <c r="Y709" s="220"/>
      <c r="Z709" s="220"/>
    </row>
    <row r="710" ht="15.75" customHeight="1">
      <c r="A710" s="220"/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  <c r="W710" s="220"/>
      <c r="X710" s="220"/>
      <c r="Y710" s="220"/>
      <c r="Z710" s="220"/>
    </row>
    <row r="711" ht="15.75" customHeight="1">
      <c r="A711" s="220"/>
      <c r="B711" s="220"/>
      <c r="C711" s="220"/>
      <c r="D711" s="220"/>
      <c r="E711" s="220"/>
      <c r="F711" s="220"/>
      <c r="G711" s="220"/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  <c r="W711" s="220"/>
      <c r="X711" s="220"/>
      <c r="Y711" s="220"/>
      <c r="Z711" s="220"/>
    </row>
    <row r="712" ht="15.75" customHeight="1">
      <c r="A712" s="220"/>
      <c r="B712" s="220"/>
      <c r="C712" s="220"/>
      <c r="D712" s="220"/>
      <c r="E712" s="220"/>
      <c r="F712" s="220"/>
      <c r="G712" s="220"/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  <c r="W712" s="220"/>
      <c r="X712" s="220"/>
      <c r="Y712" s="220"/>
      <c r="Z712" s="220"/>
    </row>
    <row r="713" ht="15.75" customHeight="1">
      <c r="A713" s="220"/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  <c r="W713" s="220"/>
      <c r="X713" s="220"/>
      <c r="Y713" s="220"/>
      <c r="Z713" s="220"/>
    </row>
    <row r="714" ht="15.75" customHeight="1">
      <c r="A714" s="220"/>
      <c r="B714" s="220"/>
      <c r="C714" s="220"/>
      <c r="D714" s="220"/>
      <c r="E714" s="220"/>
      <c r="F714" s="220"/>
      <c r="G714" s="220"/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  <c r="W714" s="220"/>
      <c r="X714" s="220"/>
      <c r="Y714" s="220"/>
      <c r="Z714" s="220"/>
    </row>
    <row r="715" ht="15.75" customHeight="1">
      <c r="A715" s="220"/>
      <c r="B715" s="220"/>
      <c r="C715" s="220"/>
      <c r="D715" s="220"/>
      <c r="E715" s="220"/>
      <c r="F715" s="220"/>
      <c r="G715" s="220"/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  <c r="W715" s="220"/>
      <c r="X715" s="220"/>
      <c r="Y715" s="220"/>
      <c r="Z715" s="220"/>
    </row>
    <row r="716" ht="15.75" customHeight="1">
      <c r="A716" s="220"/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  <c r="W716" s="220"/>
      <c r="X716" s="220"/>
      <c r="Y716" s="220"/>
      <c r="Z716" s="220"/>
    </row>
    <row r="717" ht="15.75" customHeight="1">
      <c r="A717" s="220"/>
      <c r="B717" s="220"/>
      <c r="C717" s="220"/>
      <c r="D717" s="220"/>
      <c r="E717" s="220"/>
      <c r="F717" s="220"/>
      <c r="G717" s="220"/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  <c r="W717" s="220"/>
      <c r="X717" s="220"/>
      <c r="Y717" s="220"/>
      <c r="Z717" s="220"/>
    </row>
    <row r="718" ht="15.75" customHeight="1">
      <c r="A718" s="220"/>
      <c r="B718" s="220"/>
      <c r="C718" s="220"/>
      <c r="D718" s="220"/>
      <c r="E718" s="220"/>
      <c r="F718" s="220"/>
      <c r="G718" s="220"/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  <c r="W718" s="220"/>
      <c r="X718" s="220"/>
      <c r="Y718" s="220"/>
      <c r="Z718" s="220"/>
    </row>
    <row r="719" ht="15.75" customHeight="1">
      <c r="A719" s="220"/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  <c r="W719" s="220"/>
      <c r="X719" s="220"/>
      <c r="Y719" s="220"/>
      <c r="Z719" s="220"/>
    </row>
    <row r="720" ht="15.75" customHeight="1">
      <c r="A720" s="220"/>
      <c r="B720" s="220"/>
      <c r="C720" s="220"/>
      <c r="D720" s="220"/>
      <c r="E720" s="220"/>
      <c r="F720" s="220"/>
      <c r="G720" s="220"/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  <c r="W720" s="220"/>
      <c r="X720" s="220"/>
      <c r="Y720" s="220"/>
      <c r="Z720" s="220"/>
    </row>
    <row r="721" ht="15.75" customHeight="1">
      <c r="A721" s="220"/>
      <c r="B721" s="220"/>
      <c r="C721" s="220"/>
      <c r="D721" s="220"/>
      <c r="E721" s="220"/>
      <c r="F721" s="220"/>
      <c r="G721" s="220"/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  <c r="W721" s="220"/>
      <c r="X721" s="220"/>
      <c r="Y721" s="220"/>
      <c r="Z721" s="220"/>
    </row>
    <row r="722" ht="15.75" customHeight="1">
      <c r="A722" s="220"/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  <c r="W722" s="220"/>
      <c r="X722" s="220"/>
      <c r="Y722" s="220"/>
      <c r="Z722" s="220"/>
    </row>
    <row r="723" ht="15.75" customHeight="1">
      <c r="A723" s="220"/>
      <c r="B723" s="220"/>
      <c r="C723" s="220"/>
      <c r="D723" s="220"/>
      <c r="E723" s="220"/>
      <c r="F723" s="220"/>
      <c r="G723" s="220"/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  <c r="W723" s="220"/>
      <c r="X723" s="220"/>
      <c r="Y723" s="220"/>
      <c r="Z723" s="220"/>
    </row>
    <row r="724" ht="15.75" customHeight="1">
      <c r="A724" s="220"/>
      <c r="B724" s="220"/>
      <c r="C724" s="220"/>
      <c r="D724" s="220"/>
      <c r="E724" s="220"/>
      <c r="F724" s="220"/>
      <c r="G724" s="220"/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  <c r="W724" s="220"/>
      <c r="X724" s="220"/>
      <c r="Y724" s="220"/>
      <c r="Z724" s="220"/>
    </row>
    <row r="725" ht="15.75" customHeight="1">
      <c r="A725" s="220"/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  <c r="W725" s="220"/>
      <c r="X725" s="220"/>
      <c r="Y725" s="220"/>
      <c r="Z725" s="220"/>
    </row>
    <row r="726" ht="15.75" customHeight="1">
      <c r="A726" s="220"/>
      <c r="B726" s="220"/>
      <c r="C726" s="220"/>
      <c r="D726" s="220"/>
      <c r="E726" s="220"/>
      <c r="F726" s="220"/>
      <c r="G726" s="220"/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  <c r="W726" s="220"/>
      <c r="X726" s="220"/>
      <c r="Y726" s="220"/>
      <c r="Z726" s="220"/>
    </row>
    <row r="727" ht="15.75" customHeight="1">
      <c r="A727" s="220"/>
      <c r="B727" s="220"/>
      <c r="C727" s="220"/>
      <c r="D727" s="220"/>
      <c r="E727" s="220"/>
      <c r="F727" s="220"/>
      <c r="G727" s="220"/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  <c r="W727" s="220"/>
      <c r="X727" s="220"/>
      <c r="Y727" s="220"/>
      <c r="Z727" s="220"/>
    </row>
    <row r="728" ht="15.75" customHeight="1">
      <c r="A728" s="220"/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  <c r="W728" s="220"/>
      <c r="X728" s="220"/>
      <c r="Y728" s="220"/>
      <c r="Z728" s="220"/>
    </row>
    <row r="729" ht="15.75" customHeight="1">
      <c r="A729" s="220"/>
      <c r="B729" s="220"/>
      <c r="C729" s="220"/>
      <c r="D729" s="220"/>
      <c r="E729" s="220"/>
      <c r="F729" s="220"/>
      <c r="G729" s="220"/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  <c r="W729" s="220"/>
      <c r="X729" s="220"/>
      <c r="Y729" s="220"/>
      <c r="Z729" s="220"/>
    </row>
    <row r="730" ht="15.75" customHeight="1">
      <c r="A730" s="220"/>
      <c r="B730" s="220"/>
      <c r="C730" s="220"/>
      <c r="D730" s="220"/>
      <c r="E730" s="220"/>
      <c r="F730" s="220"/>
      <c r="G730" s="220"/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  <c r="W730" s="220"/>
      <c r="X730" s="220"/>
      <c r="Y730" s="220"/>
      <c r="Z730" s="220"/>
    </row>
    <row r="731" ht="15.75" customHeight="1">
      <c r="A731" s="220"/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  <c r="W731" s="220"/>
      <c r="X731" s="220"/>
      <c r="Y731" s="220"/>
      <c r="Z731" s="220"/>
    </row>
    <row r="732" ht="15.75" customHeight="1">
      <c r="A732" s="220"/>
      <c r="B732" s="220"/>
      <c r="C732" s="220"/>
      <c r="D732" s="220"/>
      <c r="E732" s="220"/>
      <c r="F732" s="220"/>
      <c r="G732" s="220"/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  <c r="W732" s="220"/>
      <c r="X732" s="220"/>
      <c r="Y732" s="220"/>
      <c r="Z732" s="220"/>
    </row>
    <row r="733" ht="15.75" customHeight="1">
      <c r="A733" s="220"/>
      <c r="B733" s="220"/>
      <c r="C733" s="220"/>
      <c r="D733" s="220"/>
      <c r="E733" s="220"/>
      <c r="F733" s="220"/>
      <c r="G733" s="220"/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  <c r="W733" s="220"/>
      <c r="X733" s="220"/>
      <c r="Y733" s="220"/>
      <c r="Z733" s="220"/>
    </row>
    <row r="734" ht="15.75" customHeight="1">
      <c r="A734" s="220"/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  <c r="W734" s="220"/>
      <c r="X734" s="220"/>
      <c r="Y734" s="220"/>
      <c r="Z734" s="220"/>
    </row>
    <row r="735" ht="15.75" customHeight="1">
      <c r="A735" s="220"/>
      <c r="B735" s="220"/>
      <c r="C735" s="220"/>
      <c r="D735" s="220"/>
      <c r="E735" s="220"/>
      <c r="F735" s="220"/>
      <c r="G735" s="220"/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  <c r="W735" s="220"/>
      <c r="X735" s="220"/>
      <c r="Y735" s="220"/>
      <c r="Z735" s="220"/>
    </row>
    <row r="736" ht="15.75" customHeight="1">
      <c r="A736" s="220"/>
      <c r="B736" s="220"/>
      <c r="C736" s="220"/>
      <c r="D736" s="220"/>
      <c r="E736" s="220"/>
      <c r="F736" s="220"/>
      <c r="G736" s="220"/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  <c r="W736" s="220"/>
      <c r="X736" s="220"/>
      <c r="Y736" s="220"/>
      <c r="Z736" s="220"/>
    </row>
    <row r="737" ht="15.75" customHeight="1">
      <c r="A737" s="220"/>
      <c r="B737" s="220"/>
      <c r="C737" s="220"/>
      <c r="D737" s="220"/>
      <c r="E737" s="220"/>
      <c r="F737" s="220"/>
      <c r="G737" s="220"/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  <c r="W737" s="220"/>
      <c r="X737" s="220"/>
      <c r="Y737" s="220"/>
      <c r="Z737" s="220"/>
    </row>
    <row r="738" ht="15.75" customHeight="1">
      <c r="A738" s="220"/>
      <c r="B738" s="220"/>
      <c r="C738" s="220"/>
      <c r="D738" s="220"/>
      <c r="E738" s="220"/>
      <c r="F738" s="220"/>
      <c r="G738" s="220"/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  <c r="W738" s="220"/>
      <c r="X738" s="220"/>
      <c r="Y738" s="220"/>
      <c r="Z738" s="220"/>
    </row>
    <row r="739" ht="15.75" customHeight="1">
      <c r="A739" s="220"/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  <c r="W739" s="220"/>
      <c r="X739" s="220"/>
      <c r="Y739" s="220"/>
      <c r="Z739" s="220"/>
    </row>
    <row r="740" ht="15.75" customHeight="1">
      <c r="A740" s="220"/>
      <c r="B740" s="220"/>
      <c r="C740" s="220"/>
      <c r="D740" s="220"/>
      <c r="E740" s="220"/>
      <c r="F740" s="220"/>
      <c r="G740" s="220"/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  <c r="W740" s="220"/>
      <c r="X740" s="220"/>
      <c r="Y740" s="220"/>
      <c r="Z740" s="220"/>
    </row>
    <row r="741" ht="15.75" customHeight="1">
      <c r="A741" s="220"/>
      <c r="B741" s="220"/>
      <c r="C741" s="220"/>
      <c r="D741" s="220"/>
      <c r="E741" s="220"/>
      <c r="F741" s="220"/>
      <c r="G741" s="220"/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  <c r="W741" s="220"/>
      <c r="X741" s="220"/>
      <c r="Y741" s="220"/>
      <c r="Z741" s="220"/>
    </row>
    <row r="742" ht="15.75" customHeight="1">
      <c r="A742" s="220"/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  <c r="W742" s="220"/>
      <c r="X742" s="220"/>
      <c r="Y742" s="220"/>
      <c r="Z742" s="220"/>
    </row>
    <row r="743" ht="15.75" customHeight="1">
      <c r="A743" s="220"/>
      <c r="B743" s="220"/>
      <c r="C743" s="220"/>
      <c r="D743" s="220"/>
      <c r="E743" s="220"/>
      <c r="F743" s="220"/>
      <c r="G743" s="220"/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  <c r="W743" s="220"/>
      <c r="X743" s="220"/>
      <c r="Y743" s="220"/>
      <c r="Z743" s="220"/>
    </row>
    <row r="744" ht="15.75" customHeight="1">
      <c r="A744" s="220"/>
      <c r="B744" s="220"/>
      <c r="C744" s="220"/>
      <c r="D744" s="220"/>
      <c r="E744" s="220"/>
      <c r="F744" s="220"/>
      <c r="G744" s="220"/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  <c r="W744" s="220"/>
      <c r="X744" s="220"/>
      <c r="Y744" s="220"/>
      <c r="Z744" s="220"/>
    </row>
    <row r="745" ht="15.75" customHeight="1">
      <c r="A745" s="220"/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  <c r="W745" s="220"/>
      <c r="X745" s="220"/>
      <c r="Y745" s="220"/>
      <c r="Z745" s="220"/>
    </row>
    <row r="746" ht="15.75" customHeight="1">
      <c r="A746" s="220"/>
      <c r="B746" s="220"/>
      <c r="C746" s="220"/>
      <c r="D746" s="220"/>
      <c r="E746" s="220"/>
      <c r="F746" s="220"/>
      <c r="G746" s="220"/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  <c r="W746" s="220"/>
      <c r="X746" s="220"/>
      <c r="Y746" s="220"/>
      <c r="Z746" s="220"/>
    </row>
    <row r="747" ht="15.75" customHeight="1">
      <c r="A747" s="220"/>
      <c r="B747" s="220"/>
      <c r="C747" s="220"/>
      <c r="D747" s="220"/>
      <c r="E747" s="220"/>
      <c r="F747" s="220"/>
      <c r="G747" s="220"/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  <c r="W747" s="220"/>
      <c r="X747" s="220"/>
      <c r="Y747" s="220"/>
      <c r="Z747" s="220"/>
    </row>
    <row r="748" ht="15.75" customHeight="1">
      <c r="A748" s="220"/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220"/>
      <c r="Y748" s="220"/>
      <c r="Z748" s="220"/>
    </row>
    <row r="749" ht="15.75" customHeight="1">
      <c r="A749" s="220"/>
      <c r="B749" s="220"/>
      <c r="C749" s="220"/>
      <c r="D749" s="220"/>
      <c r="E749" s="220"/>
      <c r="F749" s="220"/>
      <c r="G749" s="220"/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  <c r="W749" s="220"/>
      <c r="X749" s="220"/>
      <c r="Y749" s="220"/>
      <c r="Z749" s="220"/>
    </row>
    <row r="750" ht="15.75" customHeight="1">
      <c r="A750" s="220"/>
      <c r="B750" s="220"/>
      <c r="C750" s="220"/>
      <c r="D750" s="220"/>
      <c r="E750" s="220"/>
      <c r="F750" s="220"/>
      <c r="G750" s="220"/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  <c r="W750" s="220"/>
      <c r="X750" s="220"/>
      <c r="Y750" s="220"/>
      <c r="Z750" s="220"/>
    </row>
    <row r="751" ht="15.75" customHeight="1">
      <c r="A751" s="220"/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  <c r="W751" s="220"/>
      <c r="X751" s="220"/>
      <c r="Y751" s="220"/>
      <c r="Z751" s="220"/>
    </row>
    <row r="752" ht="15.75" customHeight="1">
      <c r="A752" s="220"/>
      <c r="B752" s="220"/>
      <c r="C752" s="220"/>
      <c r="D752" s="220"/>
      <c r="E752" s="220"/>
      <c r="F752" s="220"/>
      <c r="G752" s="220"/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  <c r="W752" s="220"/>
      <c r="X752" s="220"/>
      <c r="Y752" s="220"/>
      <c r="Z752" s="220"/>
    </row>
    <row r="753" ht="15.75" customHeight="1">
      <c r="A753" s="220"/>
      <c r="B753" s="220"/>
      <c r="C753" s="220"/>
      <c r="D753" s="220"/>
      <c r="E753" s="220"/>
      <c r="F753" s="220"/>
      <c r="G753" s="220"/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  <c r="W753" s="220"/>
      <c r="X753" s="220"/>
      <c r="Y753" s="220"/>
      <c r="Z753" s="220"/>
    </row>
    <row r="754" ht="15.75" customHeight="1">
      <c r="A754" s="220"/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  <c r="W754" s="220"/>
      <c r="X754" s="220"/>
      <c r="Y754" s="220"/>
      <c r="Z754" s="220"/>
    </row>
    <row r="755" ht="15.75" customHeight="1">
      <c r="A755" s="220"/>
      <c r="B755" s="220"/>
      <c r="C755" s="220"/>
      <c r="D755" s="220"/>
      <c r="E755" s="220"/>
      <c r="F755" s="220"/>
      <c r="G755" s="220"/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  <c r="W755" s="220"/>
      <c r="X755" s="220"/>
      <c r="Y755" s="220"/>
      <c r="Z755" s="220"/>
    </row>
    <row r="756" ht="15.75" customHeight="1">
      <c r="A756" s="220"/>
      <c r="B756" s="220"/>
      <c r="C756" s="220"/>
      <c r="D756" s="220"/>
      <c r="E756" s="220"/>
      <c r="F756" s="220"/>
      <c r="G756" s="220"/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  <c r="W756" s="220"/>
      <c r="X756" s="220"/>
      <c r="Y756" s="220"/>
      <c r="Z756" s="220"/>
    </row>
    <row r="757" ht="15.75" customHeight="1">
      <c r="A757" s="220"/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  <c r="W757" s="220"/>
      <c r="X757" s="220"/>
      <c r="Y757" s="220"/>
      <c r="Z757" s="220"/>
    </row>
    <row r="758" ht="15.75" customHeight="1">
      <c r="A758" s="220"/>
      <c r="B758" s="220"/>
      <c r="C758" s="220"/>
      <c r="D758" s="220"/>
      <c r="E758" s="220"/>
      <c r="F758" s="220"/>
      <c r="G758" s="220"/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  <c r="W758" s="220"/>
      <c r="X758" s="220"/>
      <c r="Y758" s="220"/>
      <c r="Z758" s="220"/>
    </row>
    <row r="759" ht="15.75" customHeight="1">
      <c r="A759" s="220"/>
      <c r="B759" s="220"/>
      <c r="C759" s="220"/>
      <c r="D759" s="220"/>
      <c r="E759" s="220"/>
      <c r="F759" s="220"/>
      <c r="G759" s="220"/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  <c r="W759" s="220"/>
      <c r="X759" s="220"/>
      <c r="Y759" s="220"/>
      <c r="Z759" s="220"/>
    </row>
    <row r="760" ht="15.75" customHeight="1">
      <c r="A760" s="220"/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  <c r="W760" s="220"/>
      <c r="X760" s="220"/>
      <c r="Y760" s="220"/>
      <c r="Z760" s="220"/>
    </row>
    <row r="761" ht="15.75" customHeight="1">
      <c r="A761" s="220"/>
      <c r="B761" s="220"/>
      <c r="C761" s="220"/>
      <c r="D761" s="220"/>
      <c r="E761" s="220"/>
      <c r="F761" s="220"/>
      <c r="G761" s="220"/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  <c r="W761" s="220"/>
      <c r="X761" s="220"/>
      <c r="Y761" s="220"/>
      <c r="Z761" s="220"/>
    </row>
    <row r="762" ht="15.75" customHeight="1">
      <c r="A762" s="220"/>
      <c r="B762" s="220"/>
      <c r="C762" s="220"/>
      <c r="D762" s="220"/>
      <c r="E762" s="220"/>
      <c r="F762" s="220"/>
      <c r="G762" s="220"/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  <c r="W762" s="220"/>
      <c r="X762" s="220"/>
      <c r="Y762" s="220"/>
      <c r="Z762" s="220"/>
    </row>
    <row r="763" ht="15.75" customHeight="1">
      <c r="A763" s="220"/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  <c r="W763" s="220"/>
      <c r="X763" s="220"/>
      <c r="Y763" s="220"/>
      <c r="Z763" s="220"/>
    </row>
    <row r="764" ht="15.75" customHeight="1">
      <c r="A764" s="220"/>
      <c r="B764" s="220"/>
      <c r="C764" s="220"/>
      <c r="D764" s="220"/>
      <c r="E764" s="220"/>
      <c r="F764" s="220"/>
      <c r="G764" s="220"/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220"/>
      <c r="Y764" s="220"/>
      <c r="Z764" s="220"/>
    </row>
    <row r="765" ht="15.75" customHeight="1">
      <c r="A765" s="220"/>
      <c r="B765" s="220"/>
      <c r="C765" s="220"/>
      <c r="D765" s="220"/>
      <c r="E765" s="220"/>
      <c r="F765" s="220"/>
      <c r="G765" s="220"/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  <c r="W765" s="220"/>
      <c r="X765" s="220"/>
      <c r="Y765" s="220"/>
      <c r="Z765" s="220"/>
    </row>
    <row r="766" ht="15.75" customHeight="1">
      <c r="A766" s="220"/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220"/>
      <c r="Y766" s="220"/>
      <c r="Z766" s="220"/>
    </row>
    <row r="767" ht="15.75" customHeight="1">
      <c r="A767" s="220"/>
      <c r="B767" s="220"/>
      <c r="C767" s="220"/>
      <c r="D767" s="220"/>
      <c r="E767" s="220"/>
      <c r="F767" s="220"/>
      <c r="G767" s="220"/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  <c r="W767" s="220"/>
      <c r="X767" s="220"/>
      <c r="Y767" s="220"/>
      <c r="Z767" s="220"/>
    </row>
    <row r="768" ht="15.75" customHeight="1">
      <c r="A768" s="220"/>
      <c r="B768" s="220"/>
      <c r="C768" s="220"/>
      <c r="D768" s="220"/>
      <c r="E768" s="220"/>
      <c r="F768" s="220"/>
      <c r="G768" s="220"/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  <c r="W768" s="220"/>
      <c r="X768" s="220"/>
      <c r="Y768" s="220"/>
      <c r="Z768" s="220"/>
    </row>
    <row r="769" ht="15.75" customHeight="1">
      <c r="A769" s="220"/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  <c r="W769" s="220"/>
      <c r="X769" s="220"/>
      <c r="Y769" s="220"/>
      <c r="Z769" s="220"/>
    </row>
    <row r="770" ht="15.75" customHeight="1">
      <c r="A770" s="220"/>
      <c r="B770" s="220"/>
      <c r="C770" s="220"/>
      <c r="D770" s="220"/>
      <c r="E770" s="220"/>
      <c r="F770" s="220"/>
      <c r="G770" s="220"/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  <c r="W770" s="220"/>
      <c r="X770" s="220"/>
      <c r="Y770" s="220"/>
      <c r="Z770" s="220"/>
    </row>
    <row r="771" ht="15.75" customHeight="1">
      <c r="A771" s="220"/>
      <c r="B771" s="220"/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  <c r="W771" s="220"/>
      <c r="X771" s="220"/>
      <c r="Y771" s="220"/>
      <c r="Z771" s="220"/>
    </row>
    <row r="772" ht="15.75" customHeight="1">
      <c r="A772" s="220"/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  <c r="W772" s="220"/>
      <c r="X772" s="220"/>
      <c r="Y772" s="220"/>
      <c r="Z772" s="220"/>
    </row>
    <row r="773" ht="15.75" customHeight="1">
      <c r="A773" s="220"/>
      <c r="B773" s="220"/>
      <c r="C773" s="220"/>
      <c r="D773" s="220"/>
      <c r="E773" s="220"/>
      <c r="F773" s="220"/>
      <c r="G773" s="220"/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  <c r="W773" s="220"/>
      <c r="X773" s="220"/>
      <c r="Y773" s="220"/>
      <c r="Z773" s="220"/>
    </row>
    <row r="774" ht="15.75" customHeight="1">
      <c r="A774" s="220"/>
      <c r="B774" s="220"/>
      <c r="C774" s="220"/>
      <c r="D774" s="220"/>
      <c r="E774" s="220"/>
      <c r="F774" s="220"/>
      <c r="G774" s="220"/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  <c r="W774" s="220"/>
      <c r="X774" s="220"/>
      <c r="Y774" s="220"/>
      <c r="Z774" s="220"/>
    </row>
    <row r="775" ht="15.75" customHeight="1">
      <c r="A775" s="220"/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  <c r="W775" s="220"/>
      <c r="X775" s="220"/>
      <c r="Y775" s="220"/>
      <c r="Z775" s="220"/>
    </row>
    <row r="776" ht="15.75" customHeight="1">
      <c r="A776" s="220"/>
      <c r="B776" s="220"/>
      <c r="C776" s="220"/>
      <c r="D776" s="220"/>
      <c r="E776" s="220"/>
      <c r="F776" s="220"/>
      <c r="G776" s="220"/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  <c r="W776" s="220"/>
      <c r="X776" s="220"/>
      <c r="Y776" s="220"/>
      <c r="Z776" s="220"/>
    </row>
    <row r="777" ht="15.75" customHeight="1">
      <c r="A777" s="220"/>
      <c r="B777" s="220"/>
      <c r="C777" s="220"/>
      <c r="D777" s="220"/>
      <c r="E777" s="220"/>
      <c r="F777" s="220"/>
      <c r="G777" s="220"/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  <c r="W777" s="220"/>
      <c r="X777" s="220"/>
      <c r="Y777" s="220"/>
      <c r="Z777" s="220"/>
    </row>
    <row r="778" ht="15.75" customHeight="1">
      <c r="A778" s="220"/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  <c r="W778" s="220"/>
      <c r="X778" s="220"/>
      <c r="Y778" s="220"/>
      <c r="Z778" s="220"/>
    </row>
    <row r="779" ht="15.75" customHeight="1">
      <c r="A779" s="220"/>
      <c r="B779" s="220"/>
      <c r="C779" s="220"/>
      <c r="D779" s="220"/>
      <c r="E779" s="220"/>
      <c r="F779" s="220"/>
      <c r="G779" s="220"/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  <c r="W779" s="220"/>
      <c r="X779" s="220"/>
      <c r="Y779" s="220"/>
      <c r="Z779" s="220"/>
    </row>
    <row r="780" ht="15.75" customHeight="1">
      <c r="A780" s="220"/>
      <c r="B780" s="220"/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  <c r="W780" s="220"/>
      <c r="X780" s="220"/>
      <c r="Y780" s="220"/>
      <c r="Z780" s="220"/>
    </row>
    <row r="781" ht="15.75" customHeight="1">
      <c r="A781" s="220"/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220"/>
      <c r="Y781" s="220"/>
      <c r="Z781" s="220"/>
    </row>
    <row r="782" ht="15.75" customHeight="1">
      <c r="A782" s="220"/>
      <c r="B782" s="220"/>
      <c r="C782" s="220"/>
      <c r="D782" s="220"/>
      <c r="E782" s="220"/>
      <c r="F782" s="220"/>
      <c r="G782" s="220"/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  <c r="W782" s="220"/>
      <c r="X782" s="220"/>
      <c r="Y782" s="220"/>
      <c r="Z782" s="220"/>
    </row>
    <row r="783" ht="15.75" customHeight="1">
      <c r="A783" s="220"/>
      <c r="B783" s="220"/>
      <c r="C783" s="220"/>
      <c r="D783" s="220"/>
      <c r="E783" s="220"/>
      <c r="F783" s="220"/>
      <c r="G783" s="220"/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  <c r="W783" s="220"/>
      <c r="X783" s="220"/>
      <c r="Y783" s="220"/>
      <c r="Z783" s="220"/>
    </row>
    <row r="784" ht="15.75" customHeight="1">
      <c r="A784" s="220"/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  <c r="W784" s="220"/>
      <c r="X784" s="220"/>
      <c r="Y784" s="220"/>
      <c r="Z784" s="220"/>
    </row>
    <row r="785" ht="15.75" customHeight="1">
      <c r="A785" s="220"/>
      <c r="B785" s="220"/>
      <c r="C785" s="220"/>
      <c r="D785" s="220"/>
      <c r="E785" s="220"/>
      <c r="F785" s="220"/>
      <c r="G785" s="220"/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  <c r="W785" s="220"/>
      <c r="X785" s="220"/>
      <c r="Y785" s="220"/>
      <c r="Z785" s="220"/>
    </row>
    <row r="786" ht="15.75" customHeight="1">
      <c r="A786" s="220"/>
      <c r="B786" s="220"/>
      <c r="C786" s="220"/>
      <c r="D786" s="220"/>
      <c r="E786" s="220"/>
      <c r="F786" s="220"/>
      <c r="G786" s="220"/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  <c r="W786" s="220"/>
      <c r="X786" s="220"/>
      <c r="Y786" s="220"/>
      <c r="Z786" s="220"/>
    </row>
    <row r="787" ht="15.75" customHeight="1">
      <c r="A787" s="220"/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  <c r="W787" s="220"/>
      <c r="X787" s="220"/>
      <c r="Y787" s="220"/>
      <c r="Z787" s="220"/>
    </row>
    <row r="788" ht="15.75" customHeight="1">
      <c r="A788" s="220"/>
      <c r="B788" s="220"/>
      <c r="C788" s="220"/>
      <c r="D788" s="220"/>
      <c r="E788" s="220"/>
      <c r="F788" s="220"/>
      <c r="G788" s="220"/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  <c r="W788" s="220"/>
      <c r="X788" s="220"/>
      <c r="Y788" s="220"/>
      <c r="Z788" s="220"/>
    </row>
    <row r="789" ht="15.75" customHeight="1">
      <c r="A789" s="220"/>
      <c r="B789" s="220"/>
      <c r="C789" s="220"/>
      <c r="D789" s="220"/>
      <c r="E789" s="220"/>
      <c r="F789" s="220"/>
      <c r="G789" s="220"/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  <c r="W789" s="220"/>
      <c r="X789" s="220"/>
      <c r="Y789" s="220"/>
      <c r="Z789" s="220"/>
    </row>
    <row r="790" ht="15.75" customHeight="1">
      <c r="A790" s="220"/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  <c r="W790" s="220"/>
      <c r="X790" s="220"/>
      <c r="Y790" s="220"/>
      <c r="Z790" s="220"/>
    </row>
    <row r="791" ht="15.75" customHeight="1">
      <c r="A791" s="220"/>
      <c r="B791" s="220"/>
      <c r="C791" s="220"/>
      <c r="D791" s="220"/>
      <c r="E791" s="220"/>
      <c r="F791" s="220"/>
      <c r="G791" s="220"/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  <c r="W791" s="220"/>
      <c r="X791" s="220"/>
      <c r="Y791" s="220"/>
      <c r="Z791" s="220"/>
    </row>
    <row r="792" ht="15.75" customHeight="1">
      <c r="A792" s="220"/>
      <c r="B792" s="220"/>
      <c r="C792" s="220"/>
      <c r="D792" s="220"/>
      <c r="E792" s="220"/>
      <c r="F792" s="220"/>
      <c r="G792" s="220"/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  <c r="W792" s="220"/>
      <c r="X792" s="220"/>
      <c r="Y792" s="220"/>
      <c r="Z792" s="220"/>
    </row>
    <row r="793" ht="15.75" customHeight="1">
      <c r="A793" s="220"/>
      <c r="B793" s="220"/>
      <c r="C793" s="220"/>
      <c r="D793" s="220"/>
      <c r="E793" s="220"/>
      <c r="F793" s="220"/>
      <c r="G793" s="220"/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  <c r="W793" s="220"/>
      <c r="X793" s="220"/>
      <c r="Y793" s="220"/>
      <c r="Z793" s="220"/>
    </row>
    <row r="794" ht="15.75" customHeight="1">
      <c r="A794" s="220"/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  <c r="W794" s="220"/>
      <c r="X794" s="220"/>
      <c r="Y794" s="220"/>
      <c r="Z794" s="220"/>
    </row>
    <row r="795" ht="15.75" customHeight="1">
      <c r="A795" s="220"/>
      <c r="B795" s="220"/>
      <c r="C795" s="220"/>
      <c r="D795" s="220"/>
      <c r="E795" s="220"/>
      <c r="F795" s="220"/>
      <c r="G795" s="220"/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  <c r="W795" s="220"/>
      <c r="X795" s="220"/>
      <c r="Y795" s="220"/>
      <c r="Z795" s="220"/>
    </row>
    <row r="796" ht="15.75" customHeight="1">
      <c r="A796" s="220"/>
      <c r="B796" s="220"/>
      <c r="C796" s="220"/>
      <c r="D796" s="220"/>
      <c r="E796" s="220"/>
      <c r="F796" s="220"/>
      <c r="G796" s="220"/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  <c r="W796" s="220"/>
      <c r="X796" s="220"/>
      <c r="Y796" s="220"/>
      <c r="Z796" s="220"/>
    </row>
    <row r="797" ht="15.75" customHeight="1">
      <c r="A797" s="220"/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  <c r="W797" s="220"/>
      <c r="X797" s="220"/>
      <c r="Y797" s="220"/>
      <c r="Z797" s="220"/>
    </row>
    <row r="798" ht="15.75" customHeight="1">
      <c r="A798" s="220"/>
      <c r="B798" s="220"/>
      <c r="C798" s="220"/>
      <c r="D798" s="220"/>
      <c r="E798" s="220"/>
      <c r="F798" s="220"/>
      <c r="G798" s="220"/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  <c r="W798" s="220"/>
      <c r="X798" s="220"/>
      <c r="Y798" s="220"/>
      <c r="Z798" s="220"/>
    </row>
    <row r="799" ht="15.75" customHeight="1">
      <c r="A799" s="220"/>
      <c r="B799" s="220"/>
      <c r="C799" s="220"/>
      <c r="D799" s="220"/>
      <c r="E799" s="220"/>
      <c r="F799" s="220"/>
      <c r="G799" s="220"/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  <c r="W799" s="220"/>
      <c r="X799" s="220"/>
      <c r="Y799" s="220"/>
      <c r="Z799" s="220"/>
    </row>
    <row r="800" ht="15.75" customHeight="1">
      <c r="A800" s="220"/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  <c r="W800" s="220"/>
      <c r="X800" s="220"/>
      <c r="Y800" s="220"/>
      <c r="Z800" s="220"/>
    </row>
    <row r="801" ht="15.75" customHeight="1">
      <c r="A801" s="220"/>
      <c r="B801" s="220"/>
      <c r="C801" s="220"/>
      <c r="D801" s="220"/>
      <c r="E801" s="220"/>
      <c r="F801" s="220"/>
      <c r="G801" s="220"/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  <c r="W801" s="220"/>
      <c r="X801" s="220"/>
      <c r="Y801" s="220"/>
      <c r="Z801" s="220"/>
    </row>
    <row r="802" ht="15.75" customHeight="1">
      <c r="A802" s="220"/>
      <c r="B802" s="220"/>
      <c r="C802" s="220"/>
      <c r="D802" s="220"/>
      <c r="E802" s="220"/>
      <c r="F802" s="220"/>
      <c r="G802" s="220"/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  <c r="W802" s="220"/>
      <c r="X802" s="220"/>
      <c r="Y802" s="220"/>
      <c r="Z802" s="220"/>
    </row>
    <row r="803" ht="15.75" customHeight="1">
      <c r="A803" s="220"/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  <c r="W803" s="220"/>
      <c r="X803" s="220"/>
      <c r="Y803" s="220"/>
      <c r="Z803" s="220"/>
    </row>
    <row r="804" ht="15.75" customHeight="1">
      <c r="A804" s="220"/>
      <c r="B804" s="220"/>
      <c r="C804" s="220"/>
      <c r="D804" s="220"/>
      <c r="E804" s="220"/>
      <c r="F804" s="220"/>
      <c r="G804" s="220"/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  <c r="W804" s="220"/>
      <c r="X804" s="220"/>
      <c r="Y804" s="220"/>
      <c r="Z804" s="220"/>
    </row>
    <row r="805" ht="15.75" customHeight="1">
      <c r="A805" s="220"/>
      <c r="B805" s="220"/>
      <c r="C805" s="220"/>
      <c r="D805" s="220"/>
      <c r="E805" s="220"/>
      <c r="F805" s="220"/>
      <c r="G805" s="220"/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  <c r="W805" s="220"/>
      <c r="X805" s="220"/>
      <c r="Y805" s="220"/>
      <c r="Z805" s="220"/>
    </row>
    <row r="806" ht="15.75" customHeight="1">
      <c r="A806" s="220"/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  <c r="W806" s="220"/>
      <c r="X806" s="220"/>
      <c r="Y806" s="220"/>
      <c r="Z806" s="220"/>
    </row>
    <row r="807" ht="15.75" customHeight="1">
      <c r="A807" s="220"/>
      <c r="B807" s="220"/>
      <c r="C807" s="220"/>
      <c r="D807" s="220"/>
      <c r="E807" s="220"/>
      <c r="F807" s="220"/>
      <c r="G807" s="220"/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  <c r="W807" s="220"/>
      <c r="X807" s="220"/>
      <c r="Y807" s="220"/>
      <c r="Z807" s="220"/>
    </row>
    <row r="808" ht="15.75" customHeight="1">
      <c r="A808" s="220"/>
      <c r="B808" s="220"/>
      <c r="C808" s="220"/>
      <c r="D808" s="220"/>
      <c r="E808" s="220"/>
      <c r="F808" s="220"/>
      <c r="G808" s="220"/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  <c r="W808" s="220"/>
      <c r="X808" s="220"/>
      <c r="Y808" s="220"/>
      <c r="Z808" s="220"/>
    </row>
    <row r="809" ht="15.75" customHeight="1">
      <c r="A809" s="220"/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  <c r="W809" s="220"/>
      <c r="X809" s="220"/>
      <c r="Y809" s="220"/>
      <c r="Z809" s="220"/>
    </row>
    <row r="810" ht="15.75" customHeight="1">
      <c r="A810" s="220"/>
      <c r="B810" s="220"/>
      <c r="C810" s="220"/>
      <c r="D810" s="220"/>
      <c r="E810" s="220"/>
      <c r="F810" s="220"/>
      <c r="G810" s="220"/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  <c r="W810" s="220"/>
      <c r="X810" s="220"/>
      <c r="Y810" s="220"/>
      <c r="Z810" s="220"/>
    </row>
    <row r="811" ht="15.75" customHeight="1">
      <c r="A811" s="220"/>
      <c r="B811" s="220"/>
      <c r="C811" s="220"/>
      <c r="D811" s="220"/>
      <c r="E811" s="220"/>
      <c r="F811" s="220"/>
      <c r="G811" s="220"/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  <c r="W811" s="220"/>
      <c r="X811" s="220"/>
      <c r="Y811" s="220"/>
      <c r="Z811" s="220"/>
    </row>
    <row r="812" ht="15.75" customHeight="1">
      <c r="A812" s="220"/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  <c r="W812" s="220"/>
      <c r="X812" s="220"/>
      <c r="Y812" s="220"/>
      <c r="Z812" s="220"/>
    </row>
    <row r="813" ht="15.75" customHeight="1">
      <c r="A813" s="220"/>
      <c r="B813" s="220"/>
      <c r="C813" s="220"/>
      <c r="D813" s="220"/>
      <c r="E813" s="220"/>
      <c r="F813" s="220"/>
      <c r="G813" s="220"/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  <c r="W813" s="220"/>
      <c r="X813" s="220"/>
      <c r="Y813" s="220"/>
      <c r="Z813" s="220"/>
    </row>
    <row r="814" ht="15.75" customHeight="1">
      <c r="A814" s="220"/>
      <c r="B814" s="220"/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  <c r="W814" s="220"/>
      <c r="X814" s="220"/>
      <c r="Y814" s="220"/>
      <c r="Z814" s="220"/>
    </row>
    <row r="815" ht="15.75" customHeight="1">
      <c r="A815" s="220"/>
      <c r="B815" s="220"/>
      <c r="C815" s="220"/>
      <c r="D815" s="220"/>
      <c r="E815" s="220"/>
      <c r="F815" s="220"/>
      <c r="G815" s="220"/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  <c r="W815" s="220"/>
      <c r="X815" s="220"/>
      <c r="Y815" s="220"/>
      <c r="Z815" s="220"/>
    </row>
    <row r="816" ht="15.75" customHeight="1">
      <c r="A816" s="220"/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  <c r="W816" s="220"/>
      <c r="X816" s="220"/>
      <c r="Y816" s="220"/>
      <c r="Z816" s="220"/>
    </row>
    <row r="817" ht="15.75" customHeight="1">
      <c r="A817" s="220"/>
      <c r="B817" s="220"/>
      <c r="C817" s="220"/>
      <c r="D817" s="220"/>
      <c r="E817" s="220"/>
      <c r="F817" s="220"/>
      <c r="G817" s="220"/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  <c r="W817" s="220"/>
      <c r="X817" s="220"/>
      <c r="Y817" s="220"/>
      <c r="Z817" s="220"/>
    </row>
    <row r="818" ht="15.75" customHeight="1">
      <c r="A818" s="220"/>
      <c r="B818" s="220"/>
      <c r="C818" s="220"/>
      <c r="D818" s="220"/>
      <c r="E818" s="220"/>
      <c r="F818" s="220"/>
      <c r="G818" s="220"/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  <c r="W818" s="220"/>
      <c r="X818" s="220"/>
      <c r="Y818" s="220"/>
      <c r="Z818" s="220"/>
    </row>
    <row r="819" ht="15.75" customHeight="1">
      <c r="A819" s="220"/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  <c r="W819" s="220"/>
      <c r="X819" s="220"/>
      <c r="Y819" s="220"/>
      <c r="Z819" s="220"/>
    </row>
    <row r="820" ht="15.75" customHeight="1">
      <c r="A820" s="220"/>
      <c r="B820" s="220"/>
      <c r="C820" s="220"/>
      <c r="D820" s="220"/>
      <c r="E820" s="220"/>
      <c r="F820" s="220"/>
      <c r="G820" s="220"/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  <c r="W820" s="220"/>
      <c r="X820" s="220"/>
      <c r="Y820" s="220"/>
      <c r="Z820" s="220"/>
    </row>
    <row r="821" ht="15.75" customHeight="1">
      <c r="A821" s="220"/>
      <c r="B821" s="220"/>
      <c r="C821" s="220"/>
      <c r="D821" s="220"/>
      <c r="E821" s="220"/>
      <c r="F821" s="220"/>
      <c r="G821" s="220"/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  <c r="W821" s="220"/>
      <c r="X821" s="220"/>
      <c r="Y821" s="220"/>
      <c r="Z821" s="220"/>
    </row>
    <row r="822" ht="15.75" customHeight="1">
      <c r="A822" s="220"/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  <c r="W822" s="220"/>
      <c r="X822" s="220"/>
      <c r="Y822" s="220"/>
      <c r="Z822" s="220"/>
    </row>
    <row r="823" ht="15.75" customHeight="1">
      <c r="A823" s="220"/>
      <c r="B823" s="220"/>
      <c r="C823" s="220"/>
      <c r="D823" s="220"/>
      <c r="E823" s="220"/>
      <c r="F823" s="220"/>
      <c r="G823" s="220"/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  <c r="W823" s="220"/>
      <c r="X823" s="220"/>
      <c r="Y823" s="220"/>
      <c r="Z823" s="220"/>
    </row>
    <row r="824" ht="15.75" customHeight="1">
      <c r="A824" s="220"/>
      <c r="B824" s="220"/>
      <c r="C824" s="220"/>
      <c r="D824" s="220"/>
      <c r="E824" s="220"/>
      <c r="F824" s="220"/>
      <c r="G824" s="220"/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  <c r="W824" s="220"/>
      <c r="X824" s="220"/>
      <c r="Y824" s="220"/>
      <c r="Z824" s="220"/>
    </row>
    <row r="825" ht="15.75" customHeight="1">
      <c r="A825" s="220"/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  <c r="W825" s="220"/>
      <c r="X825" s="220"/>
      <c r="Y825" s="220"/>
      <c r="Z825" s="220"/>
    </row>
    <row r="826" ht="15.75" customHeight="1">
      <c r="A826" s="220"/>
      <c r="B826" s="220"/>
      <c r="C826" s="220"/>
      <c r="D826" s="220"/>
      <c r="E826" s="220"/>
      <c r="F826" s="220"/>
      <c r="G826" s="220"/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  <c r="W826" s="220"/>
      <c r="X826" s="220"/>
      <c r="Y826" s="220"/>
      <c r="Z826" s="220"/>
    </row>
    <row r="827" ht="15.75" customHeight="1">
      <c r="A827" s="220"/>
      <c r="B827" s="220"/>
      <c r="C827" s="220"/>
      <c r="D827" s="220"/>
      <c r="E827" s="220"/>
      <c r="F827" s="220"/>
      <c r="G827" s="220"/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  <c r="W827" s="220"/>
      <c r="X827" s="220"/>
      <c r="Y827" s="220"/>
      <c r="Z827" s="220"/>
    </row>
    <row r="828" ht="15.75" customHeight="1">
      <c r="A828" s="220"/>
      <c r="B828" s="220"/>
      <c r="C828" s="220"/>
      <c r="D828" s="220"/>
      <c r="E828" s="220"/>
      <c r="F828" s="220"/>
      <c r="G828" s="220"/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  <c r="W828" s="220"/>
      <c r="X828" s="220"/>
      <c r="Y828" s="220"/>
      <c r="Z828" s="220"/>
    </row>
    <row r="829" ht="15.75" customHeight="1">
      <c r="A829" s="220"/>
      <c r="B829" s="220"/>
      <c r="C829" s="220"/>
      <c r="D829" s="220"/>
      <c r="E829" s="220"/>
      <c r="F829" s="220"/>
      <c r="G829" s="220"/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220"/>
      <c r="Y829" s="220"/>
      <c r="Z829" s="220"/>
    </row>
    <row r="830" ht="15.75" customHeight="1">
      <c r="A830" s="220"/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  <c r="W830" s="220"/>
      <c r="X830" s="220"/>
      <c r="Y830" s="220"/>
      <c r="Z830" s="220"/>
    </row>
    <row r="831" ht="15.75" customHeight="1">
      <c r="A831" s="220"/>
      <c r="B831" s="220"/>
      <c r="C831" s="220"/>
      <c r="D831" s="220"/>
      <c r="E831" s="220"/>
      <c r="F831" s="220"/>
      <c r="G831" s="220"/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  <c r="W831" s="220"/>
      <c r="X831" s="220"/>
      <c r="Y831" s="220"/>
      <c r="Z831" s="220"/>
    </row>
    <row r="832" ht="15.75" customHeight="1">
      <c r="A832" s="220"/>
      <c r="B832" s="220"/>
      <c r="C832" s="220"/>
      <c r="D832" s="220"/>
      <c r="E832" s="220"/>
      <c r="F832" s="220"/>
      <c r="G832" s="220"/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  <c r="W832" s="220"/>
      <c r="X832" s="220"/>
      <c r="Y832" s="220"/>
      <c r="Z832" s="220"/>
    </row>
    <row r="833" ht="15.75" customHeight="1">
      <c r="A833" s="220"/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  <c r="W833" s="220"/>
      <c r="X833" s="220"/>
      <c r="Y833" s="220"/>
      <c r="Z833" s="220"/>
    </row>
    <row r="834" ht="15.75" customHeight="1">
      <c r="A834" s="220"/>
      <c r="B834" s="220"/>
      <c r="C834" s="220"/>
      <c r="D834" s="220"/>
      <c r="E834" s="220"/>
      <c r="F834" s="220"/>
      <c r="G834" s="220"/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  <c r="W834" s="220"/>
      <c r="X834" s="220"/>
      <c r="Y834" s="220"/>
      <c r="Z834" s="220"/>
    </row>
    <row r="835" ht="15.75" customHeight="1">
      <c r="A835" s="220"/>
      <c r="B835" s="220"/>
      <c r="C835" s="220"/>
      <c r="D835" s="220"/>
      <c r="E835" s="220"/>
      <c r="F835" s="220"/>
      <c r="G835" s="220"/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  <c r="W835" s="220"/>
      <c r="X835" s="220"/>
      <c r="Y835" s="220"/>
      <c r="Z835" s="220"/>
    </row>
    <row r="836" ht="15.75" customHeight="1">
      <c r="A836" s="220"/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  <c r="W836" s="220"/>
      <c r="X836" s="220"/>
      <c r="Y836" s="220"/>
      <c r="Z836" s="220"/>
    </row>
    <row r="837" ht="15.75" customHeight="1">
      <c r="A837" s="220"/>
      <c r="B837" s="220"/>
      <c r="C837" s="220"/>
      <c r="D837" s="220"/>
      <c r="E837" s="220"/>
      <c r="F837" s="220"/>
      <c r="G837" s="220"/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  <c r="W837" s="220"/>
      <c r="X837" s="220"/>
      <c r="Y837" s="220"/>
      <c r="Z837" s="220"/>
    </row>
    <row r="838" ht="15.75" customHeight="1">
      <c r="A838" s="220"/>
      <c r="B838" s="220"/>
      <c r="C838" s="220"/>
      <c r="D838" s="220"/>
      <c r="E838" s="220"/>
      <c r="F838" s="220"/>
      <c r="G838" s="220"/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  <c r="W838" s="220"/>
      <c r="X838" s="220"/>
      <c r="Y838" s="220"/>
      <c r="Z838" s="220"/>
    </row>
    <row r="839" ht="15.75" customHeight="1">
      <c r="A839" s="220"/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  <c r="W839" s="220"/>
      <c r="X839" s="220"/>
      <c r="Y839" s="220"/>
      <c r="Z839" s="220"/>
    </row>
    <row r="840" ht="15.75" customHeight="1">
      <c r="A840" s="220"/>
      <c r="B840" s="220"/>
      <c r="C840" s="220"/>
      <c r="D840" s="220"/>
      <c r="E840" s="220"/>
      <c r="F840" s="220"/>
      <c r="G840" s="220"/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  <c r="W840" s="220"/>
      <c r="X840" s="220"/>
      <c r="Y840" s="220"/>
      <c r="Z840" s="220"/>
    </row>
    <row r="841" ht="15.75" customHeight="1">
      <c r="A841" s="220"/>
      <c r="B841" s="220"/>
      <c r="C841" s="220"/>
      <c r="D841" s="220"/>
      <c r="E841" s="220"/>
      <c r="F841" s="220"/>
      <c r="G841" s="220"/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  <c r="W841" s="220"/>
      <c r="X841" s="220"/>
      <c r="Y841" s="220"/>
      <c r="Z841" s="220"/>
    </row>
    <row r="842" ht="15.75" customHeight="1">
      <c r="A842" s="220"/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  <c r="W842" s="220"/>
      <c r="X842" s="220"/>
      <c r="Y842" s="220"/>
      <c r="Z842" s="220"/>
    </row>
    <row r="843" ht="15.75" customHeight="1">
      <c r="A843" s="220"/>
      <c r="B843" s="220"/>
      <c r="C843" s="220"/>
      <c r="D843" s="220"/>
      <c r="E843" s="220"/>
      <c r="F843" s="220"/>
      <c r="G843" s="220"/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  <c r="W843" s="220"/>
      <c r="X843" s="220"/>
      <c r="Y843" s="220"/>
      <c r="Z843" s="220"/>
    </row>
    <row r="844" ht="15.75" customHeight="1">
      <c r="A844" s="220"/>
      <c r="B844" s="220"/>
      <c r="C844" s="220"/>
      <c r="D844" s="220"/>
      <c r="E844" s="220"/>
      <c r="F844" s="220"/>
      <c r="G844" s="220"/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  <c r="W844" s="220"/>
      <c r="X844" s="220"/>
      <c r="Y844" s="220"/>
      <c r="Z844" s="220"/>
    </row>
    <row r="845" ht="15.75" customHeight="1">
      <c r="A845" s="220"/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  <c r="W845" s="220"/>
      <c r="X845" s="220"/>
      <c r="Y845" s="220"/>
      <c r="Z845" s="220"/>
    </row>
    <row r="846" ht="15.75" customHeight="1">
      <c r="A846" s="220"/>
      <c r="B846" s="220"/>
      <c r="C846" s="220"/>
      <c r="D846" s="220"/>
      <c r="E846" s="220"/>
      <c r="F846" s="220"/>
      <c r="G846" s="220"/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  <c r="W846" s="220"/>
      <c r="X846" s="220"/>
      <c r="Y846" s="220"/>
      <c r="Z846" s="220"/>
    </row>
    <row r="847" ht="15.75" customHeight="1">
      <c r="A847" s="220"/>
      <c r="B847" s="220"/>
      <c r="C847" s="220"/>
      <c r="D847" s="220"/>
      <c r="E847" s="220"/>
      <c r="F847" s="220"/>
      <c r="G847" s="220"/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  <c r="W847" s="220"/>
      <c r="X847" s="220"/>
      <c r="Y847" s="220"/>
      <c r="Z847" s="220"/>
    </row>
    <row r="848" ht="15.75" customHeight="1">
      <c r="A848" s="220"/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  <c r="W848" s="220"/>
      <c r="X848" s="220"/>
      <c r="Y848" s="220"/>
      <c r="Z848" s="220"/>
    </row>
    <row r="849" ht="15.75" customHeight="1">
      <c r="A849" s="220"/>
      <c r="B849" s="220"/>
      <c r="C849" s="220"/>
      <c r="D849" s="220"/>
      <c r="E849" s="220"/>
      <c r="F849" s="220"/>
      <c r="G849" s="220"/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  <c r="W849" s="220"/>
      <c r="X849" s="220"/>
      <c r="Y849" s="220"/>
      <c r="Z849" s="220"/>
    </row>
    <row r="850" ht="15.75" customHeight="1">
      <c r="A850" s="220"/>
      <c r="B850" s="220"/>
      <c r="C850" s="220"/>
      <c r="D850" s="220"/>
      <c r="E850" s="220"/>
      <c r="F850" s="220"/>
      <c r="G850" s="220"/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  <c r="W850" s="220"/>
      <c r="X850" s="220"/>
      <c r="Y850" s="220"/>
      <c r="Z850" s="220"/>
    </row>
    <row r="851" ht="15.75" customHeight="1">
      <c r="A851" s="220"/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  <c r="W851" s="220"/>
      <c r="X851" s="220"/>
      <c r="Y851" s="220"/>
      <c r="Z851" s="220"/>
    </row>
    <row r="852" ht="15.75" customHeight="1">
      <c r="A852" s="220"/>
      <c r="B852" s="220"/>
      <c r="C852" s="220"/>
      <c r="D852" s="220"/>
      <c r="E852" s="220"/>
      <c r="F852" s="220"/>
      <c r="G852" s="220"/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  <c r="W852" s="220"/>
      <c r="X852" s="220"/>
      <c r="Y852" s="220"/>
      <c r="Z852" s="220"/>
    </row>
    <row r="853" ht="15.75" customHeight="1">
      <c r="A853" s="220"/>
      <c r="B853" s="220"/>
      <c r="C853" s="220"/>
      <c r="D853" s="220"/>
      <c r="E853" s="220"/>
      <c r="F853" s="220"/>
      <c r="G853" s="220"/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  <c r="W853" s="220"/>
      <c r="X853" s="220"/>
      <c r="Y853" s="220"/>
      <c r="Z853" s="220"/>
    </row>
    <row r="854" ht="15.75" customHeight="1">
      <c r="A854" s="220"/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  <c r="W854" s="220"/>
      <c r="X854" s="220"/>
      <c r="Y854" s="220"/>
      <c r="Z854" s="220"/>
    </row>
    <row r="855" ht="15.75" customHeight="1">
      <c r="A855" s="220"/>
      <c r="B855" s="220"/>
      <c r="C855" s="220"/>
      <c r="D855" s="220"/>
      <c r="E855" s="220"/>
      <c r="F855" s="220"/>
      <c r="G855" s="220"/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  <c r="W855" s="220"/>
      <c r="X855" s="220"/>
      <c r="Y855" s="220"/>
      <c r="Z855" s="220"/>
    </row>
    <row r="856" ht="15.75" customHeight="1">
      <c r="A856" s="220"/>
      <c r="B856" s="220"/>
      <c r="C856" s="220"/>
      <c r="D856" s="220"/>
      <c r="E856" s="220"/>
      <c r="F856" s="220"/>
      <c r="G856" s="220"/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  <c r="W856" s="220"/>
      <c r="X856" s="220"/>
      <c r="Y856" s="220"/>
      <c r="Z856" s="220"/>
    </row>
    <row r="857" ht="15.75" customHeight="1">
      <c r="A857" s="220"/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  <c r="W857" s="220"/>
      <c r="X857" s="220"/>
      <c r="Y857" s="220"/>
      <c r="Z857" s="220"/>
    </row>
    <row r="858" ht="15.75" customHeight="1">
      <c r="A858" s="220"/>
      <c r="B858" s="220"/>
      <c r="C858" s="220"/>
      <c r="D858" s="220"/>
      <c r="E858" s="220"/>
      <c r="F858" s="220"/>
      <c r="G858" s="220"/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  <c r="W858" s="220"/>
      <c r="X858" s="220"/>
      <c r="Y858" s="220"/>
      <c r="Z858" s="220"/>
    </row>
    <row r="859" ht="15.75" customHeight="1">
      <c r="A859" s="220"/>
      <c r="B859" s="220"/>
      <c r="C859" s="220"/>
      <c r="D859" s="220"/>
      <c r="E859" s="220"/>
      <c r="F859" s="220"/>
      <c r="G859" s="220"/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  <c r="W859" s="220"/>
      <c r="X859" s="220"/>
      <c r="Y859" s="220"/>
      <c r="Z859" s="220"/>
    </row>
    <row r="860" ht="15.75" customHeight="1">
      <c r="A860" s="220"/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  <c r="W860" s="220"/>
      <c r="X860" s="220"/>
      <c r="Y860" s="220"/>
      <c r="Z860" s="220"/>
    </row>
    <row r="861" ht="15.75" customHeight="1">
      <c r="A861" s="220"/>
      <c r="B861" s="220"/>
      <c r="C861" s="220"/>
      <c r="D861" s="220"/>
      <c r="E861" s="220"/>
      <c r="F861" s="220"/>
      <c r="G861" s="220"/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  <c r="W861" s="220"/>
      <c r="X861" s="220"/>
      <c r="Y861" s="220"/>
      <c r="Z861" s="220"/>
    </row>
    <row r="862" ht="15.75" customHeight="1">
      <c r="A862" s="220"/>
      <c r="B862" s="220"/>
      <c r="C862" s="220"/>
      <c r="D862" s="220"/>
      <c r="E862" s="220"/>
      <c r="F862" s="220"/>
      <c r="G862" s="220"/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  <c r="W862" s="220"/>
      <c r="X862" s="220"/>
      <c r="Y862" s="220"/>
      <c r="Z862" s="220"/>
    </row>
    <row r="863" ht="15.75" customHeight="1">
      <c r="A863" s="220"/>
      <c r="B863" s="220"/>
      <c r="C863" s="220"/>
      <c r="D863" s="220"/>
      <c r="E863" s="220"/>
      <c r="F863" s="220"/>
      <c r="G863" s="220"/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  <c r="W863" s="220"/>
      <c r="X863" s="220"/>
      <c r="Y863" s="220"/>
      <c r="Z863" s="220"/>
    </row>
    <row r="864" ht="15.75" customHeight="1">
      <c r="A864" s="220"/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  <c r="W864" s="220"/>
      <c r="X864" s="220"/>
      <c r="Y864" s="220"/>
      <c r="Z864" s="220"/>
    </row>
    <row r="865" ht="15.75" customHeight="1">
      <c r="A865" s="220"/>
      <c r="B865" s="220"/>
      <c r="C865" s="220"/>
      <c r="D865" s="220"/>
      <c r="E865" s="220"/>
      <c r="F865" s="220"/>
      <c r="G865" s="220"/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  <c r="W865" s="220"/>
      <c r="X865" s="220"/>
      <c r="Y865" s="220"/>
      <c r="Z865" s="220"/>
    </row>
    <row r="866" ht="15.75" customHeight="1">
      <c r="A866" s="220"/>
      <c r="B866" s="220"/>
      <c r="C866" s="220"/>
      <c r="D866" s="220"/>
      <c r="E866" s="220"/>
      <c r="F866" s="220"/>
      <c r="G866" s="220"/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  <c r="W866" s="220"/>
      <c r="X866" s="220"/>
      <c r="Y866" s="220"/>
      <c r="Z866" s="220"/>
    </row>
    <row r="867" ht="15.75" customHeight="1">
      <c r="A867" s="220"/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  <c r="W867" s="220"/>
      <c r="X867" s="220"/>
      <c r="Y867" s="220"/>
      <c r="Z867" s="220"/>
    </row>
    <row r="868" ht="15.75" customHeight="1">
      <c r="A868" s="220"/>
      <c r="B868" s="220"/>
      <c r="C868" s="220"/>
      <c r="D868" s="220"/>
      <c r="E868" s="220"/>
      <c r="F868" s="220"/>
      <c r="G868" s="220"/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  <c r="W868" s="220"/>
      <c r="X868" s="220"/>
      <c r="Y868" s="220"/>
      <c r="Z868" s="220"/>
    </row>
    <row r="869" ht="15.75" customHeight="1">
      <c r="A869" s="220"/>
      <c r="B869" s="220"/>
      <c r="C869" s="220"/>
      <c r="D869" s="220"/>
      <c r="E869" s="220"/>
      <c r="F869" s="220"/>
      <c r="G869" s="220"/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  <c r="W869" s="220"/>
      <c r="X869" s="220"/>
      <c r="Y869" s="220"/>
      <c r="Z869" s="220"/>
    </row>
    <row r="870" ht="15.75" customHeight="1">
      <c r="A870" s="220"/>
      <c r="B870" s="220"/>
      <c r="C870" s="220"/>
      <c r="D870" s="220"/>
      <c r="E870" s="220"/>
      <c r="F870" s="220"/>
      <c r="G870" s="220"/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  <c r="W870" s="220"/>
      <c r="X870" s="220"/>
      <c r="Y870" s="220"/>
      <c r="Z870" s="220"/>
    </row>
    <row r="871" ht="15.75" customHeight="1">
      <c r="A871" s="220"/>
      <c r="B871" s="220"/>
      <c r="C871" s="220"/>
      <c r="D871" s="220"/>
      <c r="E871" s="220"/>
      <c r="F871" s="220"/>
      <c r="G871" s="220"/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  <c r="W871" s="220"/>
      <c r="X871" s="220"/>
      <c r="Y871" s="220"/>
      <c r="Z871" s="220"/>
    </row>
    <row r="872" ht="15.75" customHeight="1">
      <c r="A872" s="220"/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  <c r="W872" s="220"/>
      <c r="X872" s="220"/>
      <c r="Y872" s="220"/>
      <c r="Z872" s="220"/>
    </row>
    <row r="873" ht="15.75" customHeight="1">
      <c r="A873" s="220"/>
      <c r="B873" s="220"/>
      <c r="C873" s="220"/>
      <c r="D873" s="220"/>
      <c r="E873" s="220"/>
      <c r="F873" s="220"/>
      <c r="G873" s="220"/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  <c r="W873" s="220"/>
      <c r="X873" s="220"/>
      <c r="Y873" s="220"/>
      <c r="Z873" s="220"/>
    </row>
    <row r="874" ht="15.75" customHeight="1">
      <c r="A874" s="220"/>
      <c r="B874" s="220"/>
      <c r="C874" s="220"/>
      <c r="D874" s="220"/>
      <c r="E874" s="220"/>
      <c r="F874" s="220"/>
      <c r="G874" s="220"/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  <c r="W874" s="220"/>
      <c r="X874" s="220"/>
      <c r="Y874" s="220"/>
      <c r="Z874" s="220"/>
    </row>
    <row r="875" ht="15.75" customHeight="1">
      <c r="A875" s="220"/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  <c r="W875" s="220"/>
      <c r="X875" s="220"/>
      <c r="Y875" s="220"/>
      <c r="Z875" s="220"/>
    </row>
    <row r="876" ht="15.75" customHeight="1">
      <c r="A876" s="220"/>
      <c r="B876" s="220"/>
      <c r="C876" s="220"/>
      <c r="D876" s="220"/>
      <c r="E876" s="220"/>
      <c r="F876" s="220"/>
      <c r="G876" s="220"/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  <c r="W876" s="220"/>
      <c r="X876" s="220"/>
      <c r="Y876" s="220"/>
      <c r="Z876" s="220"/>
    </row>
    <row r="877" ht="15.75" customHeight="1">
      <c r="A877" s="220"/>
      <c r="B877" s="220"/>
      <c r="C877" s="220"/>
      <c r="D877" s="220"/>
      <c r="E877" s="220"/>
      <c r="F877" s="220"/>
      <c r="G877" s="220"/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  <c r="W877" s="220"/>
      <c r="X877" s="220"/>
      <c r="Y877" s="220"/>
      <c r="Z877" s="220"/>
    </row>
    <row r="878" ht="15.75" customHeight="1">
      <c r="A878" s="220"/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  <c r="W878" s="220"/>
      <c r="X878" s="220"/>
      <c r="Y878" s="220"/>
      <c r="Z878" s="220"/>
    </row>
    <row r="879" ht="15.75" customHeight="1">
      <c r="A879" s="220"/>
      <c r="B879" s="220"/>
      <c r="C879" s="220"/>
      <c r="D879" s="220"/>
      <c r="E879" s="220"/>
      <c r="F879" s="220"/>
      <c r="G879" s="220"/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  <c r="W879" s="220"/>
      <c r="X879" s="220"/>
      <c r="Y879" s="220"/>
      <c r="Z879" s="220"/>
    </row>
    <row r="880" ht="15.75" customHeight="1">
      <c r="A880" s="220"/>
      <c r="B880" s="220"/>
      <c r="C880" s="220"/>
      <c r="D880" s="220"/>
      <c r="E880" s="220"/>
      <c r="F880" s="220"/>
      <c r="G880" s="220"/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  <c r="W880" s="220"/>
      <c r="X880" s="220"/>
      <c r="Y880" s="220"/>
      <c r="Z880" s="220"/>
    </row>
    <row r="881" ht="15.75" customHeight="1">
      <c r="A881" s="220"/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  <c r="W881" s="220"/>
      <c r="X881" s="220"/>
      <c r="Y881" s="220"/>
      <c r="Z881" s="220"/>
    </row>
    <row r="882" ht="15.75" customHeight="1">
      <c r="A882" s="220"/>
      <c r="B882" s="220"/>
      <c r="C882" s="220"/>
      <c r="D882" s="220"/>
      <c r="E882" s="220"/>
      <c r="F882" s="220"/>
      <c r="G882" s="220"/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  <c r="W882" s="220"/>
      <c r="X882" s="220"/>
      <c r="Y882" s="220"/>
      <c r="Z882" s="220"/>
    </row>
    <row r="883" ht="15.75" customHeight="1">
      <c r="A883" s="220"/>
      <c r="B883" s="220"/>
      <c r="C883" s="220"/>
      <c r="D883" s="220"/>
      <c r="E883" s="220"/>
      <c r="F883" s="220"/>
      <c r="G883" s="220"/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  <c r="W883" s="220"/>
      <c r="X883" s="220"/>
      <c r="Y883" s="220"/>
      <c r="Z883" s="220"/>
    </row>
    <row r="884" ht="15.75" customHeight="1">
      <c r="A884" s="220"/>
      <c r="B884" s="220"/>
      <c r="C884" s="220"/>
      <c r="D884" s="220"/>
      <c r="E884" s="220"/>
      <c r="F884" s="220"/>
      <c r="G884" s="220"/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  <c r="W884" s="220"/>
      <c r="X884" s="220"/>
      <c r="Y884" s="220"/>
      <c r="Z884" s="220"/>
    </row>
    <row r="885" ht="15.75" customHeight="1">
      <c r="A885" s="220"/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  <c r="W885" s="220"/>
      <c r="X885" s="220"/>
      <c r="Y885" s="220"/>
      <c r="Z885" s="220"/>
    </row>
    <row r="886" ht="15.75" customHeight="1">
      <c r="A886" s="220"/>
      <c r="B886" s="220"/>
      <c r="C886" s="220"/>
      <c r="D886" s="220"/>
      <c r="E886" s="220"/>
      <c r="F886" s="220"/>
      <c r="G886" s="220"/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  <c r="W886" s="220"/>
      <c r="X886" s="220"/>
      <c r="Y886" s="220"/>
      <c r="Z886" s="220"/>
    </row>
    <row r="887" ht="15.75" customHeight="1">
      <c r="A887" s="220"/>
      <c r="B887" s="220"/>
      <c r="C887" s="220"/>
      <c r="D887" s="220"/>
      <c r="E887" s="220"/>
      <c r="F887" s="220"/>
      <c r="G887" s="220"/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  <c r="W887" s="220"/>
      <c r="X887" s="220"/>
      <c r="Y887" s="220"/>
      <c r="Z887" s="220"/>
    </row>
    <row r="888" ht="15.75" customHeight="1">
      <c r="A888" s="220"/>
      <c r="B888" s="220"/>
      <c r="C888" s="220"/>
      <c r="D888" s="220"/>
      <c r="E888" s="220"/>
      <c r="F888" s="220"/>
      <c r="G888" s="220"/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  <c r="W888" s="220"/>
      <c r="X888" s="220"/>
      <c r="Y888" s="220"/>
      <c r="Z888" s="220"/>
    </row>
    <row r="889" ht="15.75" customHeight="1">
      <c r="A889" s="220"/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  <c r="W889" s="220"/>
      <c r="X889" s="220"/>
      <c r="Y889" s="220"/>
      <c r="Z889" s="220"/>
    </row>
    <row r="890" ht="15.75" customHeight="1">
      <c r="A890" s="220"/>
      <c r="B890" s="220"/>
      <c r="C890" s="220"/>
      <c r="D890" s="220"/>
      <c r="E890" s="220"/>
      <c r="F890" s="220"/>
      <c r="G890" s="220"/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  <c r="W890" s="220"/>
      <c r="X890" s="220"/>
      <c r="Y890" s="220"/>
      <c r="Z890" s="220"/>
    </row>
    <row r="891" ht="15.75" customHeight="1">
      <c r="A891" s="220"/>
      <c r="B891" s="220"/>
      <c r="C891" s="220"/>
      <c r="D891" s="220"/>
      <c r="E891" s="220"/>
      <c r="F891" s="220"/>
      <c r="G891" s="220"/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  <c r="W891" s="220"/>
      <c r="X891" s="220"/>
      <c r="Y891" s="220"/>
      <c r="Z891" s="220"/>
    </row>
    <row r="892" ht="15.75" customHeight="1">
      <c r="A892" s="220"/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  <c r="W892" s="220"/>
      <c r="X892" s="220"/>
      <c r="Y892" s="220"/>
      <c r="Z892" s="220"/>
    </row>
    <row r="893" ht="15.75" customHeight="1">
      <c r="A893" s="220"/>
      <c r="B893" s="220"/>
      <c r="C893" s="220"/>
      <c r="D893" s="220"/>
      <c r="E893" s="220"/>
      <c r="F893" s="220"/>
      <c r="G893" s="220"/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  <c r="W893" s="220"/>
      <c r="X893" s="220"/>
      <c r="Y893" s="220"/>
      <c r="Z893" s="220"/>
    </row>
    <row r="894" ht="15.75" customHeight="1">
      <c r="A894" s="220"/>
      <c r="B894" s="220"/>
      <c r="C894" s="220"/>
      <c r="D894" s="220"/>
      <c r="E894" s="220"/>
      <c r="F894" s="220"/>
      <c r="G894" s="220"/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  <c r="W894" s="220"/>
      <c r="X894" s="220"/>
      <c r="Y894" s="220"/>
      <c r="Z894" s="220"/>
    </row>
    <row r="895" ht="15.75" customHeight="1">
      <c r="A895" s="220"/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  <c r="W895" s="220"/>
      <c r="X895" s="220"/>
      <c r="Y895" s="220"/>
      <c r="Z895" s="220"/>
    </row>
    <row r="896" ht="15.75" customHeight="1">
      <c r="A896" s="220"/>
      <c r="B896" s="220"/>
      <c r="C896" s="220"/>
      <c r="D896" s="220"/>
      <c r="E896" s="220"/>
      <c r="F896" s="220"/>
      <c r="G896" s="220"/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220"/>
      <c r="Y896" s="220"/>
      <c r="Z896" s="220"/>
    </row>
    <row r="897" ht="15.75" customHeight="1">
      <c r="A897" s="220"/>
      <c r="B897" s="220"/>
      <c r="C897" s="220"/>
      <c r="D897" s="220"/>
      <c r="E897" s="220"/>
      <c r="F897" s="220"/>
      <c r="G897" s="220"/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  <c r="W897" s="220"/>
      <c r="X897" s="220"/>
      <c r="Y897" s="220"/>
      <c r="Z897" s="220"/>
    </row>
    <row r="898" ht="15.75" customHeight="1">
      <c r="A898" s="220"/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  <c r="W898" s="220"/>
      <c r="X898" s="220"/>
      <c r="Y898" s="220"/>
      <c r="Z898" s="220"/>
    </row>
    <row r="899" ht="15.75" customHeight="1">
      <c r="A899" s="220"/>
      <c r="B899" s="220"/>
      <c r="C899" s="220"/>
      <c r="D899" s="220"/>
      <c r="E899" s="220"/>
      <c r="F899" s="220"/>
      <c r="G899" s="220"/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  <c r="W899" s="220"/>
      <c r="X899" s="220"/>
      <c r="Y899" s="220"/>
      <c r="Z899" s="220"/>
    </row>
    <row r="900" ht="15.75" customHeight="1">
      <c r="A900" s="220"/>
      <c r="B900" s="220"/>
      <c r="C900" s="220"/>
      <c r="D900" s="220"/>
      <c r="E900" s="220"/>
      <c r="F900" s="220"/>
      <c r="G900" s="220"/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  <c r="W900" s="220"/>
      <c r="X900" s="220"/>
      <c r="Y900" s="220"/>
      <c r="Z900" s="220"/>
    </row>
    <row r="901" ht="15.75" customHeight="1">
      <c r="A901" s="220"/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  <c r="W901" s="220"/>
      <c r="X901" s="220"/>
      <c r="Y901" s="220"/>
      <c r="Z901" s="220"/>
    </row>
    <row r="902" ht="15.75" customHeight="1">
      <c r="A902" s="220"/>
      <c r="B902" s="220"/>
      <c r="C902" s="220"/>
      <c r="D902" s="220"/>
      <c r="E902" s="220"/>
      <c r="F902" s="220"/>
      <c r="G902" s="220"/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  <c r="W902" s="220"/>
      <c r="X902" s="220"/>
      <c r="Y902" s="220"/>
      <c r="Z902" s="220"/>
    </row>
    <row r="903" ht="15.75" customHeight="1">
      <c r="A903" s="220"/>
      <c r="B903" s="220"/>
      <c r="C903" s="220"/>
      <c r="D903" s="220"/>
      <c r="E903" s="220"/>
      <c r="F903" s="220"/>
      <c r="G903" s="220"/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  <c r="W903" s="220"/>
      <c r="X903" s="220"/>
      <c r="Y903" s="220"/>
      <c r="Z903" s="220"/>
    </row>
    <row r="904" ht="15.75" customHeight="1">
      <c r="A904" s="220"/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  <c r="W904" s="220"/>
      <c r="X904" s="220"/>
      <c r="Y904" s="220"/>
      <c r="Z904" s="220"/>
    </row>
    <row r="905" ht="15.75" customHeight="1">
      <c r="A905" s="220"/>
      <c r="B905" s="220"/>
      <c r="C905" s="220"/>
      <c r="D905" s="220"/>
      <c r="E905" s="220"/>
      <c r="F905" s="220"/>
      <c r="G905" s="220"/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  <c r="W905" s="220"/>
      <c r="X905" s="220"/>
      <c r="Y905" s="220"/>
      <c r="Z905" s="220"/>
    </row>
    <row r="906" ht="15.75" customHeight="1">
      <c r="A906" s="220"/>
      <c r="B906" s="220"/>
      <c r="C906" s="220"/>
      <c r="D906" s="220"/>
      <c r="E906" s="220"/>
      <c r="F906" s="220"/>
      <c r="G906" s="220"/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  <c r="W906" s="220"/>
      <c r="X906" s="220"/>
      <c r="Y906" s="220"/>
      <c r="Z906" s="220"/>
    </row>
    <row r="907" ht="15.75" customHeight="1">
      <c r="A907" s="220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  <c r="W907" s="220"/>
      <c r="X907" s="220"/>
      <c r="Y907" s="220"/>
      <c r="Z907" s="220"/>
    </row>
    <row r="908" ht="15.75" customHeight="1">
      <c r="A908" s="220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  <c r="W908" s="220"/>
      <c r="X908" s="220"/>
      <c r="Y908" s="220"/>
      <c r="Z908" s="220"/>
    </row>
    <row r="909" ht="15.75" customHeight="1">
      <c r="A909" s="220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  <c r="W909" s="220"/>
      <c r="X909" s="220"/>
      <c r="Y909" s="220"/>
      <c r="Z909" s="220"/>
    </row>
    <row r="910" ht="15.75" customHeight="1">
      <c r="A910" s="220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  <c r="W910" s="220"/>
      <c r="X910" s="220"/>
      <c r="Y910" s="220"/>
      <c r="Z910" s="220"/>
    </row>
    <row r="911" ht="15.75" customHeight="1">
      <c r="A911" s="220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  <c r="W911" s="220"/>
      <c r="X911" s="220"/>
      <c r="Y911" s="220"/>
      <c r="Z911" s="220"/>
    </row>
    <row r="912" ht="15.75" customHeight="1">
      <c r="A912" s="220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  <c r="W912" s="220"/>
      <c r="X912" s="220"/>
      <c r="Y912" s="220"/>
      <c r="Z912" s="220"/>
    </row>
    <row r="913" ht="15.75" customHeight="1">
      <c r="A913" s="220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  <c r="W913" s="220"/>
      <c r="X913" s="220"/>
      <c r="Y913" s="220"/>
      <c r="Z913" s="220"/>
    </row>
    <row r="914" ht="15.75" customHeight="1">
      <c r="A914" s="220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20"/>
    </row>
    <row r="915" ht="15.75" customHeight="1">
      <c r="A915" s="220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  <c r="W915" s="220"/>
      <c r="X915" s="220"/>
      <c r="Y915" s="220"/>
      <c r="Z915" s="220"/>
    </row>
    <row r="916" ht="15.75" customHeight="1">
      <c r="A916" s="220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  <c r="W916" s="220"/>
      <c r="X916" s="220"/>
      <c r="Y916" s="220"/>
      <c r="Z916" s="220"/>
    </row>
    <row r="917" ht="15.75" customHeight="1">
      <c r="A917" s="220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  <c r="W917" s="220"/>
      <c r="X917" s="220"/>
      <c r="Y917" s="220"/>
      <c r="Z917" s="220"/>
    </row>
    <row r="918" ht="15.75" customHeight="1">
      <c r="A918" s="220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  <c r="W918" s="220"/>
      <c r="X918" s="220"/>
      <c r="Y918" s="220"/>
      <c r="Z918" s="220"/>
    </row>
    <row r="919" ht="15.75" customHeight="1">
      <c r="A919" s="220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  <c r="W919" s="220"/>
      <c r="X919" s="220"/>
      <c r="Y919" s="220"/>
      <c r="Z919" s="220"/>
    </row>
    <row r="920" ht="15.75" customHeight="1">
      <c r="A920" s="220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  <c r="W920" s="220"/>
      <c r="X920" s="220"/>
      <c r="Y920" s="220"/>
      <c r="Z920" s="220"/>
    </row>
    <row r="921" ht="15.75" customHeight="1">
      <c r="A921" s="220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0"/>
    </row>
    <row r="922" ht="15.75" customHeight="1">
      <c r="A922" s="220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  <c r="W922" s="220"/>
      <c r="X922" s="220"/>
      <c r="Y922" s="220"/>
      <c r="Z922" s="220"/>
    </row>
    <row r="923" ht="15.75" customHeight="1">
      <c r="A923" s="220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  <c r="W923" s="220"/>
      <c r="X923" s="220"/>
      <c r="Y923" s="220"/>
      <c r="Z923" s="220"/>
    </row>
    <row r="924" ht="15.75" customHeight="1">
      <c r="A924" s="220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  <c r="W924" s="220"/>
      <c r="X924" s="220"/>
      <c r="Y924" s="220"/>
      <c r="Z924" s="220"/>
    </row>
    <row r="925" ht="15.75" customHeight="1">
      <c r="A925" s="220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  <c r="W925" s="220"/>
      <c r="X925" s="220"/>
      <c r="Y925" s="220"/>
      <c r="Z925" s="220"/>
    </row>
    <row r="926" ht="15.75" customHeight="1">
      <c r="A926" s="220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  <c r="W926" s="220"/>
      <c r="X926" s="220"/>
      <c r="Y926" s="220"/>
      <c r="Z926" s="220"/>
    </row>
    <row r="927" ht="15.75" customHeight="1">
      <c r="A927" s="220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  <c r="W927" s="220"/>
      <c r="X927" s="220"/>
      <c r="Y927" s="220"/>
      <c r="Z927" s="220"/>
    </row>
    <row r="928" ht="15.75" customHeight="1">
      <c r="A928" s="220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  <c r="W928" s="220"/>
      <c r="X928" s="220"/>
      <c r="Y928" s="220"/>
      <c r="Z928" s="220"/>
    </row>
    <row r="929" ht="15.75" customHeight="1">
      <c r="A929" s="220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  <c r="W929" s="220"/>
      <c r="X929" s="220"/>
      <c r="Y929" s="220"/>
      <c r="Z929" s="220"/>
    </row>
    <row r="930" ht="15.75" customHeight="1">
      <c r="A930" s="220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  <c r="W930" s="220"/>
      <c r="X930" s="220"/>
      <c r="Y930" s="220"/>
      <c r="Z930" s="220"/>
    </row>
    <row r="931" ht="15.75" customHeight="1">
      <c r="A931" s="220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  <c r="W931" s="220"/>
      <c r="X931" s="220"/>
      <c r="Y931" s="220"/>
      <c r="Z931" s="220"/>
    </row>
    <row r="932" ht="15.75" customHeight="1">
      <c r="A932" s="220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  <c r="W932" s="220"/>
      <c r="X932" s="220"/>
      <c r="Y932" s="220"/>
      <c r="Z932" s="220"/>
    </row>
    <row r="933" ht="15.75" customHeight="1">
      <c r="A933" s="220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  <c r="W933" s="220"/>
      <c r="X933" s="220"/>
      <c r="Y933" s="220"/>
      <c r="Z933" s="220"/>
    </row>
    <row r="934" ht="15.75" customHeight="1">
      <c r="A934" s="220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  <c r="W934" s="220"/>
      <c r="X934" s="220"/>
      <c r="Y934" s="220"/>
      <c r="Z934" s="220"/>
    </row>
    <row r="935" ht="15.75" customHeight="1">
      <c r="A935" s="220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  <c r="W935" s="220"/>
      <c r="X935" s="220"/>
      <c r="Y935" s="220"/>
      <c r="Z935" s="220"/>
    </row>
    <row r="936" ht="15.75" customHeight="1">
      <c r="A936" s="220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  <c r="W936" s="220"/>
      <c r="X936" s="220"/>
      <c r="Y936" s="220"/>
      <c r="Z936" s="220"/>
    </row>
    <row r="937" ht="15.75" customHeight="1">
      <c r="A937" s="220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  <c r="W937" s="220"/>
      <c r="X937" s="220"/>
      <c r="Y937" s="220"/>
      <c r="Z937" s="220"/>
    </row>
    <row r="938" ht="15.75" customHeight="1">
      <c r="A938" s="220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  <c r="W938" s="220"/>
      <c r="X938" s="220"/>
      <c r="Y938" s="220"/>
      <c r="Z938" s="220"/>
    </row>
    <row r="939" ht="15.75" customHeight="1">
      <c r="A939" s="220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  <c r="W939" s="220"/>
      <c r="X939" s="220"/>
      <c r="Y939" s="220"/>
      <c r="Z939" s="220"/>
    </row>
    <row r="940" ht="15.75" customHeight="1">
      <c r="A940" s="220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  <c r="W940" s="220"/>
      <c r="X940" s="220"/>
      <c r="Y940" s="220"/>
      <c r="Z940" s="220"/>
    </row>
    <row r="941" ht="15.75" customHeight="1">
      <c r="A941" s="220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  <c r="W941" s="220"/>
      <c r="X941" s="220"/>
      <c r="Y941" s="220"/>
      <c r="Z941" s="220"/>
    </row>
    <row r="942" ht="15.75" customHeight="1">
      <c r="A942" s="220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  <c r="W942" s="220"/>
      <c r="X942" s="220"/>
      <c r="Y942" s="220"/>
      <c r="Z942" s="220"/>
    </row>
    <row r="943" ht="15.75" customHeight="1">
      <c r="A943" s="220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  <c r="W943" s="220"/>
      <c r="X943" s="220"/>
      <c r="Y943" s="220"/>
      <c r="Z943" s="220"/>
    </row>
    <row r="944" ht="15.75" customHeight="1">
      <c r="A944" s="220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  <c r="W944" s="220"/>
      <c r="X944" s="220"/>
      <c r="Y944" s="220"/>
      <c r="Z944" s="220"/>
    </row>
    <row r="945" ht="15.75" customHeight="1">
      <c r="A945" s="220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  <c r="W945" s="220"/>
      <c r="X945" s="220"/>
      <c r="Y945" s="220"/>
      <c r="Z945" s="220"/>
    </row>
    <row r="946" ht="15.75" customHeight="1">
      <c r="A946" s="220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  <c r="W946" s="220"/>
      <c r="X946" s="220"/>
      <c r="Y946" s="220"/>
      <c r="Z946" s="220"/>
    </row>
    <row r="947" ht="15.75" customHeight="1">
      <c r="A947" s="220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  <c r="W947" s="220"/>
      <c r="X947" s="220"/>
      <c r="Y947" s="220"/>
      <c r="Z947" s="220"/>
    </row>
    <row r="948" ht="15.75" customHeight="1">
      <c r="A948" s="220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  <c r="W948" s="220"/>
      <c r="X948" s="220"/>
      <c r="Y948" s="220"/>
      <c r="Z948" s="220"/>
    </row>
    <row r="949" ht="15.75" customHeight="1">
      <c r="A949" s="220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  <c r="W949" s="220"/>
      <c r="X949" s="220"/>
      <c r="Y949" s="220"/>
      <c r="Z949" s="220"/>
    </row>
    <row r="950" ht="15.75" customHeight="1">
      <c r="A950" s="220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  <c r="W950" s="220"/>
      <c r="X950" s="220"/>
      <c r="Y950" s="220"/>
      <c r="Z950" s="220"/>
    </row>
    <row r="951" ht="15.75" customHeight="1">
      <c r="A951" s="220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  <c r="W951" s="220"/>
      <c r="X951" s="220"/>
      <c r="Y951" s="220"/>
      <c r="Z951" s="220"/>
    </row>
    <row r="952" ht="15.75" customHeight="1">
      <c r="A952" s="220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  <c r="W952" s="220"/>
      <c r="X952" s="220"/>
      <c r="Y952" s="220"/>
      <c r="Z952" s="220"/>
    </row>
    <row r="953" ht="15.75" customHeight="1">
      <c r="A953" s="220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  <c r="W953" s="220"/>
      <c r="X953" s="220"/>
      <c r="Y953" s="220"/>
      <c r="Z953" s="220"/>
    </row>
    <row r="954" ht="15.75" customHeight="1">
      <c r="A954" s="220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  <c r="W954" s="220"/>
      <c r="X954" s="220"/>
      <c r="Y954" s="220"/>
      <c r="Z954" s="220"/>
    </row>
    <row r="955" ht="15.75" customHeight="1">
      <c r="A955" s="220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  <c r="W955" s="220"/>
      <c r="X955" s="220"/>
      <c r="Y955" s="220"/>
      <c r="Z955" s="220"/>
    </row>
    <row r="956" ht="15.75" customHeight="1">
      <c r="A956" s="220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  <c r="W956" s="220"/>
      <c r="X956" s="220"/>
      <c r="Y956" s="220"/>
      <c r="Z956" s="220"/>
    </row>
    <row r="957" ht="15.75" customHeight="1">
      <c r="A957" s="220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  <c r="W957" s="220"/>
      <c r="X957" s="220"/>
      <c r="Y957" s="220"/>
      <c r="Z957" s="220"/>
    </row>
    <row r="958" ht="15.75" customHeight="1">
      <c r="A958" s="220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  <c r="W958" s="220"/>
      <c r="X958" s="220"/>
      <c r="Y958" s="220"/>
      <c r="Z958" s="220"/>
    </row>
    <row r="959" ht="15.75" customHeight="1">
      <c r="A959" s="220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  <c r="W959" s="220"/>
      <c r="X959" s="220"/>
      <c r="Y959" s="220"/>
      <c r="Z959" s="220"/>
    </row>
    <row r="960" ht="15.75" customHeight="1">
      <c r="A960" s="220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  <c r="W960" s="220"/>
      <c r="X960" s="220"/>
      <c r="Y960" s="220"/>
      <c r="Z960" s="220"/>
    </row>
    <row r="961" ht="15.75" customHeight="1">
      <c r="A961" s="220"/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  <c r="W961" s="220"/>
      <c r="X961" s="220"/>
      <c r="Y961" s="220"/>
      <c r="Z961" s="220"/>
    </row>
    <row r="962" ht="15.75" customHeight="1">
      <c r="A962" s="220"/>
      <c r="B962" s="220"/>
      <c r="C962" s="220"/>
      <c r="D962" s="220"/>
      <c r="E962" s="220"/>
      <c r="F962" s="220"/>
      <c r="G962" s="220"/>
      <c r="H962" s="220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  <c r="W962" s="220"/>
      <c r="X962" s="220"/>
      <c r="Y962" s="220"/>
      <c r="Z962" s="220"/>
    </row>
    <row r="963" ht="15.75" customHeight="1">
      <c r="A963" s="220"/>
      <c r="B963" s="220"/>
      <c r="C963" s="220"/>
      <c r="D963" s="220"/>
      <c r="E963" s="220"/>
      <c r="F963" s="220"/>
      <c r="G963" s="220"/>
      <c r="H963" s="220"/>
      <c r="I963" s="220"/>
      <c r="J963" s="220"/>
      <c r="K963" s="220"/>
      <c r="L963" s="220"/>
      <c r="M963" s="220"/>
      <c r="N963" s="220"/>
      <c r="O963" s="220"/>
      <c r="P963" s="220"/>
      <c r="Q963" s="220"/>
      <c r="R963" s="220"/>
      <c r="S963" s="220"/>
      <c r="T963" s="220"/>
      <c r="U963" s="220"/>
      <c r="V963" s="220"/>
      <c r="W963" s="220"/>
      <c r="X963" s="220"/>
      <c r="Y963" s="220"/>
      <c r="Z963" s="220"/>
    </row>
    <row r="964" ht="15.75" customHeight="1">
      <c r="A964" s="220"/>
      <c r="B964" s="220"/>
      <c r="C964" s="220"/>
      <c r="D964" s="220"/>
      <c r="E964" s="220"/>
      <c r="F964" s="220"/>
      <c r="G964" s="220"/>
      <c r="H964" s="220"/>
      <c r="I964" s="220"/>
      <c r="J964" s="220"/>
      <c r="K964" s="220"/>
      <c r="L964" s="220"/>
      <c r="M964" s="220"/>
      <c r="N964" s="220"/>
      <c r="O964" s="220"/>
      <c r="P964" s="220"/>
      <c r="Q964" s="220"/>
      <c r="R964" s="220"/>
      <c r="S964" s="220"/>
      <c r="T964" s="220"/>
      <c r="U964" s="220"/>
      <c r="V964" s="220"/>
      <c r="W964" s="220"/>
      <c r="X964" s="220"/>
      <c r="Y964" s="220"/>
      <c r="Z964" s="220"/>
    </row>
    <row r="965" ht="15.75" customHeight="1">
      <c r="A965" s="220"/>
      <c r="B965" s="220"/>
      <c r="C965" s="220"/>
      <c r="D965" s="220"/>
      <c r="E965" s="220"/>
      <c r="F965" s="220"/>
      <c r="G965" s="220"/>
      <c r="H965" s="220"/>
      <c r="I965" s="220"/>
      <c r="J965" s="220"/>
      <c r="K965" s="220"/>
      <c r="L965" s="220"/>
      <c r="M965" s="220"/>
      <c r="N965" s="220"/>
      <c r="O965" s="220"/>
      <c r="P965" s="220"/>
      <c r="Q965" s="220"/>
      <c r="R965" s="220"/>
      <c r="S965" s="220"/>
      <c r="T965" s="220"/>
      <c r="U965" s="220"/>
      <c r="V965" s="220"/>
      <c r="W965" s="220"/>
      <c r="X965" s="220"/>
      <c r="Y965" s="220"/>
      <c r="Z965" s="220"/>
    </row>
    <row r="966" ht="15.75" customHeight="1">
      <c r="A966" s="220"/>
      <c r="B966" s="220"/>
      <c r="C966" s="220"/>
      <c r="D966" s="220"/>
      <c r="E966" s="220"/>
      <c r="F966" s="220"/>
      <c r="G966" s="220"/>
      <c r="H966" s="220"/>
      <c r="I966" s="220"/>
      <c r="J966" s="220"/>
      <c r="K966" s="220"/>
      <c r="L966" s="220"/>
      <c r="M966" s="220"/>
      <c r="N966" s="220"/>
      <c r="O966" s="220"/>
      <c r="P966" s="220"/>
      <c r="Q966" s="220"/>
      <c r="R966" s="220"/>
      <c r="S966" s="220"/>
      <c r="T966" s="220"/>
      <c r="U966" s="220"/>
      <c r="V966" s="220"/>
      <c r="W966" s="220"/>
      <c r="X966" s="220"/>
      <c r="Y966" s="220"/>
      <c r="Z966" s="220"/>
    </row>
    <row r="967" ht="15.75" customHeight="1">
      <c r="A967" s="220"/>
      <c r="B967" s="220"/>
      <c r="C967" s="220"/>
      <c r="D967" s="220"/>
      <c r="E967" s="220"/>
      <c r="F967" s="220"/>
      <c r="G967" s="220"/>
      <c r="H967" s="220"/>
      <c r="I967" s="220"/>
      <c r="J967" s="220"/>
      <c r="K967" s="220"/>
      <c r="L967" s="220"/>
      <c r="M967" s="220"/>
      <c r="N967" s="220"/>
      <c r="O967" s="220"/>
      <c r="P967" s="220"/>
      <c r="Q967" s="220"/>
      <c r="R967" s="220"/>
      <c r="S967" s="220"/>
      <c r="T967" s="220"/>
      <c r="U967" s="220"/>
      <c r="V967" s="220"/>
      <c r="W967" s="220"/>
      <c r="X967" s="220"/>
      <c r="Y967" s="220"/>
      <c r="Z967" s="220"/>
    </row>
    <row r="968" ht="15.75" customHeight="1">
      <c r="A968" s="220"/>
      <c r="B968" s="220"/>
      <c r="C968" s="220"/>
      <c r="D968" s="220"/>
      <c r="E968" s="220"/>
      <c r="F968" s="220"/>
      <c r="G968" s="220"/>
      <c r="H968" s="220"/>
      <c r="I968" s="220"/>
      <c r="J968" s="220"/>
      <c r="K968" s="220"/>
      <c r="L968" s="220"/>
      <c r="M968" s="220"/>
      <c r="N968" s="220"/>
      <c r="O968" s="220"/>
      <c r="P968" s="220"/>
      <c r="Q968" s="220"/>
      <c r="R968" s="220"/>
      <c r="S968" s="220"/>
      <c r="T968" s="220"/>
      <c r="U968" s="220"/>
      <c r="V968" s="220"/>
      <c r="W968" s="220"/>
      <c r="X968" s="220"/>
      <c r="Y968" s="220"/>
      <c r="Z968" s="220"/>
    </row>
    <row r="969" ht="15.75" customHeight="1">
      <c r="A969" s="220"/>
      <c r="B969" s="220"/>
      <c r="C969" s="220"/>
      <c r="D969" s="220"/>
      <c r="E969" s="220"/>
      <c r="F969" s="220"/>
      <c r="G969" s="220"/>
      <c r="H969" s="220"/>
      <c r="I969" s="220"/>
      <c r="J969" s="220"/>
      <c r="K969" s="220"/>
      <c r="L969" s="220"/>
      <c r="M969" s="220"/>
      <c r="N969" s="220"/>
      <c r="O969" s="220"/>
      <c r="P969" s="220"/>
      <c r="Q969" s="220"/>
      <c r="R969" s="220"/>
      <c r="S969" s="220"/>
      <c r="T969" s="220"/>
      <c r="U969" s="220"/>
      <c r="V969" s="220"/>
      <c r="W969" s="220"/>
      <c r="X969" s="220"/>
      <c r="Y969" s="220"/>
      <c r="Z969" s="220"/>
    </row>
    <row r="970" ht="15.75" customHeight="1">
      <c r="A970" s="220"/>
      <c r="B970" s="220"/>
      <c r="C970" s="220"/>
      <c r="D970" s="220"/>
      <c r="E970" s="220"/>
      <c r="F970" s="220"/>
      <c r="G970" s="220"/>
      <c r="H970" s="220"/>
      <c r="I970" s="220"/>
      <c r="J970" s="220"/>
      <c r="K970" s="220"/>
      <c r="L970" s="220"/>
      <c r="M970" s="220"/>
      <c r="N970" s="220"/>
      <c r="O970" s="220"/>
      <c r="P970" s="220"/>
      <c r="Q970" s="220"/>
      <c r="R970" s="220"/>
      <c r="S970" s="220"/>
      <c r="T970" s="220"/>
      <c r="U970" s="220"/>
      <c r="V970" s="220"/>
      <c r="W970" s="220"/>
      <c r="X970" s="220"/>
      <c r="Y970" s="220"/>
      <c r="Z970" s="220"/>
    </row>
    <row r="971" ht="15.75" customHeight="1">
      <c r="A971" s="220"/>
      <c r="B971" s="220"/>
      <c r="C971" s="220"/>
      <c r="D971" s="220"/>
      <c r="E971" s="220"/>
      <c r="F971" s="220"/>
      <c r="G971" s="220"/>
      <c r="H971" s="220"/>
      <c r="I971" s="220"/>
      <c r="J971" s="220"/>
      <c r="K971" s="220"/>
      <c r="L971" s="220"/>
      <c r="M971" s="220"/>
      <c r="N971" s="220"/>
      <c r="O971" s="220"/>
      <c r="P971" s="220"/>
      <c r="Q971" s="220"/>
      <c r="R971" s="220"/>
      <c r="S971" s="220"/>
      <c r="T971" s="220"/>
      <c r="U971" s="220"/>
      <c r="V971" s="220"/>
      <c r="W971" s="220"/>
      <c r="X971" s="220"/>
      <c r="Y971" s="220"/>
      <c r="Z971" s="220"/>
    </row>
    <row r="972" ht="15.75" customHeight="1">
      <c r="A972" s="220"/>
      <c r="B972" s="220"/>
      <c r="C972" s="220"/>
      <c r="D972" s="220"/>
      <c r="E972" s="220"/>
      <c r="F972" s="220"/>
      <c r="G972" s="220"/>
      <c r="H972" s="220"/>
      <c r="I972" s="220"/>
      <c r="J972" s="220"/>
      <c r="K972" s="220"/>
      <c r="L972" s="220"/>
      <c r="M972" s="220"/>
      <c r="N972" s="220"/>
      <c r="O972" s="220"/>
      <c r="P972" s="220"/>
      <c r="Q972" s="220"/>
      <c r="R972" s="220"/>
      <c r="S972" s="220"/>
      <c r="T972" s="220"/>
      <c r="U972" s="220"/>
      <c r="V972" s="220"/>
      <c r="W972" s="220"/>
      <c r="X972" s="220"/>
      <c r="Y972" s="220"/>
      <c r="Z972" s="220"/>
    </row>
    <row r="973" ht="15.75" customHeight="1">
      <c r="A973" s="220"/>
      <c r="B973" s="220"/>
      <c r="C973" s="220"/>
      <c r="D973" s="220"/>
      <c r="E973" s="220"/>
      <c r="F973" s="220"/>
      <c r="G973" s="220"/>
      <c r="H973" s="220"/>
      <c r="I973" s="220"/>
      <c r="J973" s="220"/>
      <c r="K973" s="220"/>
      <c r="L973" s="220"/>
      <c r="M973" s="220"/>
      <c r="N973" s="220"/>
      <c r="O973" s="220"/>
      <c r="P973" s="220"/>
      <c r="Q973" s="220"/>
      <c r="R973" s="220"/>
      <c r="S973" s="220"/>
      <c r="T973" s="220"/>
      <c r="U973" s="220"/>
      <c r="V973" s="220"/>
      <c r="W973" s="220"/>
      <c r="X973" s="220"/>
      <c r="Y973" s="220"/>
      <c r="Z973" s="220"/>
    </row>
    <row r="974" ht="15.75" customHeight="1">
      <c r="A974" s="220"/>
      <c r="B974" s="220"/>
      <c r="C974" s="220"/>
      <c r="D974" s="220"/>
      <c r="E974" s="220"/>
      <c r="F974" s="220"/>
      <c r="G974" s="220"/>
      <c r="H974" s="220"/>
      <c r="I974" s="220"/>
      <c r="J974" s="220"/>
      <c r="K974" s="220"/>
      <c r="L974" s="220"/>
      <c r="M974" s="220"/>
      <c r="N974" s="220"/>
      <c r="O974" s="220"/>
      <c r="P974" s="220"/>
      <c r="Q974" s="220"/>
      <c r="R974" s="220"/>
      <c r="S974" s="220"/>
      <c r="T974" s="220"/>
      <c r="U974" s="220"/>
      <c r="V974" s="220"/>
      <c r="W974" s="220"/>
      <c r="X974" s="220"/>
      <c r="Y974" s="220"/>
      <c r="Z974" s="220"/>
    </row>
    <row r="975" ht="15.75" customHeight="1">
      <c r="A975" s="220"/>
      <c r="B975" s="220"/>
      <c r="C975" s="220"/>
      <c r="D975" s="220"/>
      <c r="E975" s="220"/>
      <c r="F975" s="220"/>
      <c r="G975" s="220"/>
      <c r="H975" s="220"/>
      <c r="I975" s="220"/>
      <c r="J975" s="220"/>
      <c r="K975" s="220"/>
      <c r="L975" s="220"/>
      <c r="M975" s="220"/>
      <c r="N975" s="220"/>
      <c r="O975" s="220"/>
      <c r="P975" s="220"/>
      <c r="Q975" s="220"/>
      <c r="R975" s="220"/>
      <c r="S975" s="220"/>
      <c r="T975" s="220"/>
      <c r="U975" s="220"/>
      <c r="V975" s="220"/>
      <c r="W975" s="220"/>
      <c r="X975" s="220"/>
      <c r="Y975" s="220"/>
      <c r="Z975" s="220"/>
    </row>
    <row r="976" ht="15.75" customHeight="1">
      <c r="A976" s="220"/>
      <c r="B976" s="220"/>
      <c r="C976" s="220"/>
      <c r="D976" s="220"/>
      <c r="E976" s="220"/>
      <c r="F976" s="220"/>
      <c r="G976" s="220"/>
      <c r="H976" s="220"/>
      <c r="I976" s="220"/>
      <c r="J976" s="220"/>
      <c r="K976" s="220"/>
      <c r="L976" s="220"/>
      <c r="M976" s="220"/>
      <c r="N976" s="220"/>
      <c r="O976" s="220"/>
      <c r="P976" s="220"/>
      <c r="Q976" s="220"/>
      <c r="R976" s="220"/>
      <c r="S976" s="220"/>
      <c r="T976" s="220"/>
      <c r="U976" s="220"/>
      <c r="V976" s="220"/>
      <c r="W976" s="220"/>
      <c r="X976" s="220"/>
      <c r="Y976" s="220"/>
      <c r="Z976" s="220"/>
    </row>
    <row r="977" ht="15.75" customHeight="1">
      <c r="A977" s="220"/>
      <c r="B977" s="220"/>
      <c r="C977" s="220"/>
      <c r="D977" s="220"/>
      <c r="E977" s="220"/>
      <c r="F977" s="220"/>
      <c r="G977" s="220"/>
      <c r="H977" s="220"/>
      <c r="I977" s="220"/>
      <c r="J977" s="220"/>
      <c r="K977" s="220"/>
      <c r="L977" s="220"/>
      <c r="M977" s="220"/>
      <c r="N977" s="220"/>
      <c r="O977" s="220"/>
      <c r="P977" s="220"/>
      <c r="Q977" s="220"/>
      <c r="R977" s="220"/>
      <c r="S977" s="220"/>
      <c r="T977" s="220"/>
      <c r="U977" s="220"/>
      <c r="V977" s="220"/>
      <c r="W977" s="220"/>
      <c r="X977" s="220"/>
      <c r="Y977" s="220"/>
      <c r="Z977" s="220"/>
    </row>
    <row r="978" ht="15.75" customHeight="1">
      <c r="A978" s="220"/>
      <c r="B978" s="220"/>
      <c r="C978" s="220"/>
      <c r="D978" s="220"/>
      <c r="E978" s="220"/>
      <c r="F978" s="220"/>
      <c r="G978" s="220"/>
      <c r="H978" s="220"/>
      <c r="I978" s="220"/>
      <c r="J978" s="220"/>
      <c r="K978" s="220"/>
      <c r="L978" s="220"/>
      <c r="M978" s="220"/>
      <c r="N978" s="220"/>
      <c r="O978" s="220"/>
      <c r="P978" s="220"/>
      <c r="Q978" s="220"/>
      <c r="R978" s="220"/>
      <c r="S978" s="220"/>
      <c r="T978" s="220"/>
      <c r="U978" s="220"/>
      <c r="V978" s="220"/>
      <c r="W978" s="220"/>
      <c r="X978" s="220"/>
      <c r="Y978" s="220"/>
      <c r="Z978" s="220"/>
    </row>
    <row r="979" ht="15.75" customHeight="1">
      <c r="A979" s="220"/>
      <c r="B979" s="220"/>
      <c r="C979" s="220"/>
      <c r="D979" s="220"/>
      <c r="E979" s="220"/>
      <c r="F979" s="220"/>
      <c r="G979" s="220"/>
      <c r="H979" s="220"/>
      <c r="I979" s="220"/>
      <c r="J979" s="220"/>
      <c r="K979" s="220"/>
      <c r="L979" s="220"/>
      <c r="M979" s="220"/>
      <c r="N979" s="220"/>
      <c r="O979" s="220"/>
      <c r="P979" s="220"/>
      <c r="Q979" s="220"/>
      <c r="R979" s="220"/>
      <c r="S979" s="220"/>
      <c r="T979" s="220"/>
      <c r="U979" s="220"/>
      <c r="V979" s="220"/>
      <c r="W979" s="220"/>
      <c r="X979" s="220"/>
      <c r="Y979" s="220"/>
      <c r="Z979" s="220"/>
    </row>
    <row r="980" ht="15.75" customHeight="1">
      <c r="A980" s="220"/>
      <c r="B980" s="220"/>
      <c r="C980" s="220"/>
      <c r="D980" s="220"/>
      <c r="E980" s="220"/>
      <c r="F980" s="220"/>
      <c r="G980" s="220"/>
      <c r="H980" s="220"/>
      <c r="I980" s="220"/>
      <c r="J980" s="220"/>
      <c r="K980" s="220"/>
      <c r="L980" s="220"/>
      <c r="M980" s="220"/>
      <c r="N980" s="220"/>
      <c r="O980" s="220"/>
      <c r="P980" s="220"/>
      <c r="Q980" s="220"/>
      <c r="R980" s="220"/>
      <c r="S980" s="220"/>
      <c r="T980" s="220"/>
      <c r="U980" s="220"/>
      <c r="V980" s="220"/>
      <c r="W980" s="220"/>
      <c r="X980" s="220"/>
      <c r="Y980" s="220"/>
      <c r="Z980" s="220"/>
    </row>
    <row r="981" ht="15.75" customHeight="1">
      <c r="A981" s="220"/>
      <c r="B981" s="220"/>
      <c r="C981" s="220"/>
      <c r="D981" s="220"/>
      <c r="E981" s="220"/>
      <c r="F981" s="220"/>
      <c r="G981" s="220"/>
      <c r="H981" s="220"/>
      <c r="I981" s="220"/>
      <c r="J981" s="220"/>
      <c r="K981" s="220"/>
      <c r="L981" s="220"/>
      <c r="M981" s="220"/>
      <c r="N981" s="220"/>
      <c r="O981" s="220"/>
      <c r="P981" s="220"/>
      <c r="Q981" s="220"/>
      <c r="R981" s="220"/>
      <c r="S981" s="220"/>
      <c r="T981" s="220"/>
      <c r="U981" s="220"/>
      <c r="V981" s="220"/>
      <c r="W981" s="220"/>
      <c r="X981" s="220"/>
      <c r="Y981" s="220"/>
      <c r="Z981" s="220"/>
    </row>
    <row r="982" ht="15.75" customHeight="1">
      <c r="A982" s="220"/>
      <c r="B982" s="220"/>
      <c r="C982" s="220"/>
      <c r="D982" s="220"/>
      <c r="E982" s="220"/>
      <c r="F982" s="220"/>
      <c r="G982" s="220"/>
      <c r="H982" s="220"/>
      <c r="I982" s="220"/>
      <c r="J982" s="220"/>
      <c r="K982" s="220"/>
      <c r="L982" s="220"/>
      <c r="M982" s="220"/>
      <c r="N982" s="220"/>
      <c r="O982" s="220"/>
      <c r="P982" s="220"/>
      <c r="Q982" s="220"/>
      <c r="R982" s="220"/>
      <c r="S982" s="220"/>
      <c r="T982" s="220"/>
      <c r="U982" s="220"/>
      <c r="V982" s="220"/>
      <c r="W982" s="220"/>
      <c r="X982" s="220"/>
      <c r="Y982" s="220"/>
      <c r="Z982" s="220"/>
    </row>
    <row r="983" ht="15.75" customHeight="1">
      <c r="A983" s="220"/>
      <c r="B983" s="220"/>
      <c r="C983" s="220"/>
      <c r="D983" s="220"/>
      <c r="E983" s="220"/>
      <c r="F983" s="220"/>
      <c r="G983" s="220"/>
      <c r="H983" s="220"/>
      <c r="I983" s="220"/>
      <c r="J983" s="220"/>
      <c r="K983" s="220"/>
      <c r="L983" s="220"/>
      <c r="M983" s="220"/>
      <c r="N983" s="220"/>
      <c r="O983" s="220"/>
      <c r="P983" s="220"/>
      <c r="Q983" s="220"/>
      <c r="R983" s="220"/>
      <c r="S983" s="220"/>
      <c r="T983" s="220"/>
      <c r="U983" s="220"/>
      <c r="V983" s="220"/>
      <c r="W983" s="220"/>
      <c r="X983" s="220"/>
      <c r="Y983" s="220"/>
      <c r="Z983" s="220"/>
    </row>
    <row r="984" ht="15.75" customHeight="1">
      <c r="A984" s="220"/>
      <c r="B984" s="220"/>
      <c r="C984" s="220"/>
      <c r="D984" s="220"/>
      <c r="E984" s="220"/>
      <c r="F984" s="220"/>
      <c r="G984" s="220"/>
      <c r="H984" s="220"/>
      <c r="I984" s="220"/>
      <c r="J984" s="220"/>
      <c r="K984" s="220"/>
      <c r="L984" s="220"/>
      <c r="M984" s="220"/>
      <c r="N984" s="220"/>
      <c r="O984" s="220"/>
      <c r="P984" s="220"/>
      <c r="Q984" s="220"/>
      <c r="R984" s="220"/>
      <c r="S984" s="220"/>
      <c r="T984" s="220"/>
      <c r="U984" s="220"/>
      <c r="V984" s="220"/>
      <c r="W984" s="220"/>
      <c r="X984" s="220"/>
      <c r="Y984" s="220"/>
      <c r="Z984" s="220"/>
    </row>
    <row r="985" ht="15.75" customHeight="1">
      <c r="A985" s="220"/>
      <c r="B985" s="220"/>
      <c r="C985" s="220"/>
      <c r="D985" s="220"/>
      <c r="E985" s="220"/>
      <c r="F985" s="220"/>
      <c r="G985" s="220"/>
      <c r="H985" s="220"/>
      <c r="I985" s="220"/>
      <c r="J985" s="220"/>
      <c r="K985" s="220"/>
      <c r="L985" s="220"/>
      <c r="M985" s="220"/>
      <c r="N985" s="220"/>
      <c r="O985" s="220"/>
      <c r="P985" s="220"/>
      <c r="Q985" s="220"/>
      <c r="R985" s="220"/>
      <c r="S985" s="220"/>
      <c r="T985" s="220"/>
      <c r="U985" s="220"/>
      <c r="V985" s="220"/>
      <c r="W985" s="220"/>
      <c r="X985" s="220"/>
      <c r="Y985" s="220"/>
      <c r="Z985" s="220"/>
    </row>
    <row r="986" ht="15.75" customHeight="1">
      <c r="A986" s="220"/>
      <c r="B986" s="220"/>
      <c r="C986" s="220"/>
      <c r="D986" s="220"/>
      <c r="E986" s="220"/>
      <c r="F986" s="220"/>
      <c r="G986" s="220"/>
      <c r="H986" s="220"/>
      <c r="I986" s="220"/>
      <c r="J986" s="220"/>
      <c r="K986" s="220"/>
      <c r="L986" s="220"/>
      <c r="M986" s="220"/>
      <c r="N986" s="220"/>
      <c r="O986" s="220"/>
      <c r="P986" s="220"/>
      <c r="Q986" s="220"/>
      <c r="R986" s="220"/>
      <c r="S986" s="220"/>
      <c r="T986" s="220"/>
      <c r="U986" s="220"/>
      <c r="V986" s="220"/>
      <c r="W986" s="220"/>
      <c r="X986" s="220"/>
      <c r="Y986" s="220"/>
      <c r="Z986" s="220"/>
    </row>
    <row r="987" ht="15.75" customHeight="1">
      <c r="A987" s="220"/>
      <c r="B987" s="220"/>
      <c r="C987" s="220"/>
      <c r="D987" s="220"/>
      <c r="E987" s="220"/>
      <c r="F987" s="220"/>
      <c r="G987" s="220"/>
      <c r="H987" s="220"/>
      <c r="I987" s="220"/>
      <c r="J987" s="220"/>
      <c r="K987" s="220"/>
      <c r="L987" s="220"/>
      <c r="M987" s="220"/>
      <c r="N987" s="220"/>
      <c r="O987" s="220"/>
      <c r="P987" s="220"/>
      <c r="Q987" s="220"/>
      <c r="R987" s="220"/>
      <c r="S987" s="220"/>
      <c r="T987" s="220"/>
      <c r="U987" s="220"/>
      <c r="V987" s="220"/>
      <c r="W987" s="220"/>
      <c r="X987" s="220"/>
      <c r="Y987" s="220"/>
      <c r="Z987" s="220"/>
    </row>
    <row r="988" ht="15.75" customHeight="1">
      <c r="A988" s="220"/>
      <c r="B988" s="220"/>
      <c r="C988" s="220"/>
      <c r="D988" s="220"/>
      <c r="E988" s="220"/>
      <c r="F988" s="220"/>
      <c r="G988" s="220"/>
      <c r="H988" s="220"/>
      <c r="I988" s="220"/>
      <c r="J988" s="220"/>
      <c r="K988" s="220"/>
      <c r="L988" s="220"/>
      <c r="M988" s="220"/>
      <c r="N988" s="220"/>
      <c r="O988" s="220"/>
      <c r="P988" s="220"/>
      <c r="Q988" s="220"/>
      <c r="R988" s="220"/>
      <c r="S988" s="220"/>
      <c r="T988" s="220"/>
      <c r="U988" s="220"/>
      <c r="V988" s="220"/>
      <c r="W988" s="220"/>
      <c r="X988" s="220"/>
      <c r="Y988" s="220"/>
      <c r="Z988" s="220"/>
    </row>
    <row r="989" ht="15.75" customHeight="1">
      <c r="A989" s="220"/>
      <c r="B989" s="220"/>
      <c r="C989" s="220"/>
      <c r="D989" s="220"/>
      <c r="E989" s="220"/>
      <c r="F989" s="220"/>
      <c r="G989" s="220"/>
      <c r="H989" s="220"/>
      <c r="I989" s="220"/>
      <c r="J989" s="220"/>
      <c r="K989" s="220"/>
      <c r="L989" s="220"/>
      <c r="M989" s="220"/>
      <c r="N989" s="220"/>
      <c r="O989" s="220"/>
      <c r="P989" s="220"/>
      <c r="Q989" s="220"/>
      <c r="R989" s="220"/>
      <c r="S989" s="220"/>
      <c r="T989" s="220"/>
      <c r="U989" s="220"/>
      <c r="V989" s="220"/>
      <c r="W989" s="220"/>
      <c r="X989" s="220"/>
      <c r="Y989" s="220"/>
      <c r="Z989" s="220"/>
    </row>
    <row r="990" ht="15.75" customHeight="1">
      <c r="A990" s="220"/>
      <c r="B990" s="220"/>
      <c r="C990" s="220"/>
      <c r="D990" s="220"/>
      <c r="E990" s="220"/>
      <c r="F990" s="220"/>
      <c r="G990" s="220"/>
      <c r="H990" s="220"/>
      <c r="I990" s="220"/>
      <c r="J990" s="220"/>
      <c r="K990" s="220"/>
      <c r="L990" s="220"/>
      <c r="M990" s="220"/>
      <c r="N990" s="220"/>
      <c r="O990" s="220"/>
      <c r="P990" s="220"/>
      <c r="Q990" s="220"/>
      <c r="R990" s="220"/>
      <c r="S990" s="220"/>
      <c r="T990" s="220"/>
      <c r="U990" s="220"/>
      <c r="V990" s="220"/>
      <c r="W990" s="220"/>
      <c r="X990" s="220"/>
      <c r="Y990" s="220"/>
      <c r="Z990" s="220"/>
    </row>
    <row r="991" ht="15.75" customHeight="1">
      <c r="A991" s="220"/>
      <c r="B991" s="220"/>
      <c r="C991" s="220"/>
      <c r="D991" s="220"/>
      <c r="E991" s="220"/>
      <c r="F991" s="220"/>
      <c r="G991" s="220"/>
      <c r="H991" s="220"/>
      <c r="I991" s="220"/>
      <c r="J991" s="220"/>
      <c r="K991" s="220"/>
      <c r="L991" s="220"/>
      <c r="M991" s="220"/>
      <c r="N991" s="220"/>
      <c r="O991" s="220"/>
      <c r="P991" s="220"/>
      <c r="Q991" s="220"/>
      <c r="R991" s="220"/>
      <c r="S991" s="220"/>
      <c r="T991" s="220"/>
      <c r="U991" s="220"/>
      <c r="V991" s="220"/>
      <c r="W991" s="220"/>
      <c r="X991" s="220"/>
      <c r="Y991" s="220"/>
      <c r="Z991" s="220"/>
    </row>
    <row r="992" ht="15.75" customHeight="1">
      <c r="A992" s="220"/>
      <c r="B992" s="220"/>
      <c r="C992" s="220"/>
      <c r="D992" s="220"/>
      <c r="E992" s="220"/>
      <c r="F992" s="220"/>
      <c r="G992" s="220"/>
      <c r="H992" s="220"/>
      <c r="I992" s="220"/>
      <c r="J992" s="220"/>
      <c r="K992" s="220"/>
      <c r="L992" s="220"/>
      <c r="M992" s="220"/>
      <c r="N992" s="220"/>
      <c r="O992" s="220"/>
      <c r="P992" s="220"/>
      <c r="Q992" s="220"/>
      <c r="R992" s="220"/>
      <c r="S992" s="220"/>
      <c r="T992" s="220"/>
      <c r="U992" s="220"/>
      <c r="V992" s="220"/>
      <c r="W992" s="220"/>
      <c r="X992" s="220"/>
      <c r="Y992" s="220"/>
      <c r="Z992" s="220"/>
    </row>
    <row r="993" ht="15.75" customHeight="1">
      <c r="A993" s="220"/>
      <c r="B993" s="220"/>
      <c r="C993" s="220"/>
      <c r="D993" s="220"/>
      <c r="E993" s="220"/>
      <c r="F993" s="220"/>
      <c r="G993" s="220"/>
      <c r="H993" s="220"/>
      <c r="I993" s="220"/>
      <c r="J993" s="220"/>
      <c r="K993" s="220"/>
      <c r="L993" s="220"/>
      <c r="M993" s="220"/>
      <c r="N993" s="220"/>
      <c r="O993" s="220"/>
      <c r="P993" s="220"/>
      <c r="Q993" s="220"/>
      <c r="R993" s="220"/>
      <c r="S993" s="220"/>
      <c r="T993" s="220"/>
      <c r="U993" s="220"/>
      <c r="V993" s="220"/>
      <c r="W993" s="220"/>
      <c r="X993" s="220"/>
      <c r="Y993" s="220"/>
      <c r="Z993" s="220"/>
    </row>
    <row r="994" ht="15.75" customHeight="1">
      <c r="A994" s="220"/>
      <c r="B994" s="220"/>
      <c r="C994" s="220"/>
      <c r="D994" s="220"/>
      <c r="E994" s="220"/>
      <c r="F994" s="220"/>
      <c r="G994" s="220"/>
      <c r="H994" s="220"/>
      <c r="I994" s="220"/>
      <c r="J994" s="220"/>
      <c r="K994" s="220"/>
      <c r="L994" s="220"/>
      <c r="M994" s="220"/>
      <c r="N994" s="220"/>
      <c r="O994" s="220"/>
      <c r="P994" s="220"/>
      <c r="Q994" s="220"/>
      <c r="R994" s="220"/>
      <c r="S994" s="220"/>
      <c r="T994" s="220"/>
      <c r="U994" s="220"/>
      <c r="V994" s="220"/>
      <c r="W994" s="220"/>
      <c r="X994" s="220"/>
      <c r="Y994" s="220"/>
      <c r="Z994" s="220"/>
    </row>
    <row r="995" ht="15.75" customHeight="1">
      <c r="A995" s="220"/>
      <c r="B995" s="220"/>
      <c r="C995" s="220"/>
      <c r="D995" s="220"/>
      <c r="E995" s="220"/>
      <c r="F995" s="220"/>
      <c r="G995" s="220"/>
      <c r="H995" s="220"/>
      <c r="I995" s="220"/>
      <c r="J995" s="220"/>
      <c r="K995" s="220"/>
      <c r="L995" s="220"/>
      <c r="M995" s="220"/>
      <c r="N995" s="220"/>
      <c r="O995" s="220"/>
      <c r="P995" s="220"/>
      <c r="Q995" s="220"/>
      <c r="R995" s="220"/>
      <c r="S995" s="220"/>
      <c r="T995" s="220"/>
      <c r="U995" s="220"/>
      <c r="V995" s="220"/>
      <c r="W995" s="220"/>
      <c r="X995" s="220"/>
      <c r="Y995" s="220"/>
      <c r="Z995" s="220"/>
    </row>
    <row r="996" ht="15.75" customHeight="1">
      <c r="A996" s="220"/>
      <c r="B996" s="220"/>
      <c r="C996" s="220"/>
      <c r="D996" s="220"/>
      <c r="E996" s="220"/>
      <c r="F996" s="220"/>
      <c r="G996" s="220"/>
      <c r="H996" s="220"/>
      <c r="I996" s="220"/>
      <c r="J996" s="220"/>
      <c r="K996" s="220"/>
      <c r="L996" s="220"/>
      <c r="M996" s="220"/>
      <c r="N996" s="220"/>
      <c r="O996" s="220"/>
      <c r="P996" s="220"/>
      <c r="Q996" s="220"/>
      <c r="R996" s="220"/>
      <c r="S996" s="220"/>
      <c r="T996" s="220"/>
      <c r="U996" s="220"/>
      <c r="V996" s="220"/>
      <c r="W996" s="220"/>
      <c r="X996" s="220"/>
      <c r="Y996" s="220"/>
      <c r="Z996" s="220"/>
    </row>
    <row r="997" ht="15.75" customHeight="1">
      <c r="A997" s="220"/>
      <c r="B997" s="220"/>
      <c r="C997" s="220"/>
      <c r="D997" s="220"/>
      <c r="E997" s="220"/>
      <c r="F997" s="220"/>
      <c r="G997" s="220"/>
      <c r="H997" s="220"/>
      <c r="I997" s="220"/>
      <c r="J997" s="220"/>
      <c r="K997" s="220"/>
      <c r="L997" s="220"/>
      <c r="M997" s="220"/>
      <c r="N997" s="220"/>
      <c r="O997" s="220"/>
      <c r="P997" s="220"/>
      <c r="Q997" s="220"/>
      <c r="R997" s="220"/>
      <c r="S997" s="220"/>
      <c r="T997" s="220"/>
      <c r="U997" s="220"/>
      <c r="V997" s="220"/>
      <c r="W997" s="220"/>
      <c r="X997" s="220"/>
      <c r="Y997" s="220"/>
      <c r="Z997" s="220"/>
    </row>
    <row r="998" ht="15.75" customHeight="1">
      <c r="A998" s="220"/>
      <c r="B998" s="220"/>
      <c r="C998" s="220"/>
      <c r="D998" s="220"/>
      <c r="E998" s="220"/>
      <c r="F998" s="220"/>
      <c r="G998" s="220"/>
      <c r="H998" s="220"/>
      <c r="I998" s="220"/>
      <c r="J998" s="220"/>
      <c r="K998" s="220"/>
      <c r="L998" s="220"/>
      <c r="M998" s="220"/>
      <c r="N998" s="220"/>
      <c r="O998" s="220"/>
      <c r="P998" s="220"/>
      <c r="Q998" s="220"/>
      <c r="R998" s="220"/>
      <c r="S998" s="220"/>
      <c r="T998" s="220"/>
      <c r="U998" s="220"/>
      <c r="V998" s="220"/>
      <c r="W998" s="220"/>
      <c r="X998" s="220"/>
      <c r="Y998" s="220"/>
      <c r="Z998" s="220"/>
    </row>
    <row r="999" ht="15.75" customHeight="1">
      <c r="A999" s="220"/>
      <c r="B999" s="220"/>
      <c r="C999" s="220"/>
      <c r="D999" s="220"/>
      <c r="E999" s="220"/>
      <c r="F999" s="220"/>
      <c r="G999" s="220"/>
      <c r="H999" s="220"/>
      <c r="I999" s="220"/>
      <c r="J999" s="220"/>
      <c r="K999" s="220"/>
      <c r="L999" s="220"/>
      <c r="M999" s="220"/>
      <c r="N999" s="220"/>
      <c r="O999" s="220"/>
      <c r="P999" s="220"/>
      <c r="Q999" s="220"/>
      <c r="R999" s="220"/>
      <c r="S999" s="220"/>
      <c r="T999" s="220"/>
      <c r="U999" s="220"/>
      <c r="V999" s="220"/>
      <c r="W999" s="220"/>
      <c r="X999" s="220"/>
      <c r="Y999" s="220"/>
      <c r="Z999" s="220"/>
    </row>
    <row r="1000" ht="15.75" customHeight="1">
      <c r="A1000" s="220"/>
      <c r="B1000" s="220"/>
      <c r="C1000" s="220"/>
      <c r="D1000" s="220"/>
      <c r="E1000" s="220"/>
      <c r="F1000" s="220"/>
      <c r="G1000" s="220"/>
      <c r="H1000" s="220"/>
      <c r="I1000" s="220"/>
      <c r="J1000" s="220"/>
      <c r="K1000" s="220"/>
      <c r="L1000" s="220"/>
      <c r="M1000" s="220"/>
      <c r="N1000" s="220"/>
      <c r="O1000" s="220"/>
      <c r="P1000" s="220"/>
      <c r="Q1000" s="220"/>
      <c r="R1000" s="220"/>
      <c r="S1000" s="220"/>
      <c r="T1000" s="220"/>
      <c r="U1000" s="220"/>
      <c r="V1000" s="220"/>
      <c r="W1000" s="220"/>
      <c r="X1000" s="220"/>
      <c r="Y1000" s="220"/>
      <c r="Z1000" s="220"/>
    </row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7.0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488" t="s">
        <v>2004</v>
      </c>
      <c r="B1" s="488" t="s">
        <v>2005</v>
      </c>
      <c r="C1" s="488" t="s">
        <v>2006</v>
      </c>
      <c r="D1" s="488" t="s">
        <v>2007</v>
      </c>
      <c r="E1" s="488" t="s">
        <v>2008</v>
      </c>
      <c r="F1" s="488" t="s">
        <v>2009</v>
      </c>
      <c r="G1" s="488" t="s">
        <v>2010</v>
      </c>
      <c r="H1" s="488" t="s">
        <v>2011</v>
      </c>
      <c r="I1" s="488" t="s">
        <v>2012</v>
      </c>
      <c r="J1" s="488" t="s">
        <v>2013</v>
      </c>
      <c r="K1" s="488" t="s">
        <v>2014</v>
      </c>
      <c r="L1" s="488" t="s">
        <v>2015</v>
      </c>
      <c r="M1" s="488" t="s">
        <v>2016</v>
      </c>
      <c r="N1" s="489" t="s">
        <v>2017</v>
      </c>
      <c r="O1" s="490"/>
      <c r="P1" s="490"/>
      <c r="Q1" s="490"/>
      <c r="R1" s="490"/>
      <c r="S1" s="490"/>
      <c r="T1" s="490"/>
      <c r="U1" s="490"/>
      <c r="V1" s="490"/>
      <c r="W1" s="490"/>
      <c r="X1" s="490"/>
      <c r="Y1" s="490"/>
      <c r="Z1" s="490"/>
    </row>
    <row r="2">
      <c r="A2" s="491" t="s">
        <v>1884</v>
      </c>
      <c r="B2" s="491" t="s">
        <v>163</v>
      </c>
      <c r="C2" s="491" t="s">
        <v>71</v>
      </c>
      <c r="D2" s="491" t="s">
        <v>565</v>
      </c>
      <c r="E2" s="492" t="s">
        <v>370</v>
      </c>
      <c r="F2" s="493">
        <v>52272.0</v>
      </c>
      <c r="G2" s="493">
        <v>36968.0</v>
      </c>
      <c r="H2" s="493">
        <v>70.72</v>
      </c>
      <c r="I2" s="493">
        <v>65.27</v>
      </c>
      <c r="J2" s="493">
        <v>64.71</v>
      </c>
      <c r="K2" s="493">
        <v>56253.0</v>
      </c>
      <c r="L2" s="493">
        <v>86179.0</v>
      </c>
      <c r="M2" s="493">
        <v>1.0762</v>
      </c>
      <c r="N2" s="6">
        <v>1.5217</v>
      </c>
    </row>
    <row r="3">
      <c r="A3" s="491" t="s">
        <v>1884</v>
      </c>
      <c r="B3" s="491" t="s">
        <v>163</v>
      </c>
      <c r="C3" s="491" t="s">
        <v>71</v>
      </c>
      <c r="D3" s="491" t="s">
        <v>565</v>
      </c>
      <c r="E3" s="492" t="s">
        <v>42</v>
      </c>
      <c r="F3" s="493">
        <v>52272.0</v>
      </c>
      <c r="G3" s="493">
        <v>12069.0</v>
      </c>
      <c r="H3" s="493">
        <v>23.09</v>
      </c>
      <c r="I3" s="493">
        <v>17.81</v>
      </c>
      <c r="J3" s="493">
        <v>17.94</v>
      </c>
      <c r="K3" s="493">
        <v>15347.0</v>
      </c>
      <c r="L3" s="493">
        <v>86179.0</v>
      </c>
      <c r="M3" s="493">
        <v>0.2936</v>
      </c>
      <c r="N3" s="6">
        <v>1.2716</v>
      </c>
    </row>
    <row r="4">
      <c r="A4" s="491" t="s">
        <v>1884</v>
      </c>
      <c r="B4" s="491" t="s">
        <v>163</v>
      </c>
      <c r="C4" s="491" t="s">
        <v>71</v>
      </c>
      <c r="D4" s="491" t="s">
        <v>565</v>
      </c>
      <c r="E4" s="492" t="s">
        <v>49</v>
      </c>
      <c r="F4" s="493">
        <v>52272.0</v>
      </c>
      <c r="G4" s="493">
        <v>4522.0</v>
      </c>
      <c r="H4" s="493">
        <v>8.65</v>
      </c>
      <c r="I4" s="493">
        <v>5.77</v>
      </c>
      <c r="J4" s="493">
        <v>6.05</v>
      </c>
      <c r="K4" s="493">
        <v>4976.0</v>
      </c>
      <c r="L4" s="493">
        <v>86179.0</v>
      </c>
      <c r="M4" s="493">
        <v>0.0952</v>
      </c>
      <c r="N4" s="6">
        <v>1.1004</v>
      </c>
    </row>
    <row r="5">
      <c r="A5" s="491" t="s">
        <v>1884</v>
      </c>
      <c r="B5" s="491" t="s">
        <v>163</v>
      </c>
      <c r="C5" s="491" t="s">
        <v>71</v>
      </c>
      <c r="D5" s="491" t="s">
        <v>565</v>
      </c>
      <c r="E5" s="492" t="s">
        <v>372</v>
      </c>
      <c r="F5" s="493">
        <v>52272.0</v>
      </c>
      <c r="G5" s="493">
        <v>3159.0</v>
      </c>
      <c r="H5" s="493">
        <v>6.04</v>
      </c>
      <c r="I5" s="493">
        <v>5.09</v>
      </c>
      <c r="J5" s="493">
        <v>4.55</v>
      </c>
      <c r="K5" s="493">
        <v>4383.0</v>
      </c>
      <c r="L5" s="493">
        <v>86179.0</v>
      </c>
      <c r="M5" s="493">
        <v>0.0838</v>
      </c>
      <c r="N5" s="6">
        <v>1.3875</v>
      </c>
    </row>
    <row r="6">
      <c r="A6" s="491" t="s">
        <v>1884</v>
      </c>
      <c r="B6" s="491" t="s">
        <v>163</v>
      </c>
      <c r="C6" s="491" t="s">
        <v>71</v>
      </c>
      <c r="D6" s="491" t="s">
        <v>565</v>
      </c>
      <c r="E6" s="492" t="s">
        <v>44</v>
      </c>
      <c r="F6" s="493">
        <v>52272.0</v>
      </c>
      <c r="G6" s="493">
        <v>2351.0</v>
      </c>
      <c r="H6" s="493">
        <v>4.5</v>
      </c>
      <c r="I6" s="493">
        <v>2.92</v>
      </c>
      <c r="J6" s="493">
        <v>3.14</v>
      </c>
      <c r="K6" s="493">
        <v>2520.0</v>
      </c>
      <c r="L6" s="493">
        <v>86179.0</v>
      </c>
      <c r="M6" s="493">
        <v>0.0482</v>
      </c>
      <c r="N6" s="6">
        <v>1.0719</v>
      </c>
    </row>
    <row r="7">
      <c r="A7" s="491" t="s">
        <v>1884</v>
      </c>
      <c r="B7" s="491" t="s">
        <v>163</v>
      </c>
      <c r="C7" s="491" t="s">
        <v>71</v>
      </c>
      <c r="D7" s="491" t="s">
        <v>565</v>
      </c>
      <c r="E7" s="492" t="s">
        <v>50</v>
      </c>
      <c r="F7" s="493">
        <v>52272.0</v>
      </c>
      <c r="G7" s="493">
        <v>1133.0</v>
      </c>
      <c r="H7" s="493">
        <v>2.17</v>
      </c>
      <c r="I7" s="493">
        <v>1.36</v>
      </c>
      <c r="J7" s="493">
        <v>1.75</v>
      </c>
      <c r="K7" s="493">
        <v>1172.0</v>
      </c>
      <c r="L7" s="493">
        <v>86179.0</v>
      </c>
      <c r="M7" s="493">
        <v>0.0224</v>
      </c>
      <c r="N7" s="6">
        <v>1.0344</v>
      </c>
    </row>
    <row r="8">
      <c r="A8" s="491" t="s">
        <v>1884</v>
      </c>
      <c r="B8" s="491" t="s">
        <v>163</v>
      </c>
      <c r="C8" s="491" t="s">
        <v>71</v>
      </c>
      <c r="D8" s="491" t="s">
        <v>565</v>
      </c>
      <c r="E8" s="492" t="s">
        <v>371</v>
      </c>
      <c r="F8" s="493">
        <v>52272.0</v>
      </c>
      <c r="G8" s="493">
        <v>636.0</v>
      </c>
      <c r="H8" s="493">
        <v>1.22</v>
      </c>
      <c r="I8" s="493">
        <v>0.77</v>
      </c>
      <c r="J8" s="493">
        <v>0.89</v>
      </c>
      <c r="K8" s="493">
        <v>666.0</v>
      </c>
      <c r="L8" s="493">
        <v>86179.0</v>
      </c>
      <c r="M8" s="493">
        <v>0.0127</v>
      </c>
      <c r="N8" s="6">
        <v>1.0472</v>
      </c>
    </row>
    <row r="9">
      <c r="A9" s="491" t="s">
        <v>1884</v>
      </c>
      <c r="B9" s="491" t="s">
        <v>163</v>
      </c>
      <c r="C9" s="491" t="s">
        <v>71</v>
      </c>
      <c r="D9" s="491" t="s">
        <v>565</v>
      </c>
      <c r="E9" s="492" t="s">
        <v>43</v>
      </c>
      <c r="F9" s="493">
        <v>52272.0</v>
      </c>
      <c r="G9" s="493">
        <v>434.0</v>
      </c>
      <c r="H9" s="493">
        <v>0.83</v>
      </c>
      <c r="I9" s="493">
        <v>0.52</v>
      </c>
      <c r="J9" s="493">
        <v>0.53</v>
      </c>
      <c r="K9" s="493">
        <v>449.0</v>
      </c>
      <c r="L9" s="493">
        <v>86179.0</v>
      </c>
      <c r="M9" s="493">
        <v>0.0086</v>
      </c>
      <c r="N9" s="6">
        <v>1.0346</v>
      </c>
    </row>
    <row r="10">
      <c r="A10" s="491" t="s">
        <v>1884</v>
      </c>
      <c r="B10" s="491" t="s">
        <v>163</v>
      </c>
      <c r="C10" s="491" t="s">
        <v>71</v>
      </c>
      <c r="D10" s="491" t="s">
        <v>565</v>
      </c>
      <c r="E10" s="492" t="s">
        <v>366</v>
      </c>
      <c r="F10" s="493">
        <v>52272.0</v>
      </c>
      <c r="G10" s="493">
        <v>161.0</v>
      </c>
      <c r="H10" s="493">
        <v>0.31</v>
      </c>
      <c r="I10" s="493">
        <v>0.22</v>
      </c>
      <c r="J10" s="493">
        <v>0.24</v>
      </c>
      <c r="K10" s="493">
        <v>192.0</v>
      </c>
      <c r="L10" s="493">
        <v>86179.0</v>
      </c>
      <c r="M10" s="493">
        <v>0.0037</v>
      </c>
      <c r="N10" s="6">
        <v>1.1925</v>
      </c>
    </row>
    <row r="11">
      <c r="A11" s="491" t="s">
        <v>1884</v>
      </c>
      <c r="B11" s="491" t="s">
        <v>163</v>
      </c>
      <c r="C11" s="491" t="s">
        <v>71</v>
      </c>
      <c r="D11" s="491" t="s">
        <v>565</v>
      </c>
      <c r="E11" s="492" t="s">
        <v>134</v>
      </c>
      <c r="F11" s="493">
        <v>52272.0</v>
      </c>
      <c r="G11" s="493">
        <v>125.0</v>
      </c>
      <c r="H11" s="493">
        <v>0.24</v>
      </c>
      <c r="I11" s="493">
        <v>0.16</v>
      </c>
      <c r="J11" s="493">
        <v>0.13</v>
      </c>
      <c r="K11" s="493">
        <v>138.0</v>
      </c>
      <c r="L11" s="493">
        <v>86179.0</v>
      </c>
      <c r="M11" s="493">
        <v>0.0026</v>
      </c>
      <c r="N11" s="6">
        <v>1.104</v>
      </c>
    </row>
    <row r="12">
      <c r="A12" s="491" t="s">
        <v>1884</v>
      </c>
      <c r="B12" s="491" t="s">
        <v>163</v>
      </c>
      <c r="C12" s="491" t="s">
        <v>71</v>
      </c>
      <c r="D12" s="491" t="s">
        <v>565</v>
      </c>
      <c r="E12" s="492" t="s">
        <v>369</v>
      </c>
      <c r="F12" s="493">
        <v>52272.0</v>
      </c>
      <c r="G12" s="493">
        <v>21.0</v>
      </c>
      <c r="H12" s="493">
        <v>0.04</v>
      </c>
      <c r="I12" s="493">
        <v>0.03</v>
      </c>
      <c r="J12" s="493">
        <v>0.02</v>
      </c>
      <c r="K12" s="493">
        <v>23.0</v>
      </c>
      <c r="L12" s="493">
        <v>86179.0</v>
      </c>
      <c r="M12" s="493">
        <v>4.0E-4</v>
      </c>
      <c r="N12" s="6">
        <v>1.0952</v>
      </c>
    </row>
    <row r="13">
      <c r="A13" s="491" t="s">
        <v>1884</v>
      </c>
      <c r="B13" s="491" t="s">
        <v>163</v>
      </c>
      <c r="C13" s="491" t="s">
        <v>71</v>
      </c>
      <c r="D13" s="491" t="s">
        <v>565</v>
      </c>
      <c r="E13" s="492" t="s">
        <v>373</v>
      </c>
      <c r="F13" s="493">
        <v>52272.0</v>
      </c>
      <c r="G13" s="493">
        <v>6.0</v>
      </c>
      <c r="H13" s="493">
        <v>0.01</v>
      </c>
      <c r="I13" s="493">
        <v>0.03</v>
      </c>
      <c r="J13" s="493">
        <v>0.01</v>
      </c>
      <c r="K13" s="493">
        <v>22.0</v>
      </c>
      <c r="L13" s="493">
        <v>86179.0</v>
      </c>
      <c r="M13" s="493">
        <v>4.0E-4</v>
      </c>
      <c r="N13" s="6">
        <v>3.6667</v>
      </c>
    </row>
    <row r="14">
      <c r="A14" s="491" t="s">
        <v>1884</v>
      </c>
      <c r="B14" s="491" t="s">
        <v>163</v>
      </c>
      <c r="C14" s="491" t="s">
        <v>71</v>
      </c>
      <c r="D14" s="491" t="s">
        <v>565</v>
      </c>
      <c r="E14" s="492" t="s">
        <v>35</v>
      </c>
      <c r="F14" s="493">
        <v>52272.0</v>
      </c>
      <c r="G14" s="493">
        <v>17.0</v>
      </c>
      <c r="H14" s="493">
        <v>0.03</v>
      </c>
      <c r="I14" s="493">
        <v>0.02</v>
      </c>
      <c r="J14" s="493">
        <v>0.02</v>
      </c>
      <c r="K14" s="493">
        <v>17.0</v>
      </c>
      <c r="L14" s="493">
        <v>86179.0</v>
      </c>
      <c r="M14" s="493">
        <v>3.0E-4</v>
      </c>
      <c r="N14" s="6">
        <v>1.0</v>
      </c>
    </row>
    <row r="15">
      <c r="A15" s="491" t="s">
        <v>1884</v>
      </c>
      <c r="B15" s="491" t="s">
        <v>163</v>
      </c>
      <c r="C15" s="491" t="s">
        <v>71</v>
      </c>
      <c r="D15" s="491" t="s">
        <v>565</v>
      </c>
      <c r="E15" s="492" t="s">
        <v>189</v>
      </c>
      <c r="F15" s="493">
        <v>52272.0</v>
      </c>
      <c r="G15" s="493">
        <v>10.0</v>
      </c>
      <c r="H15" s="493">
        <v>0.02</v>
      </c>
      <c r="I15" s="493">
        <v>0.01</v>
      </c>
      <c r="J15" s="493">
        <v>0.01</v>
      </c>
      <c r="K15" s="493">
        <v>10.0</v>
      </c>
      <c r="L15" s="493">
        <v>86179.0</v>
      </c>
      <c r="M15" s="493">
        <v>2.0E-4</v>
      </c>
      <c r="N15" s="6">
        <v>1.0</v>
      </c>
    </row>
    <row r="16">
      <c r="A16" s="491" t="s">
        <v>1884</v>
      </c>
      <c r="B16" s="491" t="s">
        <v>163</v>
      </c>
      <c r="C16" s="491" t="s">
        <v>71</v>
      </c>
      <c r="D16" s="491" t="s">
        <v>565</v>
      </c>
      <c r="E16" s="492" t="s">
        <v>312</v>
      </c>
      <c r="F16" s="493">
        <v>52272.0</v>
      </c>
      <c r="G16" s="493">
        <v>4.0</v>
      </c>
      <c r="H16" s="493">
        <v>0.01</v>
      </c>
      <c r="I16" s="493">
        <v>0.01</v>
      </c>
      <c r="J16" s="493">
        <v>0.01</v>
      </c>
      <c r="K16" s="493">
        <v>5.0</v>
      </c>
      <c r="L16" s="493">
        <v>86179.0</v>
      </c>
      <c r="M16" s="493">
        <v>1.0E-4</v>
      </c>
      <c r="N16" s="6">
        <v>1.25</v>
      </c>
    </row>
    <row r="17">
      <c r="A17" s="491" t="s">
        <v>1884</v>
      </c>
      <c r="B17" s="491" t="s">
        <v>163</v>
      </c>
      <c r="C17" s="491" t="s">
        <v>71</v>
      </c>
      <c r="D17" s="491" t="s">
        <v>565</v>
      </c>
      <c r="E17" s="492" t="s">
        <v>368</v>
      </c>
      <c r="F17" s="493">
        <v>52272.0</v>
      </c>
      <c r="G17" s="493">
        <v>2.0</v>
      </c>
      <c r="H17" s="493">
        <v>0.0</v>
      </c>
      <c r="I17" s="493">
        <v>0.0</v>
      </c>
      <c r="J17" s="493">
        <v>0.0</v>
      </c>
      <c r="K17" s="493">
        <v>4.0</v>
      </c>
      <c r="L17" s="493">
        <v>86179.0</v>
      </c>
      <c r="M17" s="493">
        <v>1.0E-4</v>
      </c>
      <c r="N17" s="6">
        <v>2.0</v>
      </c>
    </row>
    <row r="18">
      <c r="A18" s="491" t="s">
        <v>1884</v>
      </c>
      <c r="B18" s="491" t="s">
        <v>163</v>
      </c>
      <c r="C18" s="491" t="s">
        <v>71</v>
      </c>
      <c r="D18" s="491" t="s">
        <v>565</v>
      </c>
      <c r="E18" s="492" t="s">
        <v>32</v>
      </c>
      <c r="F18" s="493">
        <v>52272.0</v>
      </c>
      <c r="G18" s="493">
        <v>1.0</v>
      </c>
      <c r="H18" s="493">
        <v>0.0</v>
      </c>
      <c r="I18" s="493">
        <v>0.0</v>
      </c>
      <c r="J18" s="493">
        <v>0.0</v>
      </c>
      <c r="K18" s="493">
        <v>2.0</v>
      </c>
      <c r="L18" s="493">
        <v>86179.0</v>
      </c>
      <c r="M18" s="493">
        <v>0.0</v>
      </c>
      <c r="N18" s="6">
        <v>2.0</v>
      </c>
    </row>
    <row r="19">
      <c r="A19" s="491" t="s">
        <v>1884</v>
      </c>
      <c r="B19" s="491" t="s">
        <v>163</v>
      </c>
      <c r="C19" s="491" t="s">
        <v>70</v>
      </c>
      <c r="D19" s="491" t="s">
        <v>565</v>
      </c>
      <c r="E19" s="492" t="s">
        <v>370</v>
      </c>
      <c r="F19" s="493">
        <v>72885.0</v>
      </c>
      <c r="G19" s="493">
        <v>37222.0</v>
      </c>
      <c r="H19" s="493">
        <v>51.07</v>
      </c>
      <c r="I19" s="493">
        <v>39.41</v>
      </c>
      <c r="J19" s="493">
        <v>39.59</v>
      </c>
      <c r="K19" s="493">
        <v>55939.0</v>
      </c>
      <c r="L19" s="493">
        <v>141939.0</v>
      </c>
      <c r="M19" s="493">
        <v>0.7675</v>
      </c>
      <c r="N19" s="6">
        <v>1.5028</v>
      </c>
    </row>
    <row r="20">
      <c r="A20" s="491" t="s">
        <v>1884</v>
      </c>
      <c r="B20" s="491" t="s">
        <v>163</v>
      </c>
      <c r="C20" s="491" t="s">
        <v>70</v>
      </c>
      <c r="D20" s="491" t="s">
        <v>565</v>
      </c>
      <c r="E20" s="492" t="s">
        <v>372</v>
      </c>
      <c r="F20" s="493">
        <v>72885.0</v>
      </c>
      <c r="G20" s="493">
        <v>25243.0</v>
      </c>
      <c r="H20" s="493">
        <v>34.63</v>
      </c>
      <c r="I20" s="493">
        <v>28.93</v>
      </c>
      <c r="J20" s="493">
        <v>24.82</v>
      </c>
      <c r="K20" s="493">
        <v>41067.0</v>
      </c>
      <c r="L20" s="493">
        <v>141939.0</v>
      </c>
      <c r="M20" s="493">
        <v>0.5634</v>
      </c>
      <c r="N20" s="6">
        <v>1.6269</v>
      </c>
    </row>
    <row r="21">
      <c r="A21" s="491" t="s">
        <v>1884</v>
      </c>
      <c r="B21" s="491" t="s">
        <v>163</v>
      </c>
      <c r="C21" s="491" t="s">
        <v>70</v>
      </c>
      <c r="D21" s="491" t="s">
        <v>565</v>
      </c>
      <c r="E21" s="492" t="s">
        <v>369</v>
      </c>
      <c r="F21" s="493">
        <v>72885.0</v>
      </c>
      <c r="G21" s="493">
        <v>12913.0</v>
      </c>
      <c r="H21" s="493">
        <v>17.72</v>
      </c>
      <c r="I21" s="493">
        <v>11.82</v>
      </c>
      <c r="J21" s="493">
        <v>12.72</v>
      </c>
      <c r="K21" s="493">
        <v>16773.0</v>
      </c>
      <c r="L21" s="493">
        <v>141939.0</v>
      </c>
      <c r="M21" s="493">
        <v>0.2301</v>
      </c>
      <c r="N21" s="6">
        <v>1.2989</v>
      </c>
    </row>
    <row r="22">
      <c r="A22" s="491" t="s">
        <v>1884</v>
      </c>
      <c r="B22" s="491" t="s">
        <v>163</v>
      </c>
      <c r="C22" s="491" t="s">
        <v>70</v>
      </c>
      <c r="D22" s="491" t="s">
        <v>565</v>
      </c>
      <c r="E22" s="492" t="s">
        <v>42</v>
      </c>
      <c r="F22" s="493">
        <v>72885.0</v>
      </c>
      <c r="G22" s="493">
        <v>5844.0</v>
      </c>
      <c r="H22" s="493">
        <v>8.02</v>
      </c>
      <c r="I22" s="493">
        <v>4.8</v>
      </c>
      <c r="J22" s="493">
        <v>5.25</v>
      </c>
      <c r="K22" s="493">
        <v>6812.0</v>
      </c>
      <c r="L22" s="493">
        <v>141939.0</v>
      </c>
      <c r="M22" s="493">
        <v>0.0935</v>
      </c>
      <c r="N22" s="6">
        <v>1.1656</v>
      </c>
    </row>
    <row r="23">
      <c r="A23" s="491" t="s">
        <v>1884</v>
      </c>
      <c r="B23" s="491" t="s">
        <v>163</v>
      </c>
      <c r="C23" s="491" t="s">
        <v>70</v>
      </c>
      <c r="D23" s="491" t="s">
        <v>565</v>
      </c>
      <c r="E23" s="492" t="s">
        <v>44</v>
      </c>
      <c r="F23" s="493">
        <v>72885.0</v>
      </c>
      <c r="G23" s="493">
        <v>5800.0</v>
      </c>
      <c r="H23" s="493">
        <v>7.96</v>
      </c>
      <c r="I23" s="493">
        <v>4.46</v>
      </c>
      <c r="J23" s="493">
        <v>5.51</v>
      </c>
      <c r="K23" s="493">
        <v>6336.0</v>
      </c>
      <c r="L23" s="493">
        <v>141939.0</v>
      </c>
      <c r="M23" s="493">
        <v>0.0869</v>
      </c>
      <c r="N23" s="6">
        <v>1.0924</v>
      </c>
    </row>
    <row r="24">
      <c r="A24" s="491" t="s">
        <v>1884</v>
      </c>
      <c r="B24" s="491" t="s">
        <v>163</v>
      </c>
      <c r="C24" s="491" t="s">
        <v>70</v>
      </c>
      <c r="D24" s="491" t="s">
        <v>565</v>
      </c>
      <c r="E24" s="492" t="s">
        <v>49</v>
      </c>
      <c r="F24" s="493">
        <v>72885.0</v>
      </c>
      <c r="G24" s="493">
        <v>4522.0</v>
      </c>
      <c r="H24" s="493">
        <v>6.2</v>
      </c>
      <c r="I24" s="493">
        <v>3.51</v>
      </c>
      <c r="J24" s="493">
        <v>3.92</v>
      </c>
      <c r="K24" s="493">
        <v>4976.0</v>
      </c>
      <c r="L24" s="493">
        <v>141939.0</v>
      </c>
      <c r="M24" s="493">
        <v>0.0683</v>
      </c>
      <c r="N24" s="6">
        <v>1.1004</v>
      </c>
    </row>
    <row r="25">
      <c r="A25" s="491" t="s">
        <v>1884</v>
      </c>
      <c r="B25" s="491" t="s">
        <v>163</v>
      </c>
      <c r="C25" s="491" t="s">
        <v>70</v>
      </c>
      <c r="D25" s="491" t="s">
        <v>565</v>
      </c>
      <c r="E25" s="492" t="s">
        <v>189</v>
      </c>
      <c r="F25" s="493">
        <v>72885.0</v>
      </c>
      <c r="G25" s="493">
        <v>4546.0</v>
      </c>
      <c r="H25" s="493">
        <v>6.24</v>
      </c>
      <c r="I25" s="493">
        <v>3.32</v>
      </c>
      <c r="J25" s="493">
        <v>4.1</v>
      </c>
      <c r="K25" s="493">
        <v>4718.0</v>
      </c>
      <c r="L25" s="493">
        <v>141939.0</v>
      </c>
      <c r="M25" s="493">
        <v>0.0647</v>
      </c>
      <c r="N25" s="6">
        <v>1.0378</v>
      </c>
    </row>
    <row r="26">
      <c r="A26" s="491" t="s">
        <v>1884</v>
      </c>
      <c r="B26" s="491" t="s">
        <v>163</v>
      </c>
      <c r="C26" s="491" t="s">
        <v>70</v>
      </c>
      <c r="D26" s="491" t="s">
        <v>565</v>
      </c>
      <c r="E26" s="492" t="s">
        <v>35</v>
      </c>
      <c r="F26" s="493">
        <v>72885.0</v>
      </c>
      <c r="G26" s="493">
        <v>1778.0</v>
      </c>
      <c r="H26" s="493">
        <v>2.44</v>
      </c>
      <c r="I26" s="493">
        <v>1.32</v>
      </c>
      <c r="J26" s="493">
        <v>1.42</v>
      </c>
      <c r="K26" s="493">
        <v>1879.0</v>
      </c>
      <c r="L26" s="493">
        <v>141939.0</v>
      </c>
      <c r="M26" s="493">
        <v>0.0258</v>
      </c>
      <c r="N26" s="6">
        <v>1.0568</v>
      </c>
    </row>
    <row r="27">
      <c r="A27" s="491" t="s">
        <v>1884</v>
      </c>
      <c r="B27" s="491" t="s">
        <v>163</v>
      </c>
      <c r="C27" s="491" t="s">
        <v>70</v>
      </c>
      <c r="D27" s="491" t="s">
        <v>565</v>
      </c>
      <c r="E27" s="492" t="s">
        <v>371</v>
      </c>
      <c r="F27" s="493">
        <v>72885.0</v>
      </c>
      <c r="G27" s="493">
        <v>1375.0</v>
      </c>
      <c r="H27" s="493">
        <v>1.89</v>
      </c>
      <c r="I27" s="493">
        <v>1.17</v>
      </c>
      <c r="J27" s="493">
        <v>1.24</v>
      </c>
      <c r="K27" s="493">
        <v>1667.0</v>
      </c>
      <c r="L27" s="493">
        <v>141939.0</v>
      </c>
      <c r="M27" s="493">
        <v>0.0229</v>
      </c>
      <c r="N27" s="6">
        <v>1.2124</v>
      </c>
    </row>
    <row r="28">
      <c r="A28" s="491" t="s">
        <v>1884</v>
      </c>
      <c r="B28" s="491" t="s">
        <v>163</v>
      </c>
      <c r="C28" s="491" t="s">
        <v>70</v>
      </c>
      <c r="D28" s="491" t="s">
        <v>565</v>
      </c>
      <c r="E28" s="492" t="s">
        <v>50</v>
      </c>
      <c r="F28" s="493">
        <v>72885.0</v>
      </c>
      <c r="G28" s="493">
        <v>618.0</v>
      </c>
      <c r="H28" s="493">
        <v>0.85</v>
      </c>
      <c r="I28" s="493">
        <v>0.45</v>
      </c>
      <c r="J28" s="493">
        <v>0.59</v>
      </c>
      <c r="K28" s="493">
        <v>635.0</v>
      </c>
      <c r="L28" s="493">
        <v>141939.0</v>
      </c>
      <c r="M28" s="493">
        <v>0.0087</v>
      </c>
      <c r="N28" s="6">
        <v>1.0275</v>
      </c>
    </row>
    <row r="29">
      <c r="A29" s="491" t="s">
        <v>1884</v>
      </c>
      <c r="B29" s="491" t="s">
        <v>163</v>
      </c>
      <c r="C29" s="491" t="s">
        <v>70</v>
      </c>
      <c r="D29" s="491" t="s">
        <v>565</v>
      </c>
      <c r="E29" s="492" t="s">
        <v>43</v>
      </c>
      <c r="F29" s="493">
        <v>72885.0</v>
      </c>
      <c r="G29" s="493">
        <v>485.0</v>
      </c>
      <c r="H29" s="493">
        <v>0.67</v>
      </c>
      <c r="I29" s="493">
        <v>0.35</v>
      </c>
      <c r="J29" s="493">
        <v>0.4</v>
      </c>
      <c r="K29" s="493">
        <v>495.0</v>
      </c>
      <c r="L29" s="493">
        <v>141939.0</v>
      </c>
      <c r="M29" s="493">
        <v>0.0068</v>
      </c>
      <c r="N29" s="6">
        <v>1.0206</v>
      </c>
    </row>
    <row r="30">
      <c r="A30" s="491" t="s">
        <v>1884</v>
      </c>
      <c r="B30" s="491" t="s">
        <v>163</v>
      </c>
      <c r="C30" s="491" t="s">
        <v>70</v>
      </c>
      <c r="D30" s="491" t="s">
        <v>565</v>
      </c>
      <c r="E30" s="492" t="s">
        <v>366</v>
      </c>
      <c r="F30" s="493">
        <v>72885.0</v>
      </c>
      <c r="G30" s="493">
        <v>212.0</v>
      </c>
      <c r="H30" s="493">
        <v>0.29</v>
      </c>
      <c r="I30" s="493">
        <v>0.2</v>
      </c>
      <c r="J30" s="493">
        <v>0.19</v>
      </c>
      <c r="K30" s="493">
        <v>278.0</v>
      </c>
      <c r="L30" s="493">
        <v>141939.0</v>
      </c>
      <c r="M30" s="493">
        <v>0.0038</v>
      </c>
      <c r="N30" s="6">
        <v>1.3113</v>
      </c>
    </row>
    <row r="31">
      <c r="A31" s="491" t="s">
        <v>1884</v>
      </c>
      <c r="B31" s="491" t="s">
        <v>163</v>
      </c>
      <c r="C31" s="491" t="s">
        <v>70</v>
      </c>
      <c r="D31" s="491" t="s">
        <v>565</v>
      </c>
      <c r="E31" s="492" t="s">
        <v>368</v>
      </c>
      <c r="F31" s="493">
        <v>72885.0</v>
      </c>
      <c r="G31" s="493">
        <v>233.0</v>
      </c>
      <c r="H31" s="493">
        <v>0.32</v>
      </c>
      <c r="I31" s="493">
        <v>0.19</v>
      </c>
      <c r="J31" s="493">
        <v>0.17</v>
      </c>
      <c r="K31" s="493">
        <v>263.0</v>
      </c>
      <c r="L31" s="493">
        <v>141939.0</v>
      </c>
      <c r="M31" s="493">
        <v>0.0036</v>
      </c>
      <c r="N31" s="6">
        <v>1.1288</v>
      </c>
    </row>
    <row r="32">
      <c r="A32" s="491" t="s">
        <v>1884</v>
      </c>
      <c r="B32" s="491" t="s">
        <v>163</v>
      </c>
      <c r="C32" s="491" t="s">
        <v>70</v>
      </c>
      <c r="D32" s="491" t="s">
        <v>565</v>
      </c>
      <c r="E32" s="492" t="s">
        <v>134</v>
      </c>
      <c r="F32" s="493">
        <v>72885.0</v>
      </c>
      <c r="G32" s="493">
        <v>84.0</v>
      </c>
      <c r="H32" s="493">
        <v>0.12</v>
      </c>
      <c r="I32" s="493">
        <v>0.06</v>
      </c>
      <c r="J32" s="493">
        <v>0.05</v>
      </c>
      <c r="K32" s="493">
        <v>90.0</v>
      </c>
      <c r="L32" s="493">
        <v>141939.0</v>
      </c>
      <c r="M32" s="493">
        <v>0.0012</v>
      </c>
      <c r="N32" s="6">
        <v>1.0714</v>
      </c>
    </row>
    <row r="33">
      <c r="A33" s="491" t="s">
        <v>1884</v>
      </c>
      <c r="B33" s="491" t="s">
        <v>163</v>
      </c>
      <c r="C33" s="491" t="s">
        <v>70</v>
      </c>
      <c r="D33" s="491" t="s">
        <v>565</v>
      </c>
      <c r="E33" s="492" t="s">
        <v>373</v>
      </c>
      <c r="F33" s="493">
        <v>72885.0</v>
      </c>
      <c r="G33" s="493">
        <v>1.0</v>
      </c>
      <c r="H33" s="493">
        <v>0.0</v>
      </c>
      <c r="I33" s="493">
        <v>0.0</v>
      </c>
      <c r="J33" s="493">
        <v>0.0</v>
      </c>
      <c r="K33" s="493">
        <v>2.0</v>
      </c>
      <c r="L33" s="493">
        <v>141939.0</v>
      </c>
      <c r="M33" s="493">
        <v>0.0</v>
      </c>
      <c r="N33" s="6">
        <v>2.0</v>
      </c>
    </row>
    <row r="34">
      <c r="A34" s="491" t="s">
        <v>1884</v>
      </c>
      <c r="B34" s="491" t="s">
        <v>163</v>
      </c>
      <c r="C34" s="491" t="s">
        <v>70</v>
      </c>
      <c r="D34" s="491" t="s">
        <v>565</v>
      </c>
      <c r="E34" s="492" t="s">
        <v>367</v>
      </c>
      <c r="F34" s="493">
        <v>72885.0</v>
      </c>
      <c r="G34" s="493">
        <v>2.0</v>
      </c>
      <c r="H34" s="493">
        <v>0.0</v>
      </c>
      <c r="I34" s="493">
        <v>0.0</v>
      </c>
      <c r="J34" s="493">
        <v>0.0</v>
      </c>
      <c r="K34" s="493">
        <v>3.0</v>
      </c>
      <c r="L34" s="493">
        <v>141939.0</v>
      </c>
      <c r="M34" s="493">
        <v>0.0</v>
      </c>
      <c r="N34" s="6">
        <v>1.5</v>
      </c>
    </row>
    <row r="35">
      <c r="A35" s="491" t="s">
        <v>1884</v>
      </c>
      <c r="B35" s="491" t="s">
        <v>163</v>
      </c>
      <c r="C35" s="491" t="s">
        <v>70</v>
      </c>
      <c r="D35" s="491" t="s">
        <v>565</v>
      </c>
      <c r="E35" s="492" t="s">
        <v>32</v>
      </c>
      <c r="F35" s="493">
        <v>72885.0</v>
      </c>
      <c r="G35" s="493">
        <v>5.0</v>
      </c>
      <c r="H35" s="493">
        <v>0.01</v>
      </c>
      <c r="I35" s="493">
        <v>0.0</v>
      </c>
      <c r="J35" s="493">
        <v>0.01</v>
      </c>
      <c r="K35" s="493">
        <v>6.0</v>
      </c>
      <c r="L35" s="493">
        <v>141939.0</v>
      </c>
      <c r="M35" s="493">
        <v>1.0E-4</v>
      </c>
      <c r="N35" s="6">
        <v>1.2</v>
      </c>
    </row>
    <row r="36">
      <c r="A36" s="491" t="s">
        <v>1884</v>
      </c>
      <c r="B36" s="491" t="s">
        <v>163</v>
      </c>
      <c r="C36" s="491" t="s">
        <v>74</v>
      </c>
      <c r="D36" s="491" t="s">
        <v>565</v>
      </c>
      <c r="E36" s="492" t="s">
        <v>42</v>
      </c>
      <c r="F36" s="493">
        <v>34620.0</v>
      </c>
      <c r="G36" s="493">
        <v>20951.0</v>
      </c>
      <c r="H36" s="493">
        <v>60.52</v>
      </c>
      <c r="I36" s="493">
        <v>51.36</v>
      </c>
      <c r="J36" s="493">
        <v>54.68</v>
      </c>
      <c r="K36" s="493">
        <v>28752.0</v>
      </c>
      <c r="L36" s="493">
        <v>55977.0</v>
      </c>
      <c r="M36" s="493">
        <v>0.8305</v>
      </c>
      <c r="N36" s="6">
        <v>1.3723</v>
      </c>
    </row>
    <row r="37">
      <c r="A37" s="491" t="s">
        <v>1884</v>
      </c>
      <c r="B37" s="491" t="s">
        <v>163</v>
      </c>
      <c r="C37" s="491" t="s">
        <v>74</v>
      </c>
      <c r="D37" s="491" t="s">
        <v>565</v>
      </c>
      <c r="E37" s="492" t="s">
        <v>365</v>
      </c>
      <c r="F37" s="493">
        <v>34620.0</v>
      </c>
      <c r="G37" s="493">
        <v>6008.0</v>
      </c>
      <c r="H37" s="493">
        <v>17.35</v>
      </c>
      <c r="I37" s="493">
        <v>18.03</v>
      </c>
      <c r="J37" s="493">
        <v>14.08</v>
      </c>
      <c r="K37" s="493">
        <v>10091.0</v>
      </c>
      <c r="L37" s="493">
        <v>55977.0</v>
      </c>
      <c r="M37" s="493">
        <v>0.2915</v>
      </c>
      <c r="N37" s="6">
        <v>1.6796</v>
      </c>
    </row>
    <row r="38">
      <c r="A38" s="491" t="s">
        <v>1884</v>
      </c>
      <c r="B38" s="491" t="s">
        <v>163</v>
      </c>
      <c r="C38" s="491" t="s">
        <v>74</v>
      </c>
      <c r="D38" s="491" t="s">
        <v>565</v>
      </c>
      <c r="E38" s="492" t="s">
        <v>367</v>
      </c>
      <c r="F38" s="493">
        <v>34620.0</v>
      </c>
      <c r="G38" s="493">
        <v>8118.0</v>
      </c>
      <c r="H38" s="493">
        <v>23.45</v>
      </c>
      <c r="I38" s="493">
        <v>17.21</v>
      </c>
      <c r="J38" s="493">
        <v>18.35</v>
      </c>
      <c r="K38" s="493">
        <v>9634.0</v>
      </c>
      <c r="L38" s="493">
        <v>55977.0</v>
      </c>
      <c r="M38" s="493">
        <v>0.2783</v>
      </c>
      <c r="N38" s="6">
        <v>1.1867</v>
      </c>
    </row>
    <row r="39">
      <c r="A39" s="491" t="s">
        <v>1884</v>
      </c>
      <c r="B39" s="491" t="s">
        <v>163</v>
      </c>
      <c r="C39" s="491" t="s">
        <v>74</v>
      </c>
      <c r="D39" s="491" t="s">
        <v>565</v>
      </c>
      <c r="E39" s="492" t="s">
        <v>40</v>
      </c>
      <c r="F39" s="493">
        <v>34620.0</v>
      </c>
      <c r="G39" s="493">
        <v>1704.0</v>
      </c>
      <c r="H39" s="493">
        <v>4.92</v>
      </c>
      <c r="I39" s="493">
        <v>5.0</v>
      </c>
      <c r="J39" s="493">
        <v>3.92</v>
      </c>
      <c r="K39" s="493">
        <v>2801.0</v>
      </c>
      <c r="L39" s="493">
        <v>55977.0</v>
      </c>
      <c r="M39" s="493">
        <v>0.0809</v>
      </c>
      <c r="N39" s="6">
        <v>1.6438</v>
      </c>
    </row>
    <row r="40">
      <c r="A40" s="491" t="s">
        <v>1884</v>
      </c>
      <c r="B40" s="491" t="s">
        <v>163</v>
      </c>
      <c r="C40" s="491" t="s">
        <v>74</v>
      </c>
      <c r="D40" s="491" t="s">
        <v>565</v>
      </c>
      <c r="E40" s="492" t="s">
        <v>370</v>
      </c>
      <c r="F40" s="493">
        <v>34620.0</v>
      </c>
      <c r="G40" s="493">
        <v>863.0</v>
      </c>
      <c r="H40" s="493">
        <v>2.49</v>
      </c>
      <c r="I40" s="493">
        <v>1.97</v>
      </c>
      <c r="J40" s="493">
        <v>1.54</v>
      </c>
      <c r="K40" s="493">
        <v>1101.0</v>
      </c>
      <c r="L40" s="493">
        <v>55977.0</v>
      </c>
      <c r="M40" s="493">
        <v>0.0318</v>
      </c>
      <c r="N40" s="6">
        <v>1.2758</v>
      </c>
    </row>
    <row r="41">
      <c r="A41" s="491" t="s">
        <v>1884</v>
      </c>
      <c r="B41" s="491" t="s">
        <v>163</v>
      </c>
      <c r="C41" s="491" t="s">
        <v>74</v>
      </c>
      <c r="D41" s="491" t="s">
        <v>565</v>
      </c>
      <c r="E41" s="492" t="s">
        <v>50</v>
      </c>
      <c r="F41" s="493">
        <v>34620.0</v>
      </c>
      <c r="G41" s="493">
        <v>971.0</v>
      </c>
      <c r="H41" s="493">
        <v>2.8</v>
      </c>
      <c r="I41" s="493">
        <v>1.82</v>
      </c>
      <c r="J41" s="493">
        <v>2.28</v>
      </c>
      <c r="K41" s="493">
        <v>1017.0</v>
      </c>
      <c r="L41" s="493">
        <v>55977.0</v>
      </c>
      <c r="M41" s="493">
        <v>0.0294</v>
      </c>
      <c r="N41" s="6">
        <v>1.0474</v>
      </c>
    </row>
    <row r="42">
      <c r="A42" s="491" t="s">
        <v>1884</v>
      </c>
      <c r="B42" s="491" t="s">
        <v>163</v>
      </c>
      <c r="C42" s="491" t="s">
        <v>74</v>
      </c>
      <c r="D42" s="491" t="s">
        <v>565</v>
      </c>
      <c r="E42" s="492" t="s">
        <v>371</v>
      </c>
      <c r="F42" s="493">
        <v>34620.0</v>
      </c>
      <c r="G42" s="493">
        <v>513.0</v>
      </c>
      <c r="H42" s="493">
        <v>1.48</v>
      </c>
      <c r="I42" s="493">
        <v>0.97</v>
      </c>
      <c r="J42" s="493">
        <v>1.18</v>
      </c>
      <c r="K42" s="493">
        <v>542.0</v>
      </c>
      <c r="L42" s="493">
        <v>55977.0</v>
      </c>
      <c r="M42" s="493">
        <v>0.0157</v>
      </c>
      <c r="N42" s="6">
        <v>1.0565</v>
      </c>
    </row>
    <row r="43">
      <c r="A43" s="491" t="s">
        <v>1884</v>
      </c>
      <c r="B43" s="491" t="s">
        <v>163</v>
      </c>
      <c r="C43" s="491" t="s">
        <v>74</v>
      </c>
      <c r="D43" s="491" t="s">
        <v>565</v>
      </c>
      <c r="E43" s="492" t="s">
        <v>312</v>
      </c>
      <c r="F43" s="493">
        <v>34620.0</v>
      </c>
      <c r="G43" s="493">
        <v>395.0</v>
      </c>
      <c r="H43" s="493">
        <v>1.14</v>
      </c>
      <c r="I43" s="493">
        <v>0.74</v>
      </c>
      <c r="J43" s="493">
        <v>0.84</v>
      </c>
      <c r="K43" s="493">
        <v>413.0</v>
      </c>
      <c r="L43" s="493">
        <v>55977.0</v>
      </c>
      <c r="M43" s="493">
        <v>0.0119</v>
      </c>
      <c r="N43" s="6">
        <v>1.0456</v>
      </c>
    </row>
    <row r="44">
      <c r="A44" s="491" t="s">
        <v>1884</v>
      </c>
      <c r="B44" s="491" t="s">
        <v>163</v>
      </c>
      <c r="C44" s="491" t="s">
        <v>74</v>
      </c>
      <c r="D44" s="491" t="s">
        <v>565</v>
      </c>
      <c r="E44" s="492" t="s">
        <v>310</v>
      </c>
      <c r="F44" s="493">
        <v>34620.0</v>
      </c>
      <c r="G44" s="493">
        <v>331.0</v>
      </c>
      <c r="H44" s="493">
        <v>0.96</v>
      </c>
      <c r="I44" s="493">
        <v>0.62</v>
      </c>
      <c r="J44" s="493">
        <v>0.79</v>
      </c>
      <c r="K44" s="493">
        <v>346.0</v>
      </c>
      <c r="L44" s="493">
        <v>55977.0</v>
      </c>
      <c r="M44" s="493">
        <v>0.01</v>
      </c>
      <c r="N44" s="6">
        <v>1.0453</v>
      </c>
    </row>
    <row r="45">
      <c r="A45" s="491" t="s">
        <v>1884</v>
      </c>
      <c r="B45" s="491" t="s">
        <v>163</v>
      </c>
      <c r="C45" s="491" t="s">
        <v>74</v>
      </c>
      <c r="D45" s="491" t="s">
        <v>565</v>
      </c>
      <c r="E45" s="492" t="s">
        <v>32</v>
      </c>
      <c r="F45" s="493">
        <v>34620.0</v>
      </c>
      <c r="G45" s="493">
        <v>327.0</v>
      </c>
      <c r="H45" s="493">
        <v>0.94</v>
      </c>
      <c r="I45" s="493">
        <v>0.61</v>
      </c>
      <c r="J45" s="493">
        <v>0.72</v>
      </c>
      <c r="K45" s="493">
        <v>339.0</v>
      </c>
      <c r="L45" s="493">
        <v>55977.0</v>
      </c>
      <c r="M45" s="493">
        <v>0.0098</v>
      </c>
      <c r="N45" s="6">
        <v>1.0367</v>
      </c>
    </row>
    <row r="46">
      <c r="A46" s="491" t="s">
        <v>1884</v>
      </c>
      <c r="B46" s="491" t="s">
        <v>163</v>
      </c>
      <c r="C46" s="491" t="s">
        <v>74</v>
      </c>
      <c r="D46" s="491" t="s">
        <v>565</v>
      </c>
      <c r="E46" s="492" t="s">
        <v>44</v>
      </c>
      <c r="F46" s="493">
        <v>34620.0</v>
      </c>
      <c r="G46" s="493">
        <v>285.0</v>
      </c>
      <c r="H46" s="493">
        <v>0.82</v>
      </c>
      <c r="I46" s="493">
        <v>0.54</v>
      </c>
      <c r="J46" s="493">
        <v>0.45</v>
      </c>
      <c r="K46" s="493">
        <v>305.0</v>
      </c>
      <c r="L46" s="493">
        <v>55977.0</v>
      </c>
      <c r="M46" s="493">
        <v>0.0088</v>
      </c>
      <c r="N46" s="6">
        <v>1.0702</v>
      </c>
    </row>
    <row r="47">
      <c r="A47" s="491" t="s">
        <v>1884</v>
      </c>
      <c r="B47" s="491" t="s">
        <v>163</v>
      </c>
      <c r="C47" s="491" t="s">
        <v>74</v>
      </c>
      <c r="D47" s="491" t="s">
        <v>565</v>
      </c>
      <c r="E47" s="492" t="s">
        <v>134</v>
      </c>
      <c r="F47" s="493">
        <v>34620.0</v>
      </c>
      <c r="G47" s="493">
        <v>173.0</v>
      </c>
      <c r="H47" s="493">
        <v>0.5</v>
      </c>
      <c r="I47" s="493">
        <v>0.37</v>
      </c>
      <c r="J47" s="493">
        <v>0.29</v>
      </c>
      <c r="K47" s="493">
        <v>207.0</v>
      </c>
      <c r="L47" s="493">
        <v>55977.0</v>
      </c>
      <c r="M47" s="493">
        <v>0.006</v>
      </c>
      <c r="N47" s="6">
        <v>1.1965</v>
      </c>
    </row>
    <row r="48">
      <c r="A48" s="491" t="s">
        <v>1884</v>
      </c>
      <c r="B48" s="491" t="s">
        <v>163</v>
      </c>
      <c r="C48" s="491" t="s">
        <v>74</v>
      </c>
      <c r="D48" s="491" t="s">
        <v>565</v>
      </c>
      <c r="E48" s="492" t="s">
        <v>366</v>
      </c>
      <c r="F48" s="493">
        <v>34620.0</v>
      </c>
      <c r="G48" s="493">
        <v>193.0</v>
      </c>
      <c r="H48" s="493">
        <v>0.56</v>
      </c>
      <c r="I48" s="493">
        <v>0.36</v>
      </c>
      <c r="J48" s="493">
        <v>0.44</v>
      </c>
      <c r="K48" s="493">
        <v>203.0</v>
      </c>
      <c r="L48" s="493">
        <v>55977.0</v>
      </c>
      <c r="M48" s="493">
        <v>0.0059</v>
      </c>
      <c r="N48" s="6">
        <v>1.0518</v>
      </c>
    </row>
    <row r="49">
      <c r="A49" s="491" t="s">
        <v>1884</v>
      </c>
      <c r="B49" s="491" t="s">
        <v>163</v>
      </c>
      <c r="C49" s="491" t="s">
        <v>74</v>
      </c>
      <c r="D49" s="491" t="s">
        <v>565</v>
      </c>
      <c r="E49" s="492" t="s">
        <v>311</v>
      </c>
      <c r="F49" s="493">
        <v>34620.0</v>
      </c>
      <c r="G49" s="493">
        <v>81.0</v>
      </c>
      <c r="H49" s="493">
        <v>0.23</v>
      </c>
      <c r="I49" s="493">
        <v>0.15</v>
      </c>
      <c r="J49" s="493">
        <v>0.2</v>
      </c>
      <c r="K49" s="493">
        <v>83.0</v>
      </c>
      <c r="L49" s="493">
        <v>55977.0</v>
      </c>
      <c r="M49" s="493">
        <v>0.0024</v>
      </c>
      <c r="N49" s="6">
        <v>1.0247</v>
      </c>
    </row>
    <row r="50">
      <c r="A50" s="491" t="s">
        <v>1884</v>
      </c>
      <c r="B50" s="491" t="s">
        <v>163</v>
      </c>
      <c r="C50" s="491" t="s">
        <v>74</v>
      </c>
      <c r="D50" s="491" t="s">
        <v>565</v>
      </c>
      <c r="E50" s="492" t="s">
        <v>43</v>
      </c>
      <c r="F50" s="493">
        <v>34620.0</v>
      </c>
      <c r="G50" s="493">
        <v>77.0</v>
      </c>
      <c r="H50" s="493">
        <v>0.22</v>
      </c>
      <c r="I50" s="493">
        <v>0.14</v>
      </c>
      <c r="J50" s="493">
        <v>0.15</v>
      </c>
      <c r="K50" s="493">
        <v>80.0</v>
      </c>
      <c r="L50" s="493">
        <v>55977.0</v>
      </c>
      <c r="M50" s="493">
        <v>0.0023</v>
      </c>
      <c r="N50" s="6">
        <v>1.039</v>
      </c>
    </row>
    <row r="51">
      <c r="A51" s="491" t="s">
        <v>1884</v>
      </c>
      <c r="B51" s="491" t="s">
        <v>163</v>
      </c>
      <c r="C51" s="491" t="s">
        <v>74</v>
      </c>
      <c r="D51" s="491" t="s">
        <v>565</v>
      </c>
      <c r="E51" s="492" t="s">
        <v>368</v>
      </c>
      <c r="F51" s="493">
        <v>34620.0</v>
      </c>
      <c r="G51" s="493">
        <v>22.0</v>
      </c>
      <c r="H51" s="493">
        <v>0.06</v>
      </c>
      <c r="I51" s="493">
        <v>0.05</v>
      </c>
      <c r="J51" s="493">
        <v>0.03</v>
      </c>
      <c r="K51" s="493">
        <v>28.0</v>
      </c>
      <c r="L51" s="493">
        <v>55977.0</v>
      </c>
      <c r="M51" s="493">
        <v>8.0E-4</v>
      </c>
      <c r="N51" s="6">
        <v>1.2727</v>
      </c>
    </row>
    <row r="52">
      <c r="A52" s="491" t="s">
        <v>1884</v>
      </c>
      <c r="B52" s="491" t="s">
        <v>163</v>
      </c>
      <c r="C52" s="491" t="s">
        <v>74</v>
      </c>
      <c r="D52" s="491" t="s">
        <v>565</v>
      </c>
      <c r="E52" s="492" t="s">
        <v>369</v>
      </c>
      <c r="F52" s="493">
        <v>34620.0</v>
      </c>
      <c r="G52" s="493">
        <v>21.0</v>
      </c>
      <c r="H52" s="493">
        <v>0.06</v>
      </c>
      <c r="I52" s="493">
        <v>0.04</v>
      </c>
      <c r="J52" s="493">
        <v>0.03</v>
      </c>
      <c r="K52" s="493">
        <v>23.0</v>
      </c>
      <c r="L52" s="493">
        <v>55977.0</v>
      </c>
      <c r="M52" s="493">
        <v>7.0E-4</v>
      </c>
      <c r="N52" s="6">
        <v>1.0952</v>
      </c>
    </row>
    <row r="53">
      <c r="A53" s="491" t="s">
        <v>1884</v>
      </c>
      <c r="B53" s="491" t="s">
        <v>163</v>
      </c>
      <c r="C53" s="491" t="s">
        <v>74</v>
      </c>
      <c r="D53" s="491" t="s">
        <v>565</v>
      </c>
      <c r="E53" s="492" t="s">
        <v>189</v>
      </c>
      <c r="F53" s="493">
        <v>34620.0</v>
      </c>
      <c r="G53" s="493">
        <v>10.0</v>
      </c>
      <c r="H53" s="493">
        <v>0.03</v>
      </c>
      <c r="I53" s="493">
        <v>0.02</v>
      </c>
      <c r="J53" s="493">
        <v>0.02</v>
      </c>
      <c r="K53" s="493">
        <v>10.0</v>
      </c>
      <c r="L53" s="493">
        <v>55977.0</v>
      </c>
      <c r="M53" s="493">
        <v>3.0E-4</v>
      </c>
      <c r="N53" s="6">
        <v>1.0</v>
      </c>
    </row>
    <row r="54">
      <c r="A54" s="491" t="s">
        <v>1884</v>
      </c>
      <c r="B54" s="491" t="s">
        <v>163</v>
      </c>
      <c r="C54" s="491" t="s">
        <v>74</v>
      </c>
      <c r="D54" s="491" t="s">
        <v>565</v>
      </c>
      <c r="E54" s="492" t="s">
        <v>373</v>
      </c>
      <c r="F54" s="493">
        <v>34620.0</v>
      </c>
      <c r="G54" s="493">
        <v>1.0</v>
      </c>
      <c r="H54" s="493">
        <v>0.0</v>
      </c>
      <c r="I54" s="493">
        <v>0.0</v>
      </c>
      <c r="J54" s="493">
        <v>0.0</v>
      </c>
      <c r="K54" s="493">
        <v>2.0</v>
      </c>
      <c r="L54" s="493">
        <v>55977.0</v>
      </c>
      <c r="M54" s="493">
        <v>1.0E-4</v>
      </c>
      <c r="N54" s="6">
        <v>2.0</v>
      </c>
    </row>
    <row r="55">
      <c r="A55" s="491" t="s">
        <v>1884</v>
      </c>
      <c r="B55" s="491" t="s">
        <v>163</v>
      </c>
      <c r="C55" s="491" t="s">
        <v>1872</v>
      </c>
      <c r="D55" s="491" t="s">
        <v>1872</v>
      </c>
      <c r="E55" s="492" t="s">
        <v>367</v>
      </c>
      <c r="F55" s="493">
        <v>133789.0</v>
      </c>
      <c r="G55" s="493">
        <v>114923.0</v>
      </c>
      <c r="H55" s="493">
        <v>85.9</v>
      </c>
      <c r="I55" s="493">
        <v>61.91</v>
      </c>
      <c r="J55" s="493">
        <v>64.11</v>
      </c>
      <c r="K55" s="493">
        <v>1.0747595E7</v>
      </c>
      <c r="L55" s="493">
        <v>1.7359678E7</v>
      </c>
      <c r="M55" s="493">
        <v>80.3324</v>
      </c>
      <c r="N55" s="6">
        <v>93.52</v>
      </c>
    </row>
    <row r="56">
      <c r="A56" s="491" t="s">
        <v>1884</v>
      </c>
      <c r="B56" s="491" t="s">
        <v>163</v>
      </c>
      <c r="C56" s="491" t="s">
        <v>1872</v>
      </c>
      <c r="D56" s="491" t="s">
        <v>1872</v>
      </c>
      <c r="E56" s="492" t="s">
        <v>42</v>
      </c>
      <c r="F56" s="493">
        <v>133789.0</v>
      </c>
      <c r="G56" s="493">
        <v>23338.0</v>
      </c>
      <c r="H56" s="493">
        <v>17.44</v>
      </c>
      <c r="I56" s="493">
        <v>11.53</v>
      </c>
      <c r="J56" s="493">
        <v>9.01</v>
      </c>
      <c r="K56" s="493">
        <v>2001040.0</v>
      </c>
      <c r="L56" s="493">
        <v>1.7359678E7</v>
      </c>
      <c r="M56" s="493">
        <v>14.9567</v>
      </c>
      <c r="N56" s="6">
        <v>85.7417</v>
      </c>
    </row>
    <row r="57">
      <c r="A57" s="491" t="s">
        <v>1884</v>
      </c>
      <c r="B57" s="491" t="s">
        <v>163</v>
      </c>
      <c r="C57" s="491" t="s">
        <v>1872</v>
      </c>
      <c r="D57" s="491" t="s">
        <v>1872</v>
      </c>
      <c r="E57" s="492" t="s">
        <v>40</v>
      </c>
      <c r="F57" s="493">
        <v>133789.0</v>
      </c>
      <c r="G57" s="493">
        <v>14033.0</v>
      </c>
      <c r="H57" s="493">
        <v>10.49</v>
      </c>
      <c r="I57" s="493">
        <v>7.26</v>
      </c>
      <c r="J57" s="493">
        <v>5.19</v>
      </c>
      <c r="K57" s="493">
        <v>1260910.0</v>
      </c>
      <c r="L57" s="493">
        <v>1.7359678E7</v>
      </c>
      <c r="M57" s="493">
        <v>9.4246</v>
      </c>
      <c r="N57" s="6">
        <v>89.8532</v>
      </c>
    </row>
    <row r="58">
      <c r="A58" s="491" t="s">
        <v>1884</v>
      </c>
      <c r="B58" s="491" t="s">
        <v>163</v>
      </c>
      <c r="C58" s="491" t="s">
        <v>1872</v>
      </c>
      <c r="D58" s="491" t="s">
        <v>1872</v>
      </c>
      <c r="E58" s="492" t="s">
        <v>365</v>
      </c>
      <c r="F58" s="493">
        <v>133789.0</v>
      </c>
      <c r="G58" s="493">
        <v>19187.0</v>
      </c>
      <c r="H58" s="493">
        <v>14.34</v>
      </c>
      <c r="I58" s="493">
        <v>5.46</v>
      </c>
      <c r="J58" s="493">
        <v>4.95</v>
      </c>
      <c r="K58" s="493">
        <v>948330.0</v>
      </c>
      <c r="L58" s="493">
        <v>1.7359678E7</v>
      </c>
      <c r="M58" s="493">
        <v>7.0883</v>
      </c>
      <c r="N58" s="6">
        <v>49.4257</v>
      </c>
    </row>
    <row r="59">
      <c r="A59" s="491" t="s">
        <v>1884</v>
      </c>
      <c r="B59" s="491" t="s">
        <v>163</v>
      </c>
      <c r="C59" s="491" t="s">
        <v>1872</v>
      </c>
      <c r="D59" s="491" t="s">
        <v>1872</v>
      </c>
      <c r="E59" s="492" t="s">
        <v>372</v>
      </c>
      <c r="F59" s="493">
        <v>133789.0</v>
      </c>
      <c r="G59" s="493">
        <v>28917.0</v>
      </c>
      <c r="H59" s="493">
        <v>21.61</v>
      </c>
      <c r="I59" s="493">
        <v>4.08</v>
      </c>
      <c r="J59" s="493">
        <v>7.32</v>
      </c>
      <c r="K59" s="493">
        <v>707980.0</v>
      </c>
      <c r="L59" s="493">
        <v>1.7359678E7</v>
      </c>
      <c r="M59" s="493">
        <v>5.2918</v>
      </c>
      <c r="N59" s="6">
        <v>24.4832</v>
      </c>
    </row>
    <row r="60">
      <c r="A60" s="491" t="s">
        <v>1884</v>
      </c>
      <c r="B60" s="491" t="s">
        <v>163</v>
      </c>
      <c r="C60" s="491" t="s">
        <v>1872</v>
      </c>
      <c r="D60" s="491" t="s">
        <v>1872</v>
      </c>
      <c r="E60" s="492" t="s">
        <v>370</v>
      </c>
      <c r="F60" s="493">
        <v>133789.0</v>
      </c>
      <c r="G60" s="493">
        <v>15348.0</v>
      </c>
      <c r="H60" s="493">
        <v>11.47</v>
      </c>
      <c r="I60" s="493">
        <v>2.91</v>
      </c>
      <c r="J60" s="493">
        <v>2.39</v>
      </c>
      <c r="K60" s="493">
        <v>506003.0</v>
      </c>
      <c r="L60" s="493">
        <v>1.7359678E7</v>
      </c>
      <c r="M60" s="493">
        <v>3.7821</v>
      </c>
      <c r="N60" s="6">
        <v>32.9687</v>
      </c>
    </row>
    <row r="61">
      <c r="A61" s="491" t="s">
        <v>1884</v>
      </c>
      <c r="B61" s="491" t="s">
        <v>163</v>
      </c>
      <c r="C61" s="491" t="s">
        <v>1872</v>
      </c>
      <c r="D61" s="491" t="s">
        <v>1872</v>
      </c>
      <c r="E61" s="492" t="s">
        <v>50</v>
      </c>
      <c r="F61" s="493">
        <v>133789.0</v>
      </c>
      <c r="G61" s="493">
        <v>3838.0</v>
      </c>
      <c r="H61" s="493">
        <v>2.87</v>
      </c>
      <c r="I61" s="493">
        <v>1.26</v>
      </c>
      <c r="J61" s="493">
        <v>1.49</v>
      </c>
      <c r="K61" s="493">
        <v>217950.0</v>
      </c>
      <c r="L61" s="493">
        <v>1.7359678E7</v>
      </c>
      <c r="M61" s="493">
        <v>1.6291</v>
      </c>
      <c r="N61" s="6">
        <v>56.7874</v>
      </c>
    </row>
    <row r="62">
      <c r="A62" s="491" t="s">
        <v>1884</v>
      </c>
      <c r="B62" s="491" t="s">
        <v>163</v>
      </c>
      <c r="C62" s="491" t="s">
        <v>1872</v>
      </c>
      <c r="D62" s="491" t="s">
        <v>1872</v>
      </c>
      <c r="E62" s="492" t="s">
        <v>312</v>
      </c>
      <c r="F62" s="493">
        <v>133789.0</v>
      </c>
      <c r="G62" s="493">
        <v>1620.0</v>
      </c>
      <c r="H62" s="493">
        <v>1.21</v>
      </c>
      <c r="I62" s="493">
        <v>1.02</v>
      </c>
      <c r="J62" s="493">
        <v>0.65</v>
      </c>
      <c r="K62" s="493">
        <v>176675.0</v>
      </c>
      <c r="L62" s="493">
        <v>1.7359678E7</v>
      </c>
      <c r="M62" s="493">
        <v>1.3205</v>
      </c>
      <c r="N62" s="6">
        <v>109.0586</v>
      </c>
    </row>
    <row r="63">
      <c r="A63" s="491" t="s">
        <v>1884</v>
      </c>
      <c r="B63" s="491" t="s">
        <v>163</v>
      </c>
      <c r="C63" s="491" t="s">
        <v>1872</v>
      </c>
      <c r="D63" s="491" t="s">
        <v>1872</v>
      </c>
      <c r="E63" s="492" t="s">
        <v>32</v>
      </c>
      <c r="F63" s="493">
        <v>133789.0</v>
      </c>
      <c r="G63" s="493">
        <v>1621.0</v>
      </c>
      <c r="H63" s="493">
        <v>1.21</v>
      </c>
      <c r="I63" s="493">
        <v>0.94</v>
      </c>
      <c r="J63" s="493">
        <v>0.64</v>
      </c>
      <c r="K63" s="493">
        <v>163895.0</v>
      </c>
      <c r="L63" s="493">
        <v>1.7359678E7</v>
      </c>
      <c r="M63" s="493">
        <v>1.225</v>
      </c>
      <c r="N63" s="6">
        <v>101.1073</v>
      </c>
    </row>
    <row r="64">
      <c r="A64" s="491" t="s">
        <v>1884</v>
      </c>
      <c r="B64" s="491" t="s">
        <v>163</v>
      </c>
      <c r="C64" s="491" t="s">
        <v>1872</v>
      </c>
      <c r="D64" s="491" t="s">
        <v>1872</v>
      </c>
      <c r="E64" s="492" t="s">
        <v>310</v>
      </c>
      <c r="F64" s="493">
        <v>133789.0</v>
      </c>
      <c r="G64" s="493">
        <v>1554.0</v>
      </c>
      <c r="H64" s="493">
        <v>1.16</v>
      </c>
      <c r="I64" s="493">
        <v>0.93</v>
      </c>
      <c r="J64" s="493">
        <v>0.71</v>
      </c>
      <c r="K64" s="493">
        <v>160700.0</v>
      </c>
      <c r="L64" s="493">
        <v>1.7359678E7</v>
      </c>
      <c r="M64" s="493">
        <v>1.2011</v>
      </c>
      <c r="N64" s="6">
        <v>103.4106</v>
      </c>
    </row>
    <row r="65">
      <c r="A65" s="491" t="s">
        <v>1884</v>
      </c>
      <c r="B65" s="491" t="s">
        <v>163</v>
      </c>
      <c r="C65" s="491" t="s">
        <v>1872</v>
      </c>
      <c r="D65" s="491" t="s">
        <v>1872</v>
      </c>
      <c r="E65" s="492" t="s">
        <v>44</v>
      </c>
      <c r="F65" s="493">
        <v>133789.0</v>
      </c>
      <c r="G65" s="493">
        <v>6196.0</v>
      </c>
      <c r="H65" s="493">
        <v>4.63</v>
      </c>
      <c r="I65" s="493">
        <v>0.51</v>
      </c>
      <c r="J65" s="493">
        <v>1.0</v>
      </c>
      <c r="K65" s="493">
        <v>88670.0</v>
      </c>
      <c r="L65" s="493">
        <v>1.7359678E7</v>
      </c>
      <c r="M65" s="493">
        <v>0.6628</v>
      </c>
      <c r="N65" s="6">
        <v>14.3108</v>
      </c>
    </row>
    <row r="66">
      <c r="A66" s="491" t="s">
        <v>1884</v>
      </c>
      <c r="B66" s="491" t="s">
        <v>163</v>
      </c>
      <c r="C66" s="491" t="s">
        <v>1872</v>
      </c>
      <c r="D66" s="491" t="s">
        <v>1872</v>
      </c>
      <c r="E66" s="492" t="s">
        <v>43</v>
      </c>
      <c r="F66" s="493">
        <v>133789.0</v>
      </c>
      <c r="G66" s="493">
        <v>518.0</v>
      </c>
      <c r="H66" s="493">
        <v>0.39</v>
      </c>
      <c r="I66" s="493">
        <v>0.51</v>
      </c>
      <c r="J66" s="493">
        <v>0.21</v>
      </c>
      <c r="K66" s="493">
        <v>88650.0</v>
      </c>
      <c r="L66" s="493">
        <v>1.7359678E7</v>
      </c>
      <c r="M66" s="493">
        <v>0.6626</v>
      </c>
      <c r="N66" s="6">
        <v>171.139</v>
      </c>
    </row>
    <row r="67">
      <c r="A67" s="491" t="s">
        <v>1884</v>
      </c>
      <c r="B67" s="491" t="s">
        <v>163</v>
      </c>
      <c r="C67" s="491" t="s">
        <v>1872</v>
      </c>
      <c r="D67" s="491" t="s">
        <v>1872</v>
      </c>
      <c r="E67" s="492" t="s">
        <v>371</v>
      </c>
      <c r="F67" s="493">
        <v>133789.0</v>
      </c>
      <c r="G67" s="493">
        <v>3146.0</v>
      </c>
      <c r="H67" s="493">
        <v>2.35</v>
      </c>
      <c r="I67" s="493">
        <v>0.44</v>
      </c>
      <c r="J67" s="493">
        <v>0.92</v>
      </c>
      <c r="K67" s="493">
        <v>75745.0</v>
      </c>
      <c r="L67" s="493">
        <v>1.7359678E7</v>
      </c>
      <c r="M67" s="493">
        <v>0.5662</v>
      </c>
      <c r="N67" s="6">
        <v>24.0766</v>
      </c>
    </row>
    <row r="68">
      <c r="A68" s="491" t="s">
        <v>1884</v>
      </c>
      <c r="B68" s="491" t="s">
        <v>163</v>
      </c>
      <c r="C68" s="491" t="s">
        <v>1872</v>
      </c>
      <c r="D68" s="491" t="s">
        <v>1872</v>
      </c>
      <c r="E68" s="492" t="s">
        <v>366</v>
      </c>
      <c r="F68" s="493">
        <v>133789.0</v>
      </c>
      <c r="G68" s="493">
        <v>1129.0</v>
      </c>
      <c r="H68" s="493">
        <v>0.84</v>
      </c>
      <c r="I68" s="493">
        <v>0.29</v>
      </c>
      <c r="J68" s="493">
        <v>0.4</v>
      </c>
      <c r="K68" s="493">
        <v>50210.0</v>
      </c>
      <c r="L68" s="493">
        <v>1.7359678E7</v>
      </c>
      <c r="M68" s="493">
        <v>0.3753</v>
      </c>
      <c r="N68" s="6">
        <v>44.473</v>
      </c>
    </row>
    <row r="69">
      <c r="A69" s="491" t="s">
        <v>1884</v>
      </c>
      <c r="B69" s="491" t="s">
        <v>163</v>
      </c>
      <c r="C69" s="491" t="s">
        <v>1872</v>
      </c>
      <c r="D69" s="491" t="s">
        <v>1872</v>
      </c>
      <c r="E69" s="492" t="s">
        <v>311</v>
      </c>
      <c r="F69" s="493">
        <v>133789.0</v>
      </c>
      <c r="G69" s="493">
        <v>412.0</v>
      </c>
      <c r="H69" s="493">
        <v>0.31</v>
      </c>
      <c r="I69" s="493">
        <v>0.24</v>
      </c>
      <c r="J69" s="493">
        <v>0.19</v>
      </c>
      <c r="K69" s="493">
        <v>41300.0</v>
      </c>
      <c r="L69" s="493">
        <v>1.7359678E7</v>
      </c>
      <c r="M69" s="493">
        <v>0.3087</v>
      </c>
      <c r="N69" s="6">
        <v>100.2427</v>
      </c>
    </row>
    <row r="70">
      <c r="A70" s="491" t="s">
        <v>1884</v>
      </c>
      <c r="B70" s="491" t="s">
        <v>163</v>
      </c>
      <c r="C70" s="491" t="s">
        <v>1872</v>
      </c>
      <c r="D70" s="491" t="s">
        <v>1872</v>
      </c>
      <c r="E70" s="492" t="s">
        <v>369</v>
      </c>
      <c r="F70" s="493">
        <v>133789.0</v>
      </c>
      <c r="G70" s="493">
        <v>1235.0</v>
      </c>
      <c r="H70" s="493">
        <v>0.92</v>
      </c>
      <c r="I70" s="493">
        <v>0.24</v>
      </c>
      <c r="J70" s="493">
        <v>0.4</v>
      </c>
      <c r="K70" s="493">
        <v>41475.0</v>
      </c>
      <c r="L70" s="493">
        <v>1.7359678E7</v>
      </c>
      <c r="M70" s="493">
        <v>0.31</v>
      </c>
      <c r="N70" s="6">
        <v>33.583</v>
      </c>
    </row>
    <row r="71">
      <c r="A71" s="491" t="s">
        <v>1884</v>
      </c>
      <c r="B71" s="491" t="s">
        <v>163</v>
      </c>
      <c r="C71" s="491" t="s">
        <v>1872</v>
      </c>
      <c r="D71" s="491" t="s">
        <v>1872</v>
      </c>
      <c r="E71" s="492" t="s">
        <v>368</v>
      </c>
      <c r="F71" s="493">
        <v>133789.0</v>
      </c>
      <c r="G71" s="493">
        <v>770.0</v>
      </c>
      <c r="H71" s="493">
        <v>0.58</v>
      </c>
      <c r="I71" s="493">
        <v>0.22</v>
      </c>
      <c r="J71" s="493">
        <v>0.18</v>
      </c>
      <c r="K71" s="493">
        <v>38545.0</v>
      </c>
      <c r="L71" s="493">
        <v>1.7359678E7</v>
      </c>
      <c r="M71" s="493">
        <v>0.2881</v>
      </c>
      <c r="N71" s="6">
        <v>50.0584</v>
      </c>
    </row>
    <row r="72">
      <c r="A72" s="491" t="s">
        <v>1884</v>
      </c>
      <c r="B72" s="491" t="s">
        <v>163</v>
      </c>
      <c r="C72" s="491" t="s">
        <v>1872</v>
      </c>
      <c r="D72" s="491" t="s">
        <v>1872</v>
      </c>
      <c r="E72" s="492" t="s">
        <v>35</v>
      </c>
      <c r="F72" s="493">
        <v>133789.0</v>
      </c>
      <c r="G72" s="493">
        <v>557.0</v>
      </c>
      <c r="H72" s="493">
        <v>0.42</v>
      </c>
      <c r="I72" s="493">
        <v>0.09</v>
      </c>
      <c r="J72" s="493">
        <v>0.11</v>
      </c>
      <c r="K72" s="493">
        <v>16350.0</v>
      </c>
      <c r="L72" s="493">
        <v>1.7359678E7</v>
      </c>
      <c r="M72" s="493">
        <v>0.1222</v>
      </c>
      <c r="N72" s="6">
        <v>29.3537</v>
      </c>
    </row>
    <row r="73">
      <c r="A73" s="491" t="s">
        <v>1884</v>
      </c>
      <c r="B73" s="491" t="s">
        <v>163</v>
      </c>
      <c r="C73" s="491" t="s">
        <v>1872</v>
      </c>
      <c r="D73" s="491" t="s">
        <v>1872</v>
      </c>
      <c r="E73" s="492" t="s">
        <v>134</v>
      </c>
      <c r="F73" s="493">
        <v>133789.0</v>
      </c>
      <c r="G73" s="493">
        <v>217.0</v>
      </c>
      <c r="H73" s="493">
        <v>0.16</v>
      </c>
      <c r="I73" s="493">
        <v>0.09</v>
      </c>
      <c r="J73" s="493">
        <v>0.05</v>
      </c>
      <c r="K73" s="493">
        <v>15755.0</v>
      </c>
      <c r="L73" s="493">
        <v>1.7359678E7</v>
      </c>
      <c r="M73" s="493">
        <v>0.1178</v>
      </c>
      <c r="N73" s="6">
        <v>72.6037</v>
      </c>
    </row>
    <row r="74">
      <c r="A74" s="491" t="s">
        <v>1884</v>
      </c>
      <c r="B74" s="491" t="s">
        <v>163</v>
      </c>
      <c r="C74" s="491" t="s">
        <v>1872</v>
      </c>
      <c r="D74" s="491" t="s">
        <v>1872</v>
      </c>
      <c r="E74" s="492" t="s">
        <v>189</v>
      </c>
      <c r="F74" s="493">
        <v>133789.0</v>
      </c>
      <c r="G74" s="493">
        <v>440.0</v>
      </c>
      <c r="H74" s="493">
        <v>0.33</v>
      </c>
      <c r="I74" s="493">
        <v>0.07</v>
      </c>
      <c r="J74" s="493">
        <v>0.12</v>
      </c>
      <c r="K74" s="493">
        <v>11900.0</v>
      </c>
      <c r="L74" s="493">
        <v>1.7359678E7</v>
      </c>
      <c r="M74" s="493">
        <v>0.0889</v>
      </c>
      <c r="N74" s="6">
        <v>27.0455</v>
      </c>
    </row>
    <row r="75">
      <c r="A75" s="491" t="s">
        <v>1884</v>
      </c>
      <c r="B75" s="491" t="s">
        <v>163</v>
      </c>
      <c r="C75" s="491" t="s">
        <v>69</v>
      </c>
      <c r="D75" s="491" t="s">
        <v>565</v>
      </c>
      <c r="E75" s="492" t="s">
        <v>370</v>
      </c>
      <c r="F75" s="493">
        <v>62131.0</v>
      </c>
      <c r="G75" s="493">
        <v>37745.0</v>
      </c>
      <c r="H75" s="493">
        <v>60.75</v>
      </c>
      <c r="I75" s="493">
        <v>49.36</v>
      </c>
      <c r="J75" s="493">
        <v>51.52</v>
      </c>
      <c r="K75" s="493">
        <v>56474.0</v>
      </c>
      <c r="L75" s="493">
        <v>114402.0</v>
      </c>
      <c r="M75" s="493">
        <v>0.909</v>
      </c>
      <c r="N75" s="6">
        <v>1.4962</v>
      </c>
    </row>
    <row r="76">
      <c r="A76" s="491" t="s">
        <v>1884</v>
      </c>
      <c r="B76" s="491" t="s">
        <v>163</v>
      </c>
      <c r="C76" s="491" t="s">
        <v>69</v>
      </c>
      <c r="D76" s="491" t="s">
        <v>565</v>
      </c>
      <c r="E76" s="492" t="s">
        <v>372</v>
      </c>
      <c r="F76" s="493">
        <v>62131.0</v>
      </c>
      <c r="G76" s="493">
        <v>17652.0</v>
      </c>
      <c r="H76" s="493">
        <v>28.41</v>
      </c>
      <c r="I76" s="493">
        <v>26.02</v>
      </c>
      <c r="J76" s="493">
        <v>20.6</v>
      </c>
      <c r="K76" s="493">
        <v>29771.0</v>
      </c>
      <c r="L76" s="493">
        <v>114402.0</v>
      </c>
      <c r="M76" s="493">
        <v>0.4792</v>
      </c>
      <c r="N76" s="6">
        <v>1.6866</v>
      </c>
    </row>
    <row r="77">
      <c r="A77" s="491" t="s">
        <v>1884</v>
      </c>
      <c r="B77" s="491" t="s">
        <v>163</v>
      </c>
      <c r="C77" s="491" t="s">
        <v>69</v>
      </c>
      <c r="D77" s="491" t="s">
        <v>565</v>
      </c>
      <c r="E77" s="492" t="s">
        <v>44</v>
      </c>
      <c r="F77" s="493">
        <v>62131.0</v>
      </c>
      <c r="G77" s="493">
        <v>13361.0</v>
      </c>
      <c r="H77" s="493">
        <v>21.5</v>
      </c>
      <c r="I77" s="493">
        <v>13.35</v>
      </c>
      <c r="J77" s="493">
        <v>15.66</v>
      </c>
      <c r="K77" s="493">
        <v>15273.0</v>
      </c>
      <c r="L77" s="493">
        <v>114402.0</v>
      </c>
      <c r="M77" s="493">
        <v>0.2458</v>
      </c>
      <c r="N77" s="6">
        <v>1.1431</v>
      </c>
    </row>
    <row r="78">
      <c r="A78" s="491" t="s">
        <v>1884</v>
      </c>
      <c r="B78" s="491" t="s">
        <v>163</v>
      </c>
      <c r="C78" s="491" t="s">
        <v>69</v>
      </c>
      <c r="D78" s="491" t="s">
        <v>565</v>
      </c>
      <c r="E78" s="492" t="s">
        <v>49</v>
      </c>
      <c r="F78" s="493">
        <v>62131.0</v>
      </c>
      <c r="G78" s="493">
        <v>4522.0</v>
      </c>
      <c r="H78" s="493">
        <v>7.28</v>
      </c>
      <c r="I78" s="493">
        <v>4.35</v>
      </c>
      <c r="J78" s="493">
        <v>4.76</v>
      </c>
      <c r="K78" s="493">
        <v>4976.0</v>
      </c>
      <c r="L78" s="493">
        <v>114402.0</v>
      </c>
      <c r="M78" s="493">
        <v>0.0801</v>
      </c>
      <c r="N78" s="6">
        <v>1.1004</v>
      </c>
    </row>
    <row r="79">
      <c r="A79" s="491" t="s">
        <v>1884</v>
      </c>
      <c r="B79" s="491" t="s">
        <v>163</v>
      </c>
      <c r="C79" s="491" t="s">
        <v>69</v>
      </c>
      <c r="D79" s="491" t="s">
        <v>565</v>
      </c>
      <c r="E79" s="492" t="s">
        <v>42</v>
      </c>
      <c r="F79" s="493">
        <v>62131.0</v>
      </c>
      <c r="G79" s="493">
        <v>3292.0</v>
      </c>
      <c r="H79" s="493">
        <v>5.3</v>
      </c>
      <c r="I79" s="493">
        <v>3.23</v>
      </c>
      <c r="J79" s="493">
        <v>3.48</v>
      </c>
      <c r="K79" s="493">
        <v>3695.0</v>
      </c>
      <c r="L79" s="493">
        <v>114402.0</v>
      </c>
      <c r="M79" s="493">
        <v>0.0595</v>
      </c>
      <c r="N79" s="6">
        <v>1.1224</v>
      </c>
    </row>
    <row r="80">
      <c r="A80" s="491" t="s">
        <v>1884</v>
      </c>
      <c r="B80" s="491" t="s">
        <v>163</v>
      </c>
      <c r="C80" s="491" t="s">
        <v>69</v>
      </c>
      <c r="D80" s="491" t="s">
        <v>565</v>
      </c>
      <c r="E80" s="492" t="s">
        <v>371</v>
      </c>
      <c r="F80" s="493">
        <v>62131.0</v>
      </c>
      <c r="G80" s="493">
        <v>1412.0</v>
      </c>
      <c r="H80" s="493">
        <v>2.27</v>
      </c>
      <c r="I80" s="493">
        <v>1.51</v>
      </c>
      <c r="J80" s="493">
        <v>1.64</v>
      </c>
      <c r="K80" s="493">
        <v>1732.0</v>
      </c>
      <c r="L80" s="493">
        <v>114402.0</v>
      </c>
      <c r="M80" s="493">
        <v>0.0279</v>
      </c>
      <c r="N80" s="6">
        <v>1.2266</v>
      </c>
    </row>
    <row r="81">
      <c r="A81" s="491" t="s">
        <v>1884</v>
      </c>
      <c r="B81" s="491" t="s">
        <v>163</v>
      </c>
      <c r="C81" s="491" t="s">
        <v>69</v>
      </c>
      <c r="D81" s="491" t="s">
        <v>565</v>
      </c>
      <c r="E81" s="492" t="s">
        <v>369</v>
      </c>
      <c r="F81" s="493">
        <v>62131.0</v>
      </c>
      <c r="G81" s="493">
        <v>505.0</v>
      </c>
      <c r="H81" s="493">
        <v>0.81</v>
      </c>
      <c r="I81" s="493">
        <v>0.55</v>
      </c>
      <c r="J81" s="493">
        <v>0.63</v>
      </c>
      <c r="K81" s="493">
        <v>632.0</v>
      </c>
      <c r="L81" s="493">
        <v>114402.0</v>
      </c>
      <c r="M81" s="493">
        <v>0.0102</v>
      </c>
      <c r="N81" s="6">
        <v>1.2515</v>
      </c>
    </row>
    <row r="82">
      <c r="A82" s="491" t="s">
        <v>1884</v>
      </c>
      <c r="B82" s="491" t="s">
        <v>163</v>
      </c>
      <c r="C82" s="491" t="s">
        <v>69</v>
      </c>
      <c r="D82" s="491" t="s">
        <v>565</v>
      </c>
      <c r="E82" s="492" t="s">
        <v>43</v>
      </c>
      <c r="F82" s="493">
        <v>62131.0</v>
      </c>
      <c r="G82" s="493">
        <v>498.0</v>
      </c>
      <c r="H82" s="493">
        <v>0.8</v>
      </c>
      <c r="I82" s="493">
        <v>0.45</v>
      </c>
      <c r="J82" s="493">
        <v>0.48</v>
      </c>
      <c r="K82" s="493">
        <v>513.0</v>
      </c>
      <c r="L82" s="493">
        <v>114402.0</v>
      </c>
      <c r="M82" s="493">
        <v>0.0083</v>
      </c>
      <c r="N82" s="6">
        <v>1.0301</v>
      </c>
    </row>
    <row r="83">
      <c r="A83" s="491" t="s">
        <v>1884</v>
      </c>
      <c r="B83" s="491" t="s">
        <v>163</v>
      </c>
      <c r="C83" s="491" t="s">
        <v>69</v>
      </c>
      <c r="D83" s="491" t="s">
        <v>565</v>
      </c>
      <c r="E83" s="492" t="s">
        <v>368</v>
      </c>
      <c r="F83" s="493">
        <v>62131.0</v>
      </c>
      <c r="G83" s="493">
        <v>396.0</v>
      </c>
      <c r="H83" s="493">
        <v>0.64</v>
      </c>
      <c r="I83" s="493">
        <v>0.39</v>
      </c>
      <c r="J83" s="493">
        <v>0.36</v>
      </c>
      <c r="K83" s="493">
        <v>447.0</v>
      </c>
      <c r="L83" s="493">
        <v>114402.0</v>
      </c>
      <c r="M83" s="493">
        <v>0.0072</v>
      </c>
      <c r="N83" s="6">
        <v>1.1288</v>
      </c>
    </row>
    <row r="84">
      <c r="A84" s="491" t="s">
        <v>1884</v>
      </c>
      <c r="B84" s="491" t="s">
        <v>163</v>
      </c>
      <c r="C84" s="491" t="s">
        <v>69</v>
      </c>
      <c r="D84" s="491" t="s">
        <v>565</v>
      </c>
      <c r="E84" s="492" t="s">
        <v>50</v>
      </c>
      <c r="F84" s="493">
        <v>62131.0</v>
      </c>
      <c r="G84" s="493">
        <v>221.0</v>
      </c>
      <c r="H84" s="493">
        <v>0.36</v>
      </c>
      <c r="I84" s="493">
        <v>0.2</v>
      </c>
      <c r="J84" s="493">
        <v>0.26</v>
      </c>
      <c r="K84" s="493">
        <v>225.0</v>
      </c>
      <c r="L84" s="493">
        <v>114402.0</v>
      </c>
      <c r="M84" s="493">
        <v>0.0036</v>
      </c>
      <c r="N84" s="6">
        <v>1.0181</v>
      </c>
    </row>
    <row r="85">
      <c r="A85" s="491" t="s">
        <v>1884</v>
      </c>
      <c r="B85" s="491" t="s">
        <v>163</v>
      </c>
      <c r="C85" s="491" t="s">
        <v>69</v>
      </c>
      <c r="D85" s="491" t="s">
        <v>565</v>
      </c>
      <c r="E85" s="492" t="s">
        <v>366</v>
      </c>
      <c r="F85" s="493">
        <v>62131.0</v>
      </c>
      <c r="G85" s="493">
        <v>179.0</v>
      </c>
      <c r="H85" s="493">
        <v>0.29</v>
      </c>
      <c r="I85" s="493">
        <v>0.17</v>
      </c>
      <c r="J85" s="493">
        <v>0.19</v>
      </c>
      <c r="K85" s="493">
        <v>196.0</v>
      </c>
      <c r="L85" s="493">
        <v>114402.0</v>
      </c>
      <c r="M85" s="493">
        <v>0.0032</v>
      </c>
      <c r="N85" s="6">
        <v>1.095</v>
      </c>
    </row>
    <row r="86">
      <c r="A86" s="491" t="s">
        <v>1884</v>
      </c>
      <c r="B86" s="491" t="s">
        <v>163</v>
      </c>
      <c r="C86" s="491" t="s">
        <v>69</v>
      </c>
      <c r="D86" s="491" t="s">
        <v>565</v>
      </c>
      <c r="E86" s="492" t="s">
        <v>35</v>
      </c>
      <c r="F86" s="493">
        <v>62131.0</v>
      </c>
      <c r="G86" s="493">
        <v>165.0</v>
      </c>
      <c r="H86" s="493">
        <v>0.27</v>
      </c>
      <c r="I86" s="493">
        <v>0.16</v>
      </c>
      <c r="J86" s="493">
        <v>0.16</v>
      </c>
      <c r="K86" s="493">
        <v>180.0</v>
      </c>
      <c r="L86" s="493">
        <v>114402.0</v>
      </c>
      <c r="M86" s="493">
        <v>0.0029</v>
      </c>
      <c r="N86" s="6">
        <v>1.0909</v>
      </c>
    </row>
    <row r="87">
      <c r="A87" s="491" t="s">
        <v>1884</v>
      </c>
      <c r="B87" s="491" t="s">
        <v>163</v>
      </c>
      <c r="C87" s="491" t="s">
        <v>69</v>
      </c>
      <c r="D87" s="491" t="s">
        <v>565</v>
      </c>
      <c r="E87" s="492" t="s">
        <v>189</v>
      </c>
      <c r="F87" s="493">
        <v>62131.0</v>
      </c>
      <c r="G87" s="493">
        <v>148.0</v>
      </c>
      <c r="H87" s="493">
        <v>0.24</v>
      </c>
      <c r="I87" s="493">
        <v>0.13</v>
      </c>
      <c r="J87" s="493">
        <v>0.16</v>
      </c>
      <c r="K87" s="493">
        <v>154.0</v>
      </c>
      <c r="L87" s="493">
        <v>114402.0</v>
      </c>
      <c r="M87" s="493">
        <v>0.0025</v>
      </c>
      <c r="N87" s="6">
        <v>1.0405</v>
      </c>
    </row>
    <row r="88">
      <c r="A88" s="491" t="s">
        <v>1884</v>
      </c>
      <c r="B88" s="491" t="s">
        <v>163</v>
      </c>
      <c r="C88" s="491" t="s">
        <v>69</v>
      </c>
      <c r="D88" s="491" t="s">
        <v>565</v>
      </c>
      <c r="E88" s="492" t="s">
        <v>134</v>
      </c>
      <c r="F88" s="493">
        <v>62131.0</v>
      </c>
      <c r="G88" s="493">
        <v>90.0</v>
      </c>
      <c r="H88" s="493">
        <v>0.14</v>
      </c>
      <c r="I88" s="493">
        <v>0.09</v>
      </c>
      <c r="J88" s="493">
        <v>0.06</v>
      </c>
      <c r="K88" s="493">
        <v>102.0</v>
      </c>
      <c r="L88" s="493">
        <v>114402.0</v>
      </c>
      <c r="M88" s="493">
        <v>0.0016</v>
      </c>
      <c r="N88" s="6">
        <v>1.1333</v>
      </c>
    </row>
    <row r="89">
      <c r="A89" s="491" t="s">
        <v>1884</v>
      </c>
      <c r="B89" s="491" t="s">
        <v>163</v>
      </c>
      <c r="C89" s="491" t="s">
        <v>69</v>
      </c>
      <c r="D89" s="491" t="s">
        <v>565</v>
      </c>
      <c r="E89" s="492" t="s">
        <v>32</v>
      </c>
      <c r="F89" s="493">
        <v>62131.0</v>
      </c>
      <c r="G89" s="493">
        <v>17.0</v>
      </c>
      <c r="H89" s="493">
        <v>0.03</v>
      </c>
      <c r="I89" s="493">
        <v>0.02</v>
      </c>
      <c r="J89" s="493">
        <v>0.02</v>
      </c>
      <c r="K89" s="493">
        <v>20.0</v>
      </c>
      <c r="L89" s="493">
        <v>114402.0</v>
      </c>
      <c r="M89" s="493">
        <v>3.0E-4</v>
      </c>
      <c r="N89" s="6">
        <v>1.1765</v>
      </c>
    </row>
    <row r="90">
      <c r="A90" s="491" t="s">
        <v>1884</v>
      </c>
      <c r="B90" s="491" t="s">
        <v>163</v>
      </c>
      <c r="C90" s="491" t="s">
        <v>69</v>
      </c>
      <c r="D90" s="491" t="s">
        <v>565</v>
      </c>
      <c r="E90" s="492" t="s">
        <v>311</v>
      </c>
      <c r="F90" s="493">
        <v>62131.0</v>
      </c>
      <c r="G90" s="493">
        <v>2.0</v>
      </c>
      <c r="H90" s="493">
        <v>0.0</v>
      </c>
      <c r="I90" s="493">
        <v>0.0</v>
      </c>
      <c r="J90" s="493">
        <v>0.0</v>
      </c>
      <c r="K90" s="493">
        <v>2.0</v>
      </c>
      <c r="L90" s="493">
        <v>114402.0</v>
      </c>
      <c r="M90" s="493">
        <v>0.0</v>
      </c>
      <c r="N90" s="6">
        <v>1.0</v>
      </c>
    </row>
    <row r="91">
      <c r="A91" s="491" t="s">
        <v>1884</v>
      </c>
      <c r="B91" s="491" t="s">
        <v>163</v>
      </c>
      <c r="C91" s="491" t="s">
        <v>69</v>
      </c>
      <c r="D91" s="491" t="s">
        <v>565</v>
      </c>
      <c r="E91" s="492" t="s">
        <v>374</v>
      </c>
      <c r="F91" s="493">
        <v>62131.0</v>
      </c>
      <c r="G91" s="493">
        <v>1.0</v>
      </c>
      <c r="H91" s="493">
        <v>0.0</v>
      </c>
      <c r="I91" s="493">
        <v>0.0</v>
      </c>
      <c r="J91" s="493">
        <v>0.0</v>
      </c>
      <c r="K91" s="493">
        <v>2.0</v>
      </c>
      <c r="L91" s="493">
        <v>114402.0</v>
      </c>
      <c r="M91" s="493">
        <v>0.0</v>
      </c>
      <c r="N91" s="6">
        <v>2.0</v>
      </c>
    </row>
    <row r="92">
      <c r="A92" s="491" t="s">
        <v>1884</v>
      </c>
      <c r="B92" s="491" t="s">
        <v>163</v>
      </c>
      <c r="C92" s="491" t="s">
        <v>69</v>
      </c>
      <c r="D92" s="491" t="s">
        <v>565</v>
      </c>
      <c r="E92" s="492" t="s">
        <v>312</v>
      </c>
      <c r="F92" s="493">
        <v>62131.0</v>
      </c>
      <c r="G92" s="493">
        <v>3.0</v>
      </c>
      <c r="H92" s="493">
        <v>0.0</v>
      </c>
      <c r="I92" s="493">
        <v>0.0</v>
      </c>
      <c r="J92" s="493">
        <v>0.0</v>
      </c>
      <c r="K92" s="493">
        <v>3.0</v>
      </c>
      <c r="L92" s="493">
        <v>114402.0</v>
      </c>
      <c r="M92" s="493">
        <v>0.0</v>
      </c>
      <c r="N92" s="6">
        <v>1.0</v>
      </c>
    </row>
    <row r="93">
      <c r="A93" s="491" t="s">
        <v>1884</v>
      </c>
      <c r="B93" s="491" t="s">
        <v>163</v>
      </c>
      <c r="C93" s="491" t="s">
        <v>69</v>
      </c>
      <c r="D93" s="491" t="s">
        <v>565</v>
      </c>
      <c r="E93" s="492" t="s">
        <v>310</v>
      </c>
      <c r="F93" s="493">
        <v>62131.0</v>
      </c>
      <c r="G93" s="493">
        <v>2.0</v>
      </c>
      <c r="H93" s="493">
        <v>0.0</v>
      </c>
      <c r="I93" s="493">
        <v>0.0</v>
      </c>
      <c r="J93" s="493">
        <v>0.0</v>
      </c>
      <c r="K93" s="493">
        <v>5.0</v>
      </c>
      <c r="L93" s="493">
        <v>114402.0</v>
      </c>
      <c r="M93" s="493">
        <v>1.0E-4</v>
      </c>
      <c r="N93" s="6">
        <v>2.5</v>
      </c>
    </row>
    <row r="94">
      <c r="A94" s="491" t="s">
        <v>1884</v>
      </c>
      <c r="B94" s="491" t="s">
        <v>163</v>
      </c>
      <c r="C94" s="491" t="s">
        <v>73</v>
      </c>
      <c r="D94" s="491" t="s">
        <v>565</v>
      </c>
      <c r="E94" s="492" t="s">
        <v>367</v>
      </c>
      <c r="F94" s="493">
        <v>66209.0</v>
      </c>
      <c r="G94" s="493">
        <v>40170.0</v>
      </c>
      <c r="H94" s="493">
        <v>60.67</v>
      </c>
      <c r="I94" s="493">
        <v>50.4</v>
      </c>
      <c r="J94" s="493">
        <v>47.95</v>
      </c>
      <c r="K94" s="493">
        <v>81543.0</v>
      </c>
      <c r="L94" s="493">
        <v>161786.0</v>
      </c>
      <c r="M94" s="493">
        <v>1.2316</v>
      </c>
      <c r="N94" s="6">
        <v>2.0299</v>
      </c>
    </row>
    <row r="95">
      <c r="A95" s="491" t="s">
        <v>1884</v>
      </c>
      <c r="B95" s="491" t="s">
        <v>163</v>
      </c>
      <c r="C95" s="491" t="s">
        <v>73</v>
      </c>
      <c r="D95" s="491" t="s">
        <v>565</v>
      </c>
      <c r="E95" s="492" t="s">
        <v>365</v>
      </c>
      <c r="F95" s="493">
        <v>66209.0</v>
      </c>
      <c r="G95" s="493">
        <v>10581.0</v>
      </c>
      <c r="H95" s="493">
        <v>15.98</v>
      </c>
      <c r="I95" s="493">
        <v>13.82</v>
      </c>
      <c r="J95" s="493">
        <v>9.61</v>
      </c>
      <c r="K95" s="493">
        <v>22353.0</v>
      </c>
      <c r="L95" s="493">
        <v>161786.0</v>
      </c>
      <c r="M95" s="493">
        <v>0.3376</v>
      </c>
      <c r="N95" s="6">
        <v>2.1126</v>
      </c>
    </row>
    <row r="96">
      <c r="A96" s="491" t="s">
        <v>1884</v>
      </c>
      <c r="B96" s="491" t="s">
        <v>163</v>
      </c>
      <c r="C96" s="491" t="s">
        <v>73</v>
      </c>
      <c r="D96" s="491" t="s">
        <v>565</v>
      </c>
      <c r="E96" s="492" t="s">
        <v>42</v>
      </c>
      <c r="F96" s="493">
        <v>66209.0</v>
      </c>
      <c r="G96" s="493">
        <v>14196.0</v>
      </c>
      <c r="H96" s="493">
        <v>21.44</v>
      </c>
      <c r="I96" s="493">
        <v>11.82</v>
      </c>
      <c r="J96" s="493">
        <v>13.8</v>
      </c>
      <c r="K96" s="493">
        <v>19125.0</v>
      </c>
      <c r="L96" s="493">
        <v>161786.0</v>
      </c>
      <c r="M96" s="493">
        <v>0.2889</v>
      </c>
      <c r="N96" s="6">
        <v>1.3472</v>
      </c>
    </row>
    <row r="97">
      <c r="A97" s="491" t="s">
        <v>1884</v>
      </c>
      <c r="B97" s="491" t="s">
        <v>163</v>
      </c>
      <c r="C97" s="491" t="s">
        <v>73</v>
      </c>
      <c r="D97" s="491" t="s">
        <v>565</v>
      </c>
      <c r="E97" s="492" t="s">
        <v>40</v>
      </c>
      <c r="F97" s="493">
        <v>66209.0</v>
      </c>
      <c r="G97" s="493">
        <v>2942.0</v>
      </c>
      <c r="H97" s="493">
        <v>4.44</v>
      </c>
      <c r="I97" s="493">
        <v>5.04</v>
      </c>
      <c r="J97" s="493">
        <v>3.32</v>
      </c>
      <c r="K97" s="493">
        <v>8146.0</v>
      </c>
      <c r="L97" s="493">
        <v>161786.0</v>
      </c>
      <c r="M97" s="493">
        <v>0.123</v>
      </c>
      <c r="N97" s="6">
        <v>2.7689</v>
      </c>
    </row>
    <row r="98">
      <c r="A98" s="491" t="s">
        <v>1884</v>
      </c>
      <c r="B98" s="491" t="s">
        <v>163</v>
      </c>
      <c r="C98" s="491" t="s">
        <v>73</v>
      </c>
      <c r="D98" s="491" t="s">
        <v>565</v>
      </c>
      <c r="E98" s="492" t="s">
        <v>372</v>
      </c>
      <c r="F98" s="493">
        <v>66209.0</v>
      </c>
      <c r="G98" s="493">
        <v>5621.0</v>
      </c>
      <c r="H98" s="493">
        <v>8.49</v>
      </c>
      <c r="I98" s="493">
        <v>4.46</v>
      </c>
      <c r="J98" s="493">
        <v>5.42</v>
      </c>
      <c r="K98" s="493">
        <v>7216.0</v>
      </c>
      <c r="L98" s="493">
        <v>161786.0</v>
      </c>
      <c r="M98" s="493">
        <v>0.109</v>
      </c>
      <c r="N98" s="6">
        <v>1.2838</v>
      </c>
    </row>
    <row r="99">
      <c r="A99" s="491" t="s">
        <v>1884</v>
      </c>
      <c r="B99" s="491" t="s">
        <v>163</v>
      </c>
      <c r="C99" s="491" t="s">
        <v>73</v>
      </c>
      <c r="D99" s="491" t="s">
        <v>565</v>
      </c>
      <c r="E99" s="492" t="s">
        <v>370</v>
      </c>
      <c r="F99" s="493">
        <v>66209.0</v>
      </c>
      <c r="G99" s="493">
        <v>4431.0</v>
      </c>
      <c r="H99" s="493">
        <v>6.69</v>
      </c>
      <c r="I99" s="493">
        <v>3.25</v>
      </c>
      <c r="J99" s="493">
        <v>3.84</v>
      </c>
      <c r="K99" s="493">
        <v>5263.0</v>
      </c>
      <c r="L99" s="493">
        <v>161786.0</v>
      </c>
      <c r="M99" s="493">
        <v>0.0795</v>
      </c>
      <c r="N99" s="6">
        <v>1.1878</v>
      </c>
    </row>
    <row r="100">
      <c r="A100" s="491" t="s">
        <v>1884</v>
      </c>
      <c r="B100" s="491" t="s">
        <v>163</v>
      </c>
      <c r="C100" s="491" t="s">
        <v>73</v>
      </c>
      <c r="D100" s="491" t="s">
        <v>565</v>
      </c>
      <c r="E100" s="492" t="s">
        <v>32</v>
      </c>
      <c r="F100" s="493">
        <v>66209.0</v>
      </c>
      <c r="G100" s="493">
        <v>3667.0</v>
      </c>
      <c r="H100" s="493">
        <v>5.54</v>
      </c>
      <c r="I100" s="493">
        <v>2.38</v>
      </c>
      <c r="J100" s="493">
        <v>3.53</v>
      </c>
      <c r="K100" s="493">
        <v>3853.0</v>
      </c>
      <c r="L100" s="493">
        <v>161786.0</v>
      </c>
      <c r="M100" s="493">
        <v>0.0582</v>
      </c>
      <c r="N100" s="6">
        <v>1.0507</v>
      </c>
    </row>
    <row r="101">
      <c r="A101" s="491" t="s">
        <v>1884</v>
      </c>
      <c r="B101" s="491" t="s">
        <v>163</v>
      </c>
      <c r="C101" s="491" t="s">
        <v>73</v>
      </c>
      <c r="D101" s="491" t="s">
        <v>565</v>
      </c>
      <c r="E101" s="492" t="s">
        <v>312</v>
      </c>
      <c r="F101" s="493">
        <v>66209.0</v>
      </c>
      <c r="G101" s="493">
        <v>3283.0</v>
      </c>
      <c r="H101" s="493">
        <v>4.96</v>
      </c>
      <c r="I101" s="493">
        <v>2.18</v>
      </c>
      <c r="J101" s="493">
        <v>3.03</v>
      </c>
      <c r="K101" s="493">
        <v>3535.0</v>
      </c>
      <c r="L101" s="493">
        <v>161786.0</v>
      </c>
      <c r="M101" s="493">
        <v>0.0534</v>
      </c>
      <c r="N101" s="6">
        <v>1.0768</v>
      </c>
    </row>
    <row r="102">
      <c r="A102" s="491" t="s">
        <v>1884</v>
      </c>
      <c r="B102" s="491" t="s">
        <v>163</v>
      </c>
      <c r="C102" s="491" t="s">
        <v>73</v>
      </c>
      <c r="D102" s="491" t="s">
        <v>565</v>
      </c>
      <c r="E102" s="492" t="s">
        <v>310</v>
      </c>
      <c r="F102" s="493">
        <v>66209.0</v>
      </c>
      <c r="G102" s="493">
        <v>3271.0</v>
      </c>
      <c r="H102" s="493">
        <v>4.94</v>
      </c>
      <c r="I102" s="493">
        <v>2.14</v>
      </c>
      <c r="J102" s="493">
        <v>3.32</v>
      </c>
      <c r="K102" s="493">
        <v>3468.0</v>
      </c>
      <c r="L102" s="493">
        <v>161786.0</v>
      </c>
      <c r="M102" s="493">
        <v>0.0524</v>
      </c>
      <c r="N102" s="6">
        <v>1.0602</v>
      </c>
    </row>
    <row r="103">
      <c r="A103" s="491" t="s">
        <v>1884</v>
      </c>
      <c r="B103" s="491" t="s">
        <v>163</v>
      </c>
      <c r="C103" s="491" t="s">
        <v>73</v>
      </c>
      <c r="D103" s="491" t="s">
        <v>565</v>
      </c>
      <c r="E103" s="492" t="s">
        <v>44</v>
      </c>
      <c r="F103" s="493">
        <v>66209.0</v>
      </c>
      <c r="G103" s="493">
        <v>2351.0</v>
      </c>
      <c r="H103" s="493">
        <v>3.55</v>
      </c>
      <c r="I103" s="493">
        <v>1.56</v>
      </c>
      <c r="J103" s="493">
        <v>1.77</v>
      </c>
      <c r="K103" s="493">
        <v>2520.0</v>
      </c>
      <c r="L103" s="493">
        <v>161786.0</v>
      </c>
      <c r="M103" s="493">
        <v>0.0381</v>
      </c>
      <c r="N103" s="6">
        <v>1.0719</v>
      </c>
    </row>
    <row r="104">
      <c r="A104" s="491" t="s">
        <v>1884</v>
      </c>
      <c r="B104" s="491" t="s">
        <v>163</v>
      </c>
      <c r="C104" s="491" t="s">
        <v>73</v>
      </c>
      <c r="D104" s="491" t="s">
        <v>565</v>
      </c>
      <c r="E104" s="492" t="s">
        <v>50</v>
      </c>
      <c r="F104" s="493">
        <v>66209.0</v>
      </c>
      <c r="G104" s="493">
        <v>1493.0</v>
      </c>
      <c r="H104" s="493">
        <v>2.25</v>
      </c>
      <c r="I104" s="493">
        <v>0.97</v>
      </c>
      <c r="J104" s="493">
        <v>1.54</v>
      </c>
      <c r="K104" s="493">
        <v>1566.0</v>
      </c>
      <c r="L104" s="493">
        <v>161786.0</v>
      </c>
      <c r="M104" s="493">
        <v>0.0237</v>
      </c>
      <c r="N104" s="6">
        <v>1.0489</v>
      </c>
    </row>
    <row r="105">
      <c r="A105" s="491" t="s">
        <v>1884</v>
      </c>
      <c r="B105" s="491" t="s">
        <v>163</v>
      </c>
      <c r="C105" s="491" t="s">
        <v>73</v>
      </c>
      <c r="D105" s="491" t="s">
        <v>565</v>
      </c>
      <c r="E105" s="492" t="s">
        <v>311</v>
      </c>
      <c r="F105" s="493">
        <v>66209.0</v>
      </c>
      <c r="G105" s="493">
        <v>902.0</v>
      </c>
      <c r="H105" s="493">
        <v>1.36</v>
      </c>
      <c r="I105" s="493">
        <v>0.58</v>
      </c>
      <c r="J105" s="493">
        <v>0.94</v>
      </c>
      <c r="K105" s="493">
        <v>935.0</v>
      </c>
      <c r="L105" s="493">
        <v>161786.0</v>
      </c>
      <c r="M105" s="493">
        <v>0.0141</v>
      </c>
      <c r="N105" s="6">
        <v>1.0366</v>
      </c>
    </row>
    <row r="106">
      <c r="A106" s="491" t="s">
        <v>1884</v>
      </c>
      <c r="B106" s="491" t="s">
        <v>163</v>
      </c>
      <c r="C106" s="491" t="s">
        <v>73</v>
      </c>
      <c r="D106" s="491" t="s">
        <v>565</v>
      </c>
      <c r="E106" s="492" t="s">
        <v>371</v>
      </c>
      <c r="F106" s="493">
        <v>66209.0</v>
      </c>
      <c r="G106" s="493">
        <v>775.0</v>
      </c>
      <c r="H106" s="493">
        <v>1.17</v>
      </c>
      <c r="I106" s="493">
        <v>0.54</v>
      </c>
      <c r="J106" s="493">
        <v>0.82</v>
      </c>
      <c r="K106" s="493">
        <v>868.0</v>
      </c>
      <c r="L106" s="493">
        <v>161786.0</v>
      </c>
      <c r="M106" s="493">
        <v>0.0131</v>
      </c>
      <c r="N106" s="6">
        <v>1.12</v>
      </c>
    </row>
    <row r="107">
      <c r="A107" s="491" t="s">
        <v>1884</v>
      </c>
      <c r="B107" s="491" t="s">
        <v>163</v>
      </c>
      <c r="C107" s="491" t="s">
        <v>73</v>
      </c>
      <c r="D107" s="491" t="s">
        <v>565</v>
      </c>
      <c r="E107" s="492" t="s">
        <v>366</v>
      </c>
      <c r="F107" s="493">
        <v>66209.0</v>
      </c>
      <c r="G107" s="493">
        <v>468.0</v>
      </c>
      <c r="H107" s="493">
        <v>0.71</v>
      </c>
      <c r="I107" s="493">
        <v>0.34</v>
      </c>
      <c r="J107" s="493">
        <v>0.49</v>
      </c>
      <c r="K107" s="493">
        <v>546.0</v>
      </c>
      <c r="L107" s="493">
        <v>161786.0</v>
      </c>
      <c r="M107" s="493">
        <v>0.0082</v>
      </c>
      <c r="N107" s="6">
        <v>1.1667</v>
      </c>
    </row>
    <row r="108">
      <c r="A108" s="491" t="s">
        <v>1884</v>
      </c>
      <c r="B108" s="491" t="s">
        <v>163</v>
      </c>
      <c r="C108" s="491" t="s">
        <v>73</v>
      </c>
      <c r="D108" s="491" t="s">
        <v>565</v>
      </c>
      <c r="E108" s="492" t="s">
        <v>43</v>
      </c>
      <c r="F108" s="493">
        <v>66209.0</v>
      </c>
      <c r="G108" s="493">
        <v>479.0</v>
      </c>
      <c r="H108" s="493">
        <v>0.72</v>
      </c>
      <c r="I108" s="493">
        <v>0.31</v>
      </c>
      <c r="J108" s="493">
        <v>0.39</v>
      </c>
      <c r="K108" s="493">
        <v>501.0</v>
      </c>
      <c r="L108" s="493">
        <v>161786.0</v>
      </c>
      <c r="M108" s="493">
        <v>0.0076</v>
      </c>
      <c r="N108" s="6">
        <v>1.0459</v>
      </c>
    </row>
    <row r="109">
      <c r="A109" s="491" t="s">
        <v>1884</v>
      </c>
      <c r="B109" s="491" t="s">
        <v>163</v>
      </c>
      <c r="C109" s="491" t="s">
        <v>73</v>
      </c>
      <c r="D109" s="491" t="s">
        <v>565</v>
      </c>
      <c r="E109" s="492" t="s">
        <v>134</v>
      </c>
      <c r="F109" s="493">
        <v>66209.0</v>
      </c>
      <c r="G109" s="493">
        <v>242.0</v>
      </c>
      <c r="H109" s="493">
        <v>0.37</v>
      </c>
      <c r="I109" s="493">
        <v>0.18</v>
      </c>
      <c r="J109" s="493">
        <v>0.19</v>
      </c>
      <c r="K109" s="493">
        <v>293.0</v>
      </c>
      <c r="L109" s="493">
        <v>161786.0</v>
      </c>
      <c r="M109" s="493">
        <v>0.0044</v>
      </c>
      <c r="N109" s="6">
        <v>1.2107</v>
      </c>
    </row>
    <row r="110">
      <c r="A110" s="491" t="s">
        <v>1884</v>
      </c>
      <c r="B110" s="491" t="s">
        <v>163</v>
      </c>
      <c r="C110" s="491" t="s">
        <v>73</v>
      </c>
      <c r="D110" s="491" t="s">
        <v>565</v>
      </c>
      <c r="E110" s="492" t="s">
        <v>35</v>
      </c>
      <c r="F110" s="493">
        <v>66209.0</v>
      </c>
      <c r="G110" s="493">
        <v>34.0</v>
      </c>
      <c r="H110" s="493">
        <v>0.05</v>
      </c>
      <c r="I110" s="493">
        <v>0.02</v>
      </c>
      <c r="J110" s="493">
        <v>0.02</v>
      </c>
      <c r="K110" s="493">
        <v>35.0</v>
      </c>
      <c r="L110" s="493">
        <v>161786.0</v>
      </c>
      <c r="M110" s="493">
        <v>5.0E-4</v>
      </c>
      <c r="N110" s="6">
        <v>1.0294</v>
      </c>
    </row>
    <row r="111">
      <c r="A111" s="491" t="s">
        <v>1884</v>
      </c>
      <c r="B111" s="491" t="s">
        <v>163</v>
      </c>
      <c r="C111" s="491" t="s">
        <v>73</v>
      </c>
      <c r="D111" s="491" t="s">
        <v>565</v>
      </c>
      <c r="E111" s="492" t="s">
        <v>189</v>
      </c>
      <c r="F111" s="493">
        <v>66209.0</v>
      </c>
      <c r="G111" s="493">
        <v>10.0</v>
      </c>
      <c r="H111" s="493">
        <v>0.02</v>
      </c>
      <c r="I111" s="493">
        <v>0.01</v>
      </c>
      <c r="J111" s="493">
        <v>0.01</v>
      </c>
      <c r="K111" s="493">
        <v>11.0</v>
      </c>
      <c r="L111" s="493">
        <v>161786.0</v>
      </c>
      <c r="M111" s="493">
        <v>2.0E-4</v>
      </c>
      <c r="N111" s="6">
        <v>1.1</v>
      </c>
    </row>
    <row r="112">
      <c r="A112" s="491" t="s">
        <v>1884</v>
      </c>
      <c r="B112" s="491" t="s">
        <v>163</v>
      </c>
      <c r="C112" s="491" t="s">
        <v>73</v>
      </c>
      <c r="D112" s="491" t="s">
        <v>565</v>
      </c>
      <c r="E112" s="492" t="s">
        <v>368</v>
      </c>
      <c r="F112" s="493">
        <v>66209.0</v>
      </c>
      <c r="G112" s="493">
        <v>5.0</v>
      </c>
      <c r="H112" s="493">
        <v>0.01</v>
      </c>
      <c r="I112" s="493">
        <v>0.0</v>
      </c>
      <c r="J112" s="493">
        <v>0.01</v>
      </c>
      <c r="K112" s="493">
        <v>8.0</v>
      </c>
      <c r="L112" s="493">
        <v>161786.0</v>
      </c>
      <c r="M112" s="493">
        <v>1.0E-4</v>
      </c>
      <c r="N112" s="6">
        <v>1.6</v>
      </c>
    </row>
    <row r="113">
      <c r="A113" s="491" t="s">
        <v>1884</v>
      </c>
      <c r="B113" s="491" t="s">
        <v>163</v>
      </c>
      <c r="C113" s="491" t="s">
        <v>73</v>
      </c>
      <c r="D113" s="491" t="s">
        <v>565</v>
      </c>
      <c r="E113" s="492" t="s">
        <v>46</v>
      </c>
      <c r="F113" s="493">
        <v>66209.0</v>
      </c>
      <c r="G113" s="493">
        <v>1.0</v>
      </c>
      <c r="H113" s="493">
        <v>0.0</v>
      </c>
      <c r="I113" s="493">
        <v>0.0</v>
      </c>
      <c r="J113" s="493">
        <v>0.0</v>
      </c>
      <c r="K113" s="493">
        <v>1.0</v>
      </c>
      <c r="L113" s="493">
        <v>161786.0</v>
      </c>
      <c r="M113" s="493">
        <v>0.0</v>
      </c>
      <c r="N113" s="6">
        <v>1.0</v>
      </c>
    </row>
    <row r="114">
      <c r="A114" s="491" t="s">
        <v>1884</v>
      </c>
      <c r="B114" s="491" t="s">
        <v>163</v>
      </c>
      <c r="C114" s="491" t="s">
        <v>72</v>
      </c>
      <c r="D114" s="491" t="s">
        <v>565</v>
      </c>
      <c r="E114" s="492" t="s">
        <v>367</v>
      </c>
      <c r="F114" s="493">
        <v>81035.0</v>
      </c>
      <c r="G114" s="493">
        <v>50777.0</v>
      </c>
      <c r="H114" s="493">
        <v>62.66</v>
      </c>
      <c r="I114" s="493">
        <v>53.35</v>
      </c>
      <c r="J114" s="493">
        <v>46.98</v>
      </c>
      <c r="K114" s="493">
        <v>118275.0</v>
      </c>
      <c r="L114" s="493">
        <v>221691.0</v>
      </c>
      <c r="M114" s="493">
        <v>1.4596</v>
      </c>
      <c r="N114" s="6">
        <v>2.3293</v>
      </c>
    </row>
    <row r="115">
      <c r="A115" s="491" t="s">
        <v>1884</v>
      </c>
      <c r="B115" s="491" t="s">
        <v>163</v>
      </c>
      <c r="C115" s="491" t="s">
        <v>72</v>
      </c>
      <c r="D115" s="491" t="s">
        <v>565</v>
      </c>
      <c r="E115" s="492" t="s">
        <v>365</v>
      </c>
      <c r="F115" s="493">
        <v>81035.0</v>
      </c>
      <c r="G115" s="493">
        <v>10624.0</v>
      </c>
      <c r="H115" s="493">
        <v>13.11</v>
      </c>
      <c r="I115" s="493">
        <v>9.96</v>
      </c>
      <c r="J115" s="493">
        <v>6.7</v>
      </c>
      <c r="K115" s="493">
        <v>22076.0</v>
      </c>
      <c r="L115" s="493">
        <v>221691.0</v>
      </c>
      <c r="M115" s="493">
        <v>0.2724</v>
      </c>
      <c r="N115" s="6">
        <v>2.0779</v>
      </c>
    </row>
    <row r="116">
      <c r="A116" s="491" t="s">
        <v>1884</v>
      </c>
      <c r="B116" s="491" t="s">
        <v>163</v>
      </c>
      <c r="C116" s="491" t="s">
        <v>72</v>
      </c>
      <c r="D116" s="491" t="s">
        <v>565</v>
      </c>
      <c r="E116" s="492" t="s">
        <v>40</v>
      </c>
      <c r="F116" s="493">
        <v>81035.0</v>
      </c>
      <c r="G116" s="493">
        <v>11598.0</v>
      </c>
      <c r="H116" s="493">
        <v>14.31</v>
      </c>
      <c r="I116" s="493">
        <v>8.16</v>
      </c>
      <c r="J116" s="493">
        <v>8.65</v>
      </c>
      <c r="K116" s="493">
        <v>18095.0</v>
      </c>
      <c r="L116" s="493">
        <v>221691.0</v>
      </c>
      <c r="M116" s="493">
        <v>0.2233</v>
      </c>
      <c r="N116" s="6">
        <v>1.5602</v>
      </c>
    </row>
    <row r="117">
      <c r="A117" s="491" t="s">
        <v>1884</v>
      </c>
      <c r="B117" s="491" t="s">
        <v>163</v>
      </c>
      <c r="C117" s="491" t="s">
        <v>72</v>
      </c>
      <c r="D117" s="491" t="s">
        <v>565</v>
      </c>
      <c r="E117" s="492" t="s">
        <v>42</v>
      </c>
      <c r="F117" s="493">
        <v>81035.0</v>
      </c>
      <c r="G117" s="493">
        <v>12113.0</v>
      </c>
      <c r="H117" s="493">
        <v>14.95</v>
      </c>
      <c r="I117" s="493">
        <v>7.12</v>
      </c>
      <c r="J117" s="493">
        <v>8.12</v>
      </c>
      <c r="K117" s="493">
        <v>15776.0</v>
      </c>
      <c r="L117" s="493">
        <v>221691.0</v>
      </c>
      <c r="M117" s="493">
        <v>0.1947</v>
      </c>
      <c r="N117" s="6">
        <v>1.3024</v>
      </c>
    </row>
    <row r="118">
      <c r="A118" s="491" t="s">
        <v>1884</v>
      </c>
      <c r="B118" s="491" t="s">
        <v>163</v>
      </c>
      <c r="C118" s="491" t="s">
        <v>72</v>
      </c>
      <c r="D118" s="491" t="s">
        <v>565</v>
      </c>
      <c r="E118" s="492" t="s">
        <v>370</v>
      </c>
      <c r="F118" s="493">
        <v>81035.0</v>
      </c>
      <c r="G118" s="493">
        <v>8398.0</v>
      </c>
      <c r="H118" s="493">
        <v>10.36</v>
      </c>
      <c r="I118" s="493">
        <v>4.22</v>
      </c>
      <c r="J118" s="493">
        <v>5.6</v>
      </c>
      <c r="K118" s="493">
        <v>9354.0</v>
      </c>
      <c r="L118" s="493">
        <v>221691.0</v>
      </c>
      <c r="M118" s="493">
        <v>0.1154</v>
      </c>
      <c r="N118" s="6">
        <v>1.1138</v>
      </c>
    </row>
    <row r="119">
      <c r="A119" s="491" t="s">
        <v>1884</v>
      </c>
      <c r="B119" s="491" t="s">
        <v>163</v>
      </c>
      <c r="C119" s="491" t="s">
        <v>72</v>
      </c>
      <c r="D119" s="491" t="s">
        <v>565</v>
      </c>
      <c r="E119" s="492" t="s">
        <v>32</v>
      </c>
      <c r="F119" s="493">
        <v>81035.0</v>
      </c>
      <c r="G119" s="493">
        <v>8569.0</v>
      </c>
      <c r="H119" s="493">
        <v>10.57</v>
      </c>
      <c r="I119" s="493">
        <v>4.1</v>
      </c>
      <c r="J119" s="493">
        <v>5.82</v>
      </c>
      <c r="K119" s="493">
        <v>9095.0</v>
      </c>
      <c r="L119" s="493">
        <v>221691.0</v>
      </c>
      <c r="M119" s="493">
        <v>0.1122</v>
      </c>
      <c r="N119" s="6">
        <v>1.0614</v>
      </c>
    </row>
    <row r="120">
      <c r="A120" s="491" t="s">
        <v>1884</v>
      </c>
      <c r="B120" s="491" t="s">
        <v>163</v>
      </c>
      <c r="C120" s="491" t="s">
        <v>72</v>
      </c>
      <c r="D120" s="491" t="s">
        <v>565</v>
      </c>
      <c r="E120" s="492" t="s">
        <v>310</v>
      </c>
      <c r="F120" s="493">
        <v>81035.0</v>
      </c>
      <c r="G120" s="493">
        <v>7240.0</v>
      </c>
      <c r="H120" s="493">
        <v>8.93</v>
      </c>
      <c r="I120" s="493">
        <v>3.49</v>
      </c>
      <c r="J120" s="493">
        <v>5.11</v>
      </c>
      <c r="K120" s="493">
        <v>7734.0</v>
      </c>
      <c r="L120" s="493">
        <v>221691.0</v>
      </c>
      <c r="M120" s="493">
        <v>0.0954</v>
      </c>
      <c r="N120" s="6">
        <v>1.0682</v>
      </c>
    </row>
    <row r="121">
      <c r="A121" s="491" t="s">
        <v>1884</v>
      </c>
      <c r="B121" s="491" t="s">
        <v>163</v>
      </c>
      <c r="C121" s="491" t="s">
        <v>72</v>
      </c>
      <c r="D121" s="491" t="s">
        <v>565</v>
      </c>
      <c r="E121" s="492" t="s">
        <v>312</v>
      </c>
      <c r="F121" s="493">
        <v>81035.0</v>
      </c>
      <c r="G121" s="493">
        <v>6895.0</v>
      </c>
      <c r="H121" s="493">
        <v>8.51</v>
      </c>
      <c r="I121" s="493">
        <v>3.34</v>
      </c>
      <c r="J121" s="493">
        <v>4.73</v>
      </c>
      <c r="K121" s="493">
        <v>7396.0</v>
      </c>
      <c r="L121" s="493">
        <v>221691.0</v>
      </c>
      <c r="M121" s="493">
        <v>0.0913</v>
      </c>
      <c r="N121" s="6">
        <v>1.0727</v>
      </c>
    </row>
    <row r="122">
      <c r="A122" s="491" t="s">
        <v>1884</v>
      </c>
      <c r="B122" s="491" t="s">
        <v>163</v>
      </c>
      <c r="C122" s="491" t="s">
        <v>72</v>
      </c>
      <c r="D122" s="491" t="s">
        <v>565</v>
      </c>
      <c r="E122" s="492" t="s">
        <v>49</v>
      </c>
      <c r="F122" s="493">
        <v>81035.0</v>
      </c>
      <c r="G122" s="493">
        <v>4522.0</v>
      </c>
      <c r="H122" s="493">
        <v>5.58</v>
      </c>
      <c r="I122" s="493">
        <v>2.24</v>
      </c>
      <c r="J122" s="493">
        <v>2.65</v>
      </c>
      <c r="K122" s="493">
        <v>4976.0</v>
      </c>
      <c r="L122" s="493">
        <v>221691.0</v>
      </c>
      <c r="M122" s="493">
        <v>0.0614</v>
      </c>
      <c r="N122" s="6">
        <v>1.1004</v>
      </c>
    </row>
    <row r="123">
      <c r="A123" s="491" t="s">
        <v>1884</v>
      </c>
      <c r="B123" s="491" t="s">
        <v>163</v>
      </c>
      <c r="C123" s="491" t="s">
        <v>72</v>
      </c>
      <c r="D123" s="491" t="s">
        <v>565</v>
      </c>
      <c r="E123" s="492" t="s">
        <v>311</v>
      </c>
      <c r="F123" s="493">
        <v>81035.0</v>
      </c>
      <c r="G123" s="493">
        <v>1992.0</v>
      </c>
      <c r="H123" s="493">
        <v>2.46</v>
      </c>
      <c r="I123" s="493">
        <v>0.94</v>
      </c>
      <c r="J123" s="493">
        <v>1.39</v>
      </c>
      <c r="K123" s="493">
        <v>2083.0</v>
      </c>
      <c r="L123" s="493">
        <v>221691.0</v>
      </c>
      <c r="M123" s="493">
        <v>0.0257</v>
      </c>
      <c r="N123" s="6">
        <v>1.0457</v>
      </c>
    </row>
    <row r="124">
      <c r="A124" s="491" t="s">
        <v>1884</v>
      </c>
      <c r="B124" s="491" t="s">
        <v>163</v>
      </c>
      <c r="C124" s="491" t="s">
        <v>72</v>
      </c>
      <c r="D124" s="491" t="s">
        <v>565</v>
      </c>
      <c r="E124" s="492" t="s">
        <v>372</v>
      </c>
      <c r="F124" s="493">
        <v>81035.0</v>
      </c>
      <c r="G124" s="493">
        <v>1484.0</v>
      </c>
      <c r="H124" s="493">
        <v>1.83</v>
      </c>
      <c r="I124" s="493">
        <v>0.84</v>
      </c>
      <c r="J124" s="493">
        <v>1.08</v>
      </c>
      <c r="K124" s="493">
        <v>1871.0</v>
      </c>
      <c r="L124" s="493">
        <v>221691.0</v>
      </c>
      <c r="M124" s="493">
        <v>0.0231</v>
      </c>
      <c r="N124" s="6">
        <v>1.2608</v>
      </c>
    </row>
    <row r="125">
      <c r="A125" s="491" t="s">
        <v>1884</v>
      </c>
      <c r="B125" s="491" t="s">
        <v>163</v>
      </c>
      <c r="C125" s="491" t="s">
        <v>72</v>
      </c>
      <c r="D125" s="491" t="s">
        <v>565</v>
      </c>
      <c r="E125" s="492" t="s">
        <v>50</v>
      </c>
      <c r="F125" s="493">
        <v>81035.0</v>
      </c>
      <c r="G125" s="493">
        <v>1465.0</v>
      </c>
      <c r="H125" s="493">
        <v>1.81</v>
      </c>
      <c r="I125" s="493">
        <v>0.68</v>
      </c>
      <c r="J125" s="493">
        <v>1.11</v>
      </c>
      <c r="K125" s="493">
        <v>1518.0</v>
      </c>
      <c r="L125" s="493">
        <v>221691.0</v>
      </c>
      <c r="M125" s="493">
        <v>0.0187</v>
      </c>
      <c r="N125" s="6">
        <v>1.0362</v>
      </c>
    </row>
    <row r="126">
      <c r="A126" s="491" t="s">
        <v>1884</v>
      </c>
      <c r="B126" s="491" t="s">
        <v>163</v>
      </c>
      <c r="C126" s="491" t="s">
        <v>72</v>
      </c>
      <c r="D126" s="491" t="s">
        <v>565</v>
      </c>
      <c r="E126" s="492" t="s">
        <v>43</v>
      </c>
      <c r="F126" s="493">
        <v>81035.0</v>
      </c>
      <c r="G126" s="493">
        <v>885.0</v>
      </c>
      <c r="H126" s="493">
        <v>1.09</v>
      </c>
      <c r="I126" s="493">
        <v>0.42</v>
      </c>
      <c r="J126" s="493">
        <v>0.52</v>
      </c>
      <c r="K126" s="493">
        <v>923.0</v>
      </c>
      <c r="L126" s="493">
        <v>221691.0</v>
      </c>
      <c r="M126" s="493">
        <v>0.0114</v>
      </c>
      <c r="N126" s="6">
        <v>1.0429</v>
      </c>
    </row>
    <row r="127">
      <c r="A127" s="491" t="s">
        <v>1884</v>
      </c>
      <c r="B127" s="491" t="s">
        <v>163</v>
      </c>
      <c r="C127" s="491" t="s">
        <v>72</v>
      </c>
      <c r="D127" s="491" t="s">
        <v>565</v>
      </c>
      <c r="E127" s="492" t="s">
        <v>44</v>
      </c>
      <c r="F127" s="493">
        <v>81035.0</v>
      </c>
      <c r="G127" s="493">
        <v>815.0</v>
      </c>
      <c r="H127" s="493">
        <v>1.01</v>
      </c>
      <c r="I127" s="493">
        <v>0.39</v>
      </c>
      <c r="J127" s="493">
        <v>0.52</v>
      </c>
      <c r="K127" s="493">
        <v>874.0</v>
      </c>
      <c r="L127" s="493">
        <v>221691.0</v>
      </c>
      <c r="M127" s="493">
        <v>0.0108</v>
      </c>
      <c r="N127" s="6">
        <v>1.0724</v>
      </c>
    </row>
    <row r="128">
      <c r="A128" s="491" t="s">
        <v>1884</v>
      </c>
      <c r="B128" s="491" t="s">
        <v>163</v>
      </c>
      <c r="C128" s="491" t="s">
        <v>72</v>
      </c>
      <c r="D128" s="491" t="s">
        <v>565</v>
      </c>
      <c r="E128" s="492" t="s">
        <v>371</v>
      </c>
      <c r="F128" s="493">
        <v>81035.0</v>
      </c>
      <c r="G128" s="493">
        <v>647.0</v>
      </c>
      <c r="H128" s="493">
        <v>0.8</v>
      </c>
      <c r="I128" s="493">
        <v>0.33</v>
      </c>
      <c r="J128" s="493">
        <v>0.55</v>
      </c>
      <c r="K128" s="493">
        <v>735.0</v>
      </c>
      <c r="L128" s="493">
        <v>221691.0</v>
      </c>
      <c r="M128" s="493">
        <v>0.0091</v>
      </c>
      <c r="N128" s="6">
        <v>1.136</v>
      </c>
    </row>
    <row r="129">
      <c r="A129" s="491" t="s">
        <v>1884</v>
      </c>
      <c r="B129" s="491" t="s">
        <v>163</v>
      </c>
      <c r="C129" s="491" t="s">
        <v>72</v>
      </c>
      <c r="D129" s="491" t="s">
        <v>565</v>
      </c>
      <c r="E129" s="492" t="s">
        <v>366</v>
      </c>
      <c r="F129" s="493">
        <v>81035.0</v>
      </c>
      <c r="G129" s="493">
        <v>339.0</v>
      </c>
      <c r="H129" s="493">
        <v>0.42</v>
      </c>
      <c r="I129" s="493">
        <v>0.17</v>
      </c>
      <c r="J129" s="493">
        <v>0.27</v>
      </c>
      <c r="K129" s="493">
        <v>387.0</v>
      </c>
      <c r="L129" s="493">
        <v>221691.0</v>
      </c>
      <c r="M129" s="493">
        <v>0.0048</v>
      </c>
      <c r="N129" s="6">
        <v>1.1416</v>
      </c>
    </row>
    <row r="130">
      <c r="A130" s="491" t="s">
        <v>1884</v>
      </c>
      <c r="B130" s="491" t="s">
        <v>163</v>
      </c>
      <c r="C130" s="491" t="s">
        <v>72</v>
      </c>
      <c r="D130" s="491" t="s">
        <v>565</v>
      </c>
      <c r="E130" s="492" t="s">
        <v>368</v>
      </c>
      <c r="F130" s="493">
        <v>81035.0</v>
      </c>
      <c r="G130" s="493">
        <v>255.0</v>
      </c>
      <c r="H130" s="493">
        <v>0.31</v>
      </c>
      <c r="I130" s="493">
        <v>0.13</v>
      </c>
      <c r="J130" s="493">
        <v>0.13</v>
      </c>
      <c r="K130" s="493">
        <v>293.0</v>
      </c>
      <c r="L130" s="493">
        <v>221691.0</v>
      </c>
      <c r="M130" s="493">
        <v>0.0036</v>
      </c>
      <c r="N130" s="6">
        <v>1.149</v>
      </c>
    </row>
    <row r="131">
      <c r="A131" s="491" t="s">
        <v>1884</v>
      </c>
      <c r="B131" s="491" t="s">
        <v>163</v>
      </c>
      <c r="C131" s="491" t="s">
        <v>72</v>
      </c>
      <c r="D131" s="491" t="s">
        <v>565</v>
      </c>
      <c r="E131" s="492" t="s">
        <v>134</v>
      </c>
      <c r="F131" s="493">
        <v>81035.0</v>
      </c>
      <c r="G131" s="493">
        <v>86.0</v>
      </c>
      <c r="H131" s="493">
        <v>0.11</v>
      </c>
      <c r="I131" s="493">
        <v>0.07</v>
      </c>
      <c r="J131" s="493">
        <v>0.04</v>
      </c>
      <c r="K131" s="493">
        <v>157.0</v>
      </c>
      <c r="L131" s="493">
        <v>221691.0</v>
      </c>
      <c r="M131" s="493">
        <v>0.0019</v>
      </c>
      <c r="N131" s="6">
        <v>1.8256</v>
      </c>
    </row>
    <row r="132">
      <c r="A132" s="491" t="s">
        <v>1884</v>
      </c>
      <c r="B132" s="491" t="s">
        <v>163</v>
      </c>
      <c r="C132" s="491" t="s">
        <v>72</v>
      </c>
      <c r="D132" s="491" t="s">
        <v>565</v>
      </c>
      <c r="E132" s="492" t="s">
        <v>369</v>
      </c>
      <c r="F132" s="493">
        <v>81035.0</v>
      </c>
      <c r="G132" s="493">
        <v>51.0</v>
      </c>
      <c r="H132" s="493">
        <v>0.06</v>
      </c>
      <c r="I132" s="493">
        <v>0.02</v>
      </c>
      <c r="J132" s="493">
        <v>0.04</v>
      </c>
      <c r="K132" s="493">
        <v>54.0</v>
      </c>
      <c r="L132" s="493">
        <v>221691.0</v>
      </c>
      <c r="M132" s="493">
        <v>7.0E-4</v>
      </c>
      <c r="N132" s="6">
        <v>1.0588</v>
      </c>
    </row>
    <row r="133">
      <c r="A133" s="491" t="s">
        <v>1884</v>
      </c>
      <c r="B133" s="491" t="s">
        <v>163</v>
      </c>
      <c r="C133" s="491" t="s">
        <v>72</v>
      </c>
      <c r="D133" s="491" t="s">
        <v>565</v>
      </c>
      <c r="E133" s="492" t="s">
        <v>189</v>
      </c>
      <c r="F133" s="493">
        <v>81035.0</v>
      </c>
      <c r="G133" s="493">
        <v>19.0</v>
      </c>
      <c r="H133" s="493">
        <v>0.02</v>
      </c>
      <c r="I133" s="493">
        <v>0.01</v>
      </c>
      <c r="J133" s="493">
        <v>0.01</v>
      </c>
      <c r="K133" s="493">
        <v>19.0</v>
      </c>
      <c r="L133" s="493">
        <v>221691.0</v>
      </c>
      <c r="M133" s="493">
        <v>2.0E-4</v>
      </c>
      <c r="N133" s="6">
        <v>1.0</v>
      </c>
    </row>
    <row r="134">
      <c r="A134" s="491" t="s">
        <v>1884</v>
      </c>
      <c r="B134" s="491" t="s">
        <v>163</v>
      </c>
      <c r="C134" s="491" t="s">
        <v>1873</v>
      </c>
      <c r="D134" s="491" t="s">
        <v>2018</v>
      </c>
      <c r="E134" s="492" t="s">
        <v>367</v>
      </c>
      <c r="F134" s="493">
        <v>7056.0</v>
      </c>
      <c r="G134" s="493">
        <v>6027.0</v>
      </c>
      <c r="H134" s="493">
        <v>85.42</v>
      </c>
      <c r="I134" s="493">
        <v>92.88</v>
      </c>
      <c r="J134" s="493">
        <v>85.29</v>
      </c>
      <c r="K134" s="493">
        <v>215460.0</v>
      </c>
      <c r="L134" s="493">
        <v>231965.0</v>
      </c>
      <c r="M134" s="493">
        <v>30.5357</v>
      </c>
      <c r="N134" s="6">
        <v>35.7491</v>
      </c>
    </row>
    <row r="135">
      <c r="A135" s="491" t="s">
        <v>1884</v>
      </c>
      <c r="B135" s="491" t="s">
        <v>163</v>
      </c>
      <c r="C135" s="491" t="s">
        <v>1873</v>
      </c>
      <c r="D135" s="491" t="s">
        <v>2018</v>
      </c>
      <c r="E135" s="492" t="s">
        <v>369</v>
      </c>
      <c r="F135" s="493">
        <v>7056.0</v>
      </c>
      <c r="G135" s="493">
        <v>520.0</v>
      </c>
      <c r="H135" s="493">
        <v>7.37</v>
      </c>
      <c r="I135" s="493">
        <v>2.76</v>
      </c>
      <c r="J135" s="493">
        <v>7.11</v>
      </c>
      <c r="K135" s="493">
        <v>6400.0</v>
      </c>
      <c r="L135" s="493">
        <v>231965.0</v>
      </c>
      <c r="M135" s="493">
        <v>0.907</v>
      </c>
      <c r="N135" s="6">
        <v>12.3077</v>
      </c>
    </row>
    <row r="136">
      <c r="A136" s="491" t="s">
        <v>1884</v>
      </c>
      <c r="B136" s="491" t="s">
        <v>163</v>
      </c>
      <c r="C136" s="491" t="s">
        <v>1873</v>
      </c>
      <c r="D136" s="491" t="s">
        <v>2018</v>
      </c>
      <c r="E136" s="492" t="s">
        <v>370</v>
      </c>
      <c r="F136" s="493">
        <v>7056.0</v>
      </c>
      <c r="G136" s="493">
        <v>145.0</v>
      </c>
      <c r="H136" s="493">
        <v>2.05</v>
      </c>
      <c r="I136" s="493">
        <v>2.1</v>
      </c>
      <c r="J136" s="493">
        <v>2.03</v>
      </c>
      <c r="K136" s="493">
        <v>4875.0</v>
      </c>
      <c r="L136" s="493">
        <v>231965.0</v>
      </c>
      <c r="M136" s="493">
        <v>0.6909</v>
      </c>
      <c r="N136" s="6">
        <v>33.6207</v>
      </c>
    </row>
    <row r="137">
      <c r="A137" s="491" t="s">
        <v>1884</v>
      </c>
      <c r="B137" s="491" t="s">
        <v>163</v>
      </c>
      <c r="C137" s="491" t="s">
        <v>1873</v>
      </c>
      <c r="D137" s="491" t="s">
        <v>2018</v>
      </c>
      <c r="E137" s="492" t="s">
        <v>189</v>
      </c>
      <c r="F137" s="493">
        <v>7056.0</v>
      </c>
      <c r="G137" s="493">
        <v>214.0</v>
      </c>
      <c r="H137" s="493">
        <v>3.03</v>
      </c>
      <c r="I137" s="493">
        <v>1.0</v>
      </c>
      <c r="J137" s="493">
        <v>2.9</v>
      </c>
      <c r="K137" s="493">
        <v>2310.0</v>
      </c>
      <c r="L137" s="493">
        <v>231965.0</v>
      </c>
      <c r="M137" s="493">
        <v>0.3274</v>
      </c>
      <c r="N137" s="6">
        <v>10.7944</v>
      </c>
    </row>
    <row r="138">
      <c r="A138" s="491" t="s">
        <v>1884</v>
      </c>
      <c r="B138" s="491" t="s">
        <v>163</v>
      </c>
      <c r="C138" s="491" t="s">
        <v>1873</v>
      </c>
      <c r="D138" s="491" t="s">
        <v>2018</v>
      </c>
      <c r="E138" s="492" t="s">
        <v>372</v>
      </c>
      <c r="F138" s="493">
        <v>7056.0</v>
      </c>
      <c r="G138" s="493">
        <v>129.0</v>
      </c>
      <c r="H138" s="493">
        <v>1.83</v>
      </c>
      <c r="I138" s="493">
        <v>0.66</v>
      </c>
      <c r="J138" s="493">
        <v>1.82</v>
      </c>
      <c r="K138" s="493">
        <v>1535.0</v>
      </c>
      <c r="L138" s="493">
        <v>231965.0</v>
      </c>
      <c r="M138" s="493">
        <v>0.2175</v>
      </c>
      <c r="N138" s="6">
        <v>11.8992</v>
      </c>
    </row>
    <row r="139">
      <c r="A139" s="491" t="s">
        <v>1884</v>
      </c>
      <c r="B139" s="491" t="s">
        <v>163</v>
      </c>
      <c r="C139" s="491" t="s">
        <v>1873</v>
      </c>
      <c r="D139" s="491" t="s">
        <v>2018</v>
      </c>
      <c r="E139" s="492" t="s">
        <v>134</v>
      </c>
      <c r="F139" s="493">
        <v>7056.0</v>
      </c>
      <c r="G139" s="493">
        <v>31.0</v>
      </c>
      <c r="H139" s="493">
        <v>0.44</v>
      </c>
      <c r="I139" s="493">
        <v>0.3</v>
      </c>
      <c r="J139" s="493">
        <v>0.37</v>
      </c>
      <c r="K139" s="493">
        <v>690.0</v>
      </c>
      <c r="L139" s="493">
        <v>231965.0</v>
      </c>
      <c r="M139" s="493">
        <v>0.0978</v>
      </c>
      <c r="N139" s="6">
        <v>22.2581</v>
      </c>
    </row>
    <row r="140">
      <c r="A140" s="491" t="s">
        <v>1884</v>
      </c>
      <c r="B140" s="491" t="s">
        <v>163</v>
      </c>
      <c r="C140" s="491" t="s">
        <v>1873</v>
      </c>
      <c r="D140" s="491" t="s">
        <v>2018</v>
      </c>
      <c r="E140" s="492" t="s">
        <v>35</v>
      </c>
      <c r="F140" s="493">
        <v>7056.0</v>
      </c>
      <c r="G140" s="493">
        <v>39.0</v>
      </c>
      <c r="H140" s="493">
        <v>0.55</v>
      </c>
      <c r="I140" s="493">
        <v>0.26</v>
      </c>
      <c r="J140" s="493">
        <v>0.45</v>
      </c>
      <c r="K140" s="493">
        <v>600.0</v>
      </c>
      <c r="L140" s="493">
        <v>231965.0</v>
      </c>
      <c r="M140" s="493">
        <v>0.085</v>
      </c>
      <c r="N140" s="6">
        <v>15.3846</v>
      </c>
    </row>
    <row r="141">
      <c r="A141" s="491" t="s">
        <v>1884</v>
      </c>
      <c r="B141" s="491" t="s">
        <v>163</v>
      </c>
      <c r="C141" s="491" t="s">
        <v>1873</v>
      </c>
      <c r="D141" s="491" t="s">
        <v>2018</v>
      </c>
      <c r="E141" s="492" t="s">
        <v>371</v>
      </c>
      <c r="F141" s="493">
        <v>7056.0</v>
      </c>
      <c r="G141" s="493">
        <v>1.0</v>
      </c>
      <c r="H141" s="493">
        <v>0.01</v>
      </c>
      <c r="I141" s="493">
        <v>0.03</v>
      </c>
      <c r="J141" s="493">
        <v>0.01</v>
      </c>
      <c r="K141" s="493">
        <v>75.0</v>
      </c>
      <c r="L141" s="493">
        <v>231965.0</v>
      </c>
      <c r="M141" s="493">
        <v>0.0106</v>
      </c>
      <c r="N141" s="6">
        <v>75.0</v>
      </c>
    </row>
    <row r="142">
      <c r="A142" s="491" t="s">
        <v>1884</v>
      </c>
      <c r="B142" s="491" t="s">
        <v>163</v>
      </c>
      <c r="C142" s="491" t="s">
        <v>1873</v>
      </c>
      <c r="D142" s="491" t="s">
        <v>2018</v>
      </c>
      <c r="E142" s="492" t="s">
        <v>42</v>
      </c>
      <c r="F142" s="493">
        <v>7056.0</v>
      </c>
      <c r="G142" s="493">
        <v>1.0</v>
      </c>
      <c r="H142" s="493">
        <v>0.01</v>
      </c>
      <c r="I142" s="493">
        <v>0.01</v>
      </c>
      <c r="J142" s="493">
        <v>0.01</v>
      </c>
      <c r="K142" s="493">
        <v>20.0</v>
      </c>
      <c r="L142" s="493">
        <v>231965.0</v>
      </c>
      <c r="M142" s="493">
        <v>0.0028</v>
      </c>
      <c r="N142" s="6">
        <v>20.0</v>
      </c>
    </row>
    <row r="143">
      <c r="A143" s="491" t="s">
        <v>1884</v>
      </c>
      <c r="B143" s="491" t="s">
        <v>163</v>
      </c>
      <c r="C143" s="491" t="s">
        <v>1874</v>
      </c>
      <c r="D143" s="491" t="s">
        <v>2018</v>
      </c>
      <c r="E143" s="492" t="s">
        <v>367</v>
      </c>
      <c r="F143" s="493">
        <v>24508.0</v>
      </c>
      <c r="G143" s="493">
        <v>6624.0</v>
      </c>
      <c r="H143" s="493">
        <v>27.03</v>
      </c>
      <c r="I143" s="493">
        <v>58.5</v>
      </c>
      <c r="J143" s="493">
        <v>25.35</v>
      </c>
      <c r="K143" s="493">
        <v>468690.0</v>
      </c>
      <c r="L143" s="493">
        <v>801130.0</v>
      </c>
      <c r="M143" s="493">
        <v>19.124</v>
      </c>
      <c r="N143" s="6">
        <v>70.7563</v>
      </c>
    </row>
    <row r="144">
      <c r="A144" s="491" t="s">
        <v>1884</v>
      </c>
      <c r="B144" s="491" t="s">
        <v>163</v>
      </c>
      <c r="C144" s="491" t="s">
        <v>1874</v>
      </c>
      <c r="D144" s="491" t="s">
        <v>2018</v>
      </c>
      <c r="E144" s="492" t="s">
        <v>372</v>
      </c>
      <c r="F144" s="493">
        <v>24508.0</v>
      </c>
      <c r="G144" s="493">
        <v>14804.0</v>
      </c>
      <c r="H144" s="493">
        <v>60.4</v>
      </c>
      <c r="I144" s="493">
        <v>32.6</v>
      </c>
      <c r="J144" s="493">
        <v>54.33</v>
      </c>
      <c r="K144" s="493">
        <v>261195.0</v>
      </c>
      <c r="L144" s="493">
        <v>801130.0</v>
      </c>
      <c r="M144" s="493">
        <v>10.6575</v>
      </c>
      <c r="N144" s="6">
        <v>17.6435</v>
      </c>
    </row>
    <row r="145">
      <c r="A145" s="491" t="s">
        <v>1884</v>
      </c>
      <c r="B145" s="491" t="s">
        <v>163</v>
      </c>
      <c r="C145" s="491" t="s">
        <v>1874</v>
      </c>
      <c r="D145" s="491" t="s">
        <v>2018</v>
      </c>
      <c r="E145" s="492" t="s">
        <v>369</v>
      </c>
      <c r="F145" s="493">
        <v>24508.0</v>
      </c>
      <c r="G145" s="493">
        <v>3862.0</v>
      </c>
      <c r="H145" s="493">
        <v>15.76</v>
      </c>
      <c r="I145" s="493">
        <v>6.1</v>
      </c>
      <c r="J145" s="493">
        <v>14.27</v>
      </c>
      <c r="K145" s="493">
        <v>48840.0</v>
      </c>
      <c r="L145" s="493">
        <v>801130.0</v>
      </c>
      <c r="M145" s="493">
        <v>1.9928</v>
      </c>
      <c r="N145" s="6">
        <v>12.6463</v>
      </c>
    </row>
    <row r="146">
      <c r="A146" s="491" t="s">
        <v>1884</v>
      </c>
      <c r="B146" s="491" t="s">
        <v>163</v>
      </c>
      <c r="C146" s="491" t="s">
        <v>1874</v>
      </c>
      <c r="D146" s="491" t="s">
        <v>2018</v>
      </c>
      <c r="E146" s="492" t="s">
        <v>189</v>
      </c>
      <c r="F146" s="493">
        <v>24508.0</v>
      </c>
      <c r="G146" s="493">
        <v>1120.0</v>
      </c>
      <c r="H146" s="493">
        <v>4.57</v>
      </c>
      <c r="I146" s="493">
        <v>1.46</v>
      </c>
      <c r="J146" s="493">
        <v>3.94</v>
      </c>
      <c r="K146" s="493">
        <v>11675.0</v>
      </c>
      <c r="L146" s="493">
        <v>801130.0</v>
      </c>
      <c r="M146" s="493">
        <v>0.4764</v>
      </c>
      <c r="N146" s="6">
        <v>10.4241</v>
      </c>
    </row>
    <row r="147">
      <c r="A147" s="491" t="s">
        <v>1884</v>
      </c>
      <c r="B147" s="491" t="s">
        <v>163</v>
      </c>
      <c r="C147" s="491" t="s">
        <v>1874</v>
      </c>
      <c r="D147" s="491" t="s">
        <v>2018</v>
      </c>
      <c r="E147" s="492" t="s">
        <v>370</v>
      </c>
      <c r="F147" s="493">
        <v>24508.0</v>
      </c>
      <c r="G147" s="493">
        <v>149.0</v>
      </c>
      <c r="H147" s="493">
        <v>0.61</v>
      </c>
      <c r="I147" s="493">
        <v>0.61</v>
      </c>
      <c r="J147" s="493">
        <v>0.56</v>
      </c>
      <c r="K147" s="493">
        <v>4905.0</v>
      </c>
      <c r="L147" s="493">
        <v>801130.0</v>
      </c>
      <c r="M147" s="493">
        <v>0.2001</v>
      </c>
      <c r="N147" s="6">
        <v>32.9195</v>
      </c>
    </row>
    <row r="148">
      <c r="A148" s="491" t="s">
        <v>1884</v>
      </c>
      <c r="B148" s="491" t="s">
        <v>163</v>
      </c>
      <c r="C148" s="491" t="s">
        <v>1874</v>
      </c>
      <c r="D148" s="491" t="s">
        <v>2018</v>
      </c>
      <c r="E148" s="492" t="s">
        <v>44</v>
      </c>
      <c r="F148" s="493">
        <v>24508.0</v>
      </c>
      <c r="G148" s="493">
        <v>285.0</v>
      </c>
      <c r="H148" s="493">
        <v>1.16</v>
      </c>
      <c r="I148" s="493">
        <v>0.38</v>
      </c>
      <c r="J148" s="493">
        <v>1.02</v>
      </c>
      <c r="K148" s="493">
        <v>3020.0</v>
      </c>
      <c r="L148" s="493">
        <v>801130.0</v>
      </c>
      <c r="M148" s="493">
        <v>0.1232</v>
      </c>
      <c r="N148" s="6">
        <v>10.5965</v>
      </c>
    </row>
    <row r="149">
      <c r="A149" s="491" t="s">
        <v>1884</v>
      </c>
      <c r="B149" s="491" t="s">
        <v>163</v>
      </c>
      <c r="C149" s="491" t="s">
        <v>1874</v>
      </c>
      <c r="D149" s="491" t="s">
        <v>2018</v>
      </c>
      <c r="E149" s="492" t="s">
        <v>35</v>
      </c>
      <c r="F149" s="493">
        <v>24508.0</v>
      </c>
      <c r="G149" s="493">
        <v>88.0</v>
      </c>
      <c r="H149" s="493">
        <v>0.36</v>
      </c>
      <c r="I149" s="493">
        <v>0.18</v>
      </c>
      <c r="J149" s="493">
        <v>0.31</v>
      </c>
      <c r="K149" s="493">
        <v>1470.0</v>
      </c>
      <c r="L149" s="493">
        <v>801130.0</v>
      </c>
      <c r="M149" s="493">
        <v>0.06</v>
      </c>
      <c r="N149" s="6">
        <v>16.7045</v>
      </c>
    </row>
    <row r="150">
      <c r="A150" s="491" t="s">
        <v>1884</v>
      </c>
      <c r="B150" s="491" t="s">
        <v>163</v>
      </c>
      <c r="C150" s="491" t="s">
        <v>1874</v>
      </c>
      <c r="D150" s="491" t="s">
        <v>2018</v>
      </c>
      <c r="E150" s="492" t="s">
        <v>134</v>
      </c>
      <c r="F150" s="493">
        <v>24508.0</v>
      </c>
      <c r="G150" s="493">
        <v>70.0</v>
      </c>
      <c r="H150" s="493">
        <v>0.29</v>
      </c>
      <c r="I150" s="493">
        <v>0.16</v>
      </c>
      <c r="J150" s="493">
        <v>0.2</v>
      </c>
      <c r="K150" s="493">
        <v>1250.0</v>
      </c>
      <c r="L150" s="493">
        <v>801130.0</v>
      </c>
      <c r="M150" s="493">
        <v>0.051</v>
      </c>
      <c r="N150" s="6">
        <v>17.8571</v>
      </c>
    </row>
    <row r="151">
      <c r="A151" s="491" t="s">
        <v>1884</v>
      </c>
      <c r="B151" s="491" t="s">
        <v>163</v>
      </c>
      <c r="C151" s="491" t="s">
        <v>1874</v>
      </c>
      <c r="D151" s="491" t="s">
        <v>2018</v>
      </c>
      <c r="E151" s="492" t="s">
        <v>46</v>
      </c>
      <c r="F151" s="493">
        <v>24508.0</v>
      </c>
      <c r="G151" s="493">
        <v>2.0</v>
      </c>
      <c r="H151" s="493">
        <v>0.01</v>
      </c>
      <c r="I151" s="493">
        <v>0.01</v>
      </c>
      <c r="J151" s="493">
        <v>0.01</v>
      </c>
      <c r="K151" s="493">
        <v>45.0</v>
      </c>
      <c r="L151" s="493">
        <v>801130.0</v>
      </c>
      <c r="M151" s="493">
        <v>0.0018</v>
      </c>
      <c r="N151" s="6">
        <v>22.5</v>
      </c>
    </row>
    <row r="152">
      <c r="A152" s="491" t="s">
        <v>1884</v>
      </c>
      <c r="B152" s="491" t="s">
        <v>163</v>
      </c>
      <c r="C152" s="491" t="s">
        <v>1874</v>
      </c>
      <c r="D152" s="491" t="s">
        <v>2018</v>
      </c>
      <c r="E152" s="492" t="s">
        <v>40</v>
      </c>
      <c r="F152" s="493">
        <v>24508.0</v>
      </c>
      <c r="G152" s="493">
        <v>1.0</v>
      </c>
      <c r="H152" s="493">
        <v>0.0</v>
      </c>
      <c r="I152" s="493">
        <v>0.0</v>
      </c>
      <c r="J152" s="493">
        <v>0.0</v>
      </c>
      <c r="K152" s="493">
        <v>15.0</v>
      </c>
      <c r="L152" s="493">
        <v>801130.0</v>
      </c>
      <c r="M152" s="493">
        <v>6.0E-4</v>
      </c>
      <c r="N152" s="6">
        <v>15.0</v>
      </c>
    </row>
    <row r="153">
      <c r="A153" s="491" t="s">
        <v>1884</v>
      </c>
      <c r="B153" s="491" t="s">
        <v>163</v>
      </c>
      <c r="C153" s="491" t="s">
        <v>1874</v>
      </c>
      <c r="D153" s="491" t="s">
        <v>2018</v>
      </c>
      <c r="E153" s="492" t="s">
        <v>368</v>
      </c>
      <c r="F153" s="493">
        <v>24508.0</v>
      </c>
      <c r="G153" s="493">
        <v>1.0</v>
      </c>
      <c r="H153" s="493">
        <v>0.0</v>
      </c>
      <c r="I153" s="493">
        <v>0.0</v>
      </c>
      <c r="J153" s="493">
        <v>0.0</v>
      </c>
      <c r="K153" s="493">
        <v>10.0</v>
      </c>
      <c r="L153" s="493">
        <v>801130.0</v>
      </c>
      <c r="M153" s="493">
        <v>4.0E-4</v>
      </c>
      <c r="N153" s="6">
        <v>10.0</v>
      </c>
    </row>
    <row r="154">
      <c r="A154" s="491" t="s">
        <v>1884</v>
      </c>
      <c r="B154" s="491" t="s">
        <v>163</v>
      </c>
      <c r="C154" s="491" t="s">
        <v>1874</v>
      </c>
      <c r="D154" s="491" t="s">
        <v>2018</v>
      </c>
      <c r="E154" s="492" t="s">
        <v>42</v>
      </c>
      <c r="F154" s="493">
        <v>24508.0</v>
      </c>
      <c r="G154" s="493">
        <v>1.0</v>
      </c>
      <c r="H154" s="493">
        <v>0.0</v>
      </c>
      <c r="I154" s="493">
        <v>0.0</v>
      </c>
      <c r="J154" s="493">
        <v>0.0</v>
      </c>
      <c r="K154" s="493">
        <v>15.0</v>
      </c>
      <c r="L154" s="493">
        <v>801130.0</v>
      </c>
      <c r="M154" s="493">
        <v>6.0E-4</v>
      </c>
      <c r="N154" s="6">
        <v>15.0</v>
      </c>
    </row>
    <row r="155">
      <c r="A155" s="491" t="s">
        <v>1884</v>
      </c>
      <c r="B155" s="491" t="s">
        <v>163</v>
      </c>
      <c r="C155" s="491" t="s">
        <v>1875</v>
      </c>
      <c r="D155" s="491" t="s">
        <v>2018</v>
      </c>
      <c r="E155" s="492" t="s">
        <v>367</v>
      </c>
      <c r="F155" s="493">
        <v>35625.0</v>
      </c>
      <c r="G155" s="493">
        <v>7191.0</v>
      </c>
      <c r="H155" s="493">
        <v>20.19</v>
      </c>
      <c r="I155" s="493">
        <v>53.12</v>
      </c>
      <c r="J155" s="493">
        <v>18.82</v>
      </c>
      <c r="K155" s="493">
        <v>503190.0</v>
      </c>
      <c r="L155" s="493">
        <v>947215.0</v>
      </c>
      <c r="M155" s="493">
        <v>14.1246</v>
      </c>
      <c r="N155" s="6">
        <v>69.975</v>
      </c>
    </row>
    <row r="156">
      <c r="A156" s="491" t="s">
        <v>1884</v>
      </c>
      <c r="B156" s="491" t="s">
        <v>163</v>
      </c>
      <c r="C156" s="491" t="s">
        <v>1875</v>
      </c>
      <c r="D156" s="491" t="s">
        <v>2018</v>
      </c>
      <c r="E156" s="492" t="s">
        <v>372</v>
      </c>
      <c r="F156" s="493">
        <v>35625.0</v>
      </c>
      <c r="G156" s="493">
        <v>22237.0</v>
      </c>
      <c r="H156" s="493">
        <v>62.42</v>
      </c>
      <c r="I156" s="493">
        <v>32.71</v>
      </c>
      <c r="J156" s="493">
        <v>55.02</v>
      </c>
      <c r="K156" s="493">
        <v>309850.0</v>
      </c>
      <c r="L156" s="493">
        <v>947215.0</v>
      </c>
      <c r="M156" s="493">
        <v>8.6975</v>
      </c>
      <c r="N156" s="6">
        <v>13.934</v>
      </c>
    </row>
    <row r="157">
      <c r="A157" s="491" t="s">
        <v>1884</v>
      </c>
      <c r="B157" s="491" t="s">
        <v>163</v>
      </c>
      <c r="C157" s="491" t="s">
        <v>1875</v>
      </c>
      <c r="D157" s="491" t="s">
        <v>2018</v>
      </c>
      <c r="E157" s="492" t="s">
        <v>369</v>
      </c>
      <c r="F157" s="493">
        <v>35625.0</v>
      </c>
      <c r="G157" s="493">
        <v>7267.0</v>
      </c>
      <c r="H157" s="493">
        <v>20.4</v>
      </c>
      <c r="I157" s="493">
        <v>9.73</v>
      </c>
      <c r="J157" s="493">
        <v>18.01</v>
      </c>
      <c r="K157" s="493">
        <v>92150.0</v>
      </c>
      <c r="L157" s="493">
        <v>947215.0</v>
      </c>
      <c r="M157" s="493">
        <v>2.5867</v>
      </c>
      <c r="N157" s="6">
        <v>12.6806</v>
      </c>
    </row>
    <row r="158">
      <c r="A158" s="491" t="s">
        <v>1884</v>
      </c>
      <c r="B158" s="491" t="s">
        <v>163</v>
      </c>
      <c r="C158" s="491" t="s">
        <v>1875</v>
      </c>
      <c r="D158" s="491" t="s">
        <v>2018</v>
      </c>
      <c r="E158" s="492" t="s">
        <v>189</v>
      </c>
      <c r="F158" s="493">
        <v>35625.0</v>
      </c>
      <c r="G158" s="493">
        <v>2106.0</v>
      </c>
      <c r="H158" s="493">
        <v>5.91</v>
      </c>
      <c r="I158" s="493">
        <v>2.32</v>
      </c>
      <c r="J158" s="493">
        <v>4.96</v>
      </c>
      <c r="K158" s="493">
        <v>22020.0</v>
      </c>
      <c r="L158" s="493">
        <v>947215.0</v>
      </c>
      <c r="M158" s="493">
        <v>0.6181</v>
      </c>
      <c r="N158" s="6">
        <v>10.4558</v>
      </c>
    </row>
    <row r="159">
      <c r="A159" s="491" t="s">
        <v>1884</v>
      </c>
      <c r="B159" s="491" t="s">
        <v>163</v>
      </c>
      <c r="C159" s="491" t="s">
        <v>1875</v>
      </c>
      <c r="D159" s="491" t="s">
        <v>2018</v>
      </c>
      <c r="E159" s="492" t="s">
        <v>44</v>
      </c>
      <c r="F159" s="493">
        <v>35625.0</v>
      </c>
      <c r="G159" s="493">
        <v>815.0</v>
      </c>
      <c r="H159" s="493">
        <v>2.29</v>
      </c>
      <c r="I159" s="493">
        <v>0.92</v>
      </c>
      <c r="J159" s="493">
        <v>2.01</v>
      </c>
      <c r="K159" s="493">
        <v>8720.0</v>
      </c>
      <c r="L159" s="493">
        <v>947215.0</v>
      </c>
      <c r="M159" s="493">
        <v>0.2448</v>
      </c>
      <c r="N159" s="6">
        <v>10.6994</v>
      </c>
    </row>
    <row r="160">
      <c r="A160" s="491" t="s">
        <v>1884</v>
      </c>
      <c r="B160" s="491" t="s">
        <v>163</v>
      </c>
      <c r="C160" s="491" t="s">
        <v>1875</v>
      </c>
      <c r="D160" s="491" t="s">
        <v>2018</v>
      </c>
      <c r="E160" s="492" t="s">
        <v>370</v>
      </c>
      <c r="F160" s="493">
        <v>35625.0</v>
      </c>
      <c r="G160" s="493">
        <v>160.0</v>
      </c>
      <c r="H160" s="493">
        <v>0.45</v>
      </c>
      <c r="I160" s="493">
        <v>0.54</v>
      </c>
      <c r="J160" s="493">
        <v>0.4</v>
      </c>
      <c r="K160" s="493">
        <v>5150.0</v>
      </c>
      <c r="L160" s="493">
        <v>947215.0</v>
      </c>
      <c r="M160" s="493">
        <v>0.1446</v>
      </c>
      <c r="N160" s="6">
        <v>32.1875</v>
      </c>
    </row>
    <row r="161">
      <c r="A161" s="491" t="s">
        <v>1884</v>
      </c>
      <c r="B161" s="491" t="s">
        <v>163</v>
      </c>
      <c r="C161" s="491" t="s">
        <v>1875</v>
      </c>
      <c r="D161" s="491" t="s">
        <v>2018</v>
      </c>
      <c r="E161" s="492" t="s">
        <v>35</v>
      </c>
      <c r="F161" s="493">
        <v>35625.0</v>
      </c>
      <c r="G161" s="493">
        <v>248.0</v>
      </c>
      <c r="H161" s="493">
        <v>0.7</v>
      </c>
      <c r="I161" s="493">
        <v>0.43</v>
      </c>
      <c r="J161" s="493">
        <v>0.61</v>
      </c>
      <c r="K161" s="493">
        <v>4035.0</v>
      </c>
      <c r="L161" s="493">
        <v>947215.0</v>
      </c>
      <c r="M161" s="493">
        <v>0.1133</v>
      </c>
      <c r="N161" s="6">
        <v>16.2702</v>
      </c>
    </row>
    <row r="162">
      <c r="A162" s="491" t="s">
        <v>1884</v>
      </c>
      <c r="B162" s="491" t="s">
        <v>163</v>
      </c>
      <c r="C162" s="491" t="s">
        <v>1875</v>
      </c>
      <c r="D162" s="491" t="s">
        <v>2018</v>
      </c>
      <c r="E162" s="492" t="s">
        <v>134</v>
      </c>
      <c r="F162" s="493">
        <v>35625.0</v>
      </c>
      <c r="G162" s="493">
        <v>75.0</v>
      </c>
      <c r="H162" s="493">
        <v>0.21</v>
      </c>
      <c r="I162" s="493">
        <v>0.21</v>
      </c>
      <c r="J162" s="493">
        <v>0.15</v>
      </c>
      <c r="K162" s="493">
        <v>2015.0</v>
      </c>
      <c r="L162" s="493">
        <v>947215.0</v>
      </c>
      <c r="M162" s="493">
        <v>0.0566</v>
      </c>
      <c r="N162" s="6">
        <v>26.8667</v>
      </c>
    </row>
    <row r="163">
      <c r="A163" s="491" t="s">
        <v>1884</v>
      </c>
      <c r="B163" s="491" t="s">
        <v>163</v>
      </c>
      <c r="C163" s="491" t="s">
        <v>1875</v>
      </c>
      <c r="D163" s="491" t="s">
        <v>2018</v>
      </c>
      <c r="E163" s="492" t="s">
        <v>371</v>
      </c>
      <c r="F163" s="493">
        <v>35625.0</v>
      </c>
      <c r="G163" s="493">
        <v>1.0</v>
      </c>
      <c r="H163" s="493">
        <v>0.0</v>
      </c>
      <c r="I163" s="493">
        <v>0.0</v>
      </c>
      <c r="J163" s="493">
        <v>0.0</v>
      </c>
      <c r="K163" s="493">
        <v>15.0</v>
      </c>
      <c r="L163" s="493">
        <v>947215.0</v>
      </c>
      <c r="M163" s="493">
        <v>4.0E-4</v>
      </c>
      <c r="N163" s="6">
        <v>15.0</v>
      </c>
    </row>
    <row r="164">
      <c r="A164" s="491" t="s">
        <v>1884</v>
      </c>
      <c r="B164" s="491" t="s">
        <v>163</v>
      </c>
      <c r="C164" s="491" t="s">
        <v>1875</v>
      </c>
      <c r="D164" s="491" t="s">
        <v>2018</v>
      </c>
      <c r="E164" s="492" t="s">
        <v>373</v>
      </c>
      <c r="F164" s="493">
        <v>35625.0</v>
      </c>
      <c r="G164" s="493">
        <v>4.0</v>
      </c>
      <c r="H164" s="493">
        <v>0.01</v>
      </c>
      <c r="I164" s="493">
        <v>0.0</v>
      </c>
      <c r="J164" s="493">
        <v>0.01</v>
      </c>
      <c r="K164" s="493">
        <v>40.0</v>
      </c>
      <c r="L164" s="493">
        <v>947215.0</v>
      </c>
      <c r="M164" s="493">
        <v>0.0011</v>
      </c>
      <c r="N164" s="6">
        <v>10.0</v>
      </c>
    </row>
    <row r="165">
      <c r="A165" s="491" t="s">
        <v>1884</v>
      </c>
      <c r="B165" s="491" t="s">
        <v>163</v>
      </c>
      <c r="C165" s="491" t="s">
        <v>1875</v>
      </c>
      <c r="D165" s="491" t="s">
        <v>2018</v>
      </c>
      <c r="E165" s="492" t="s">
        <v>42</v>
      </c>
      <c r="F165" s="493">
        <v>35625.0</v>
      </c>
      <c r="G165" s="493">
        <v>1.0</v>
      </c>
      <c r="H165" s="493">
        <v>0.0</v>
      </c>
      <c r="I165" s="493">
        <v>0.0</v>
      </c>
      <c r="J165" s="493">
        <v>0.0</v>
      </c>
      <c r="K165" s="493">
        <v>15.0</v>
      </c>
      <c r="L165" s="493">
        <v>947215.0</v>
      </c>
      <c r="M165" s="493">
        <v>4.0E-4</v>
      </c>
      <c r="N165" s="6">
        <v>15.0</v>
      </c>
    </row>
    <row r="166">
      <c r="A166" s="491" t="s">
        <v>1884</v>
      </c>
      <c r="B166" s="491" t="s">
        <v>163</v>
      </c>
      <c r="C166" s="491" t="s">
        <v>1875</v>
      </c>
      <c r="D166" s="491" t="s">
        <v>2018</v>
      </c>
      <c r="E166" s="492" t="s">
        <v>40</v>
      </c>
      <c r="F166" s="493">
        <v>35625.0</v>
      </c>
      <c r="G166" s="493">
        <v>1.0</v>
      </c>
      <c r="H166" s="493">
        <v>0.0</v>
      </c>
      <c r="I166" s="493">
        <v>0.0</v>
      </c>
      <c r="J166" s="493">
        <v>0.0</v>
      </c>
      <c r="K166" s="493">
        <v>15.0</v>
      </c>
      <c r="L166" s="493">
        <v>947215.0</v>
      </c>
      <c r="M166" s="493">
        <v>4.0E-4</v>
      </c>
      <c r="N166" s="6">
        <v>15.0</v>
      </c>
    </row>
    <row r="167">
      <c r="A167" s="491" t="s">
        <v>1884</v>
      </c>
      <c r="B167" s="491" t="s">
        <v>163</v>
      </c>
      <c r="C167" s="491" t="s">
        <v>75</v>
      </c>
      <c r="D167" s="491" t="s">
        <v>2018</v>
      </c>
      <c r="E167" s="492" t="s">
        <v>367</v>
      </c>
      <c r="F167" s="493">
        <v>120253.0</v>
      </c>
      <c r="G167" s="493">
        <v>91874.0</v>
      </c>
      <c r="H167" s="493">
        <v>76.4</v>
      </c>
      <c r="I167" s="493">
        <v>49.13</v>
      </c>
      <c r="J167" s="493">
        <v>49.28</v>
      </c>
      <c r="K167" s="493">
        <v>9262905.0</v>
      </c>
      <c r="L167" s="493">
        <v>1.8852959E7</v>
      </c>
      <c r="M167" s="493">
        <v>77.0285</v>
      </c>
      <c r="N167" s="6">
        <v>100.8218</v>
      </c>
    </row>
    <row r="168">
      <c r="A168" s="491" t="s">
        <v>1884</v>
      </c>
      <c r="B168" s="491" t="s">
        <v>163</v>
      </c>
      <c r="C168" s="491" t="s">
        <v>75</v>
      </c>
      <c r="D168" s="491" t="s">
        <v>2018</v>
      </c>
      <c r="E168" s="492" t="s">
        <v>49</v>
      </c>
      <c r="F168" s="493">
        <v>120253.0</v>
      </c>
      <c r="G168" s="493">
        <v>45608.0</v>
      </c>
      <c r="H168" s="493">
        <v>37.93</v>
      </c>
      <c r="I168" s="493">
        <v>30.35</v>
      </c>
      <c r="J168" s="493">
        <v>25.82</v>
      </c>
      <c r="K168" s="493">
        <v>5722260.0</v>
      </c>
      <c r="L168" s="493">
        <v>1.8852959E7</v>
      </c>
      <c r="M168" s="493">
        <v>47.5852</v>
      </c>
      <c r="N168" s="6">
        <v>125.4661</v>
      </c>
    </row>
    <row r="169">
      <c r="A169" s="491" t="s">
        <v>1884</v>
      </c>
      <c r="B169" s="491" t="s">
        <v>163</v>
      </c>
      <c r="C169" s="491" t="s">
        <v>75</v>
      </c>
      <c r="D169" s="491" t="s">
        <v>2018</v>
      </c>
      <c r="E169" s="492" t="s">
        <v>372</v>
      </c>
      <c r="F169" s="493">
        <v>120253.0</v>
      </c>
      <c r="G169" s="493">
        <v>27073.0</v>
      </c>
      <c r="H169" s="493">
        <v>22.51</v>
      </c>
      <c r="I169" s="493">
        <v>10.69</v>
      </c>
      <c r="J169" s="493">
        <v>12.0</v>
      </c>
      <c r="K169" s="493">
        <v>2014815.0</v>
      </c>
      <c r="L169" s="493">
        <v>1.8852959E7</v>
      </c>
      <c r="M169" s="493">
        <v>16.7548</v>
      </c>
      <c r="N169" s="6">
        <v>74.4216</v>
      </c>
    </row>
    <row r="170">
      <c r="A170" s="491" t="s">
        <v>1884</v>
      </c>
      <c r="B170" s="491" t="s">
        <v>163</v>
      </c>
      <c r="C170" s="491" t="s">
        <v>75</v>
      </c>
      <c r="D170" s="491" t="s">
        <v>2018</v>
      </c>
      <c r="E170" s="492" t="s">
        <v>44</v>
      </c>
      <c r="F170" s="493">
        <v>120253.0</v>
      </c>
      <c r="G170" s="493">
        <v>14189.0</v>
      </c>
      <c r="H170" s="493">
        <v>11.8</v>
      </c>
      <c r="I170" s="493">
        <v>5.26</v>
      </c>
      <c r="J170" s="493">
        <v>5.82</v>
      </c>
      <c r="K170" s="493">
        <v>991980.0</v>
      </c>
      <c r="L170" s="493">
        <v>1.8852959E7</v>
      </c>
      <c r="M170" s="493">
        <v>8.2491</v>
      </c>
      <c r="N170" s="6">
        <v>69.9119</v>
      </c>
    </row>
    <row r="171">
      <c r="A171" s="491" t="s">
        <v>1884</v>
      </c>
      <c r="B171" s="491" t="s">
        <v>163</v>
      </c>
      <c r="C171" s="491" t="s">
        <v>75</v>
      </c>
      <c r="D171" s="491" t="s">
        <v>2018</v>
      </c>
      <c r="E171" s="492" t="s">
        <v>365</v>
      </c>
      <c r="F171" s="493">
        <v>120253.0</v>
      </c>
      <c r="G171" s="493">
        <v>11731.0</v>
      </c>
      <c r="H171" s="493">
        <v>9.76</v>
      </c>
      <c r="I171" s="493">
        <v>1.71</v>
      </c>
      <c r="J171" s="493">
        <v>2.11</v>
      </c>
      <c r="K171" s="493">
        <v>321790.0</v>
      </c>
      <c r="L171" s="493">
        <v>1.8852959E7</v>
      </c>
      <c r="M171" s="493">
        <v>2.6759</v>
      </c>
      <c r="N171" s="6">
        <v>27.4307</v>
      </c>
    </row>
    <row r="172">
      <c r="A172" s="491" t="s">
        <v>1884</v>
      </c>
      <c r="B172" s="491" t="s">
        <v>163</v>
      </c>
      <c r="C172" s="491" t="s">
        <v>75</v>
      </c>
      <c r="D172" s="491" t="s">
        <v>2018</v>
      </c>
      <c r="E172" s="492" t="s">
        <v>369</v>
      </c>
      <c r="F172" s="493">
        <v>120253.0</v>
      </c>
      <c r="G172" s="493">
        <v>2406.0</v>
      </c>
      <c r="H172" s="493">
        <v>2.0</v>
      </c>
      <c r="I172" s="493">
        <v>0.61</v>
      </c>
      <c r="J172" s="493">
        <v>1.03</v>
      </c>
      <c r="K172" s="493">
        <v>114240.0</v>
      </c>
      <c r="L172" s="493">
        <v>1.8852959E7</v>
      </c>
      <c r="M172" s="493">
        <v>0.95</v>
      </c>
      <c r="N172" s="6">
        <v>47.4813</v>
      </c>
    </row>
    <row r="173">
      <c r="A173" s="491" t="s">
        <v>1884</v>
      </c>
      <c r="B173" s="491" t="s">
        <v>163</v>
      </c>
      <c r="C173" s="491" t="s">
        <v>75</v>
      </c>
      <c r="D173" s="491" t="s">
        <v>2018</v>
      </c>
      <c r="E173" s="492" t="s">
        <v>370</v>
      </c>
      <c r="F173" s="493">
        <v>120253.0</v>
      </c>
      <c r="G173" s="493">
        <v>2683.0</v>
      </c>
      <c r="H173" s="493">
        <v>2.23</v>
      </c>
      <c r="I173" s="493">
        <v>0.6</v>
      </c>
      <c r="J173" s="493">
        <v>1.0</v>
      </c>
      <c r="K173" s="493">
        <v>112489.0</v>
      </c>
      <c r="L173" s="493">
        <v>1.8852959E7</v>
      </c>
      <c r="M173" s="493">
        <v>0.9354</v>
      </c>
      <c r="N173" s="6">
        <v>41.9266</v>
      </c>
    </row>
    <row r="174">
      <c r="A174" s="491" t="s">
        <v>1884</v>
      </c>
      <c r="B174" s="491" t="s">
        <v>163</v>
      </c>
      <c r="C174" s="491" t="s">
        <v>75</v>
      </c>
      <c r="D174" s="491" t="s">
        <v>2018</v>
      </c>
      <c r="E174" s="492" t="s">
        <v>371</v>
      </c>
      <c r="F174" s="493">
        <v>120253.0</v>
      </c>
      <c r="G174" s="493">
        <v>2705.0</v>
      </c>
      <c r="H174" s="493">
        <v>2.25</v>
      </c>
      <c r="I174" s="493">
        <v>0.43</v>
      </c>
      <c r="J174" s="493">
        <v>0.94</v>
      </c>
      <c r="K174" s="493">
        <v>80275.0</v>
      </c>
      <c r="L174" s="493">
        <v>1.8852959E7</v>
      </c>
      <c r="M174" s="493">
        <v>0.6676</v>
      </c>
      <c r="N174" s="6">
        <v>29.6765</v>
      </c>
    </row>
    <row r="175">
      <c r="A175" s="491" t="s">
        <v>1884</v>
      </c>
      <c r="B175" s="491" t="s">
        <v>163</v>
      </c>
      <c r="C175" s="491" t="s">
        <v>75</v>
      </c>
      <c r="D175" s="491" t="s">
        <v>2018</v>
      </c>
      <c r="E175" s="492" t="s">
        <v>43</v>
      </c>
      <c r="F175" s="493">
        <v>120253.0</v>
      </c>
      <c r="G175" s="493">
        <v>1497.0</v>
      </c>
      <c r="H175" s="493">
        <v>1.24</v>
      </c>
      <c r="I175" s="493">
        <v>0.31</v>
      </c>
      <c r="J175" s="493">
        <v>0.35</v>
      </c>
      <c r="K175" s="493">
        <v>57780.0</v>
      </c>
      <c r="L175" s="493">
        <v>1.8852959E7</v>
      </c>
      <c r="M175" s="493">
        <v>0.4805</v>
      </c>
      <c r="N175" s="6">
        <v>38.5972</v>
      </c>
    </row>
    <row r="176">
      <c r="A176" s="491" t="s">
        <v>1884</v>
      </c>
      <c r="B176" s="491" t="s">
        <v>163</v>
      </c>
      <c r="C176" s="491" t="s">
        <v>75</v>
      </c>
      <c r="D176" s="491" t="s">
        <v>2018</v>
      </c>
      <c r="E176" s="492" t="s">
        <v>35</v>
      </c>
      <c r="F176" s="493">
        <v>120253.0</v>
      </c>
      <c r="G176" s="493">
        <v>1224.0</v>
      </c>
      <c r="H176" s="493">
        <v>1.02</v>
      </c>
      <c r="I176" s="493">
        <v>0.26</v>
      </c>
      <c r="J176" s="493">
        <v>0.39</v>
      </c>
      <c r="K176" s="493">
        <v>48540.0</v>
      </c>
      <c r="L176" s="493">
        <v>1.8852959E7</v>
      </c>
      <c r="M176" s="493">
        <v>0.4036</v>
      </c>
      <c r="N176" s="6">
        <v>39.6569</v>
      </c>
    </row>
    <row r="177">
      <c r="A177" s="491" t="s">
        <v>1884</v>
      </c>
      <c r="B177" s="491" t="s">
        <v>163</v>
      </c>
      <c r="C177" s="491" t="s">
        <v>75</v>
      </c>
      <c r="D177" s="491" t="s">
        <v>2018</v>
      </c>
      <c r="E177" s="492" t="s">
        <v>368</v>
      </c>
      <c r="F177" s="493">
        <v>120253.0</v>
      </c>
      <c r="G177" s="493">
        <v>1413.0</v>
      </c>
      <c r="H177" s="493">
        <v>1.18</v>
      </c>
      <c r="I177" s="493">
        <v>0.17</v>
      </c>
      <c r="J177" s="493">
        <v>0.42</v>
      </c>
      <c r="K177" s="493">
        <v>32440.0</v>
      </c>
      <c r="L177" s="493">
        <v>1.8852959E7</v>
      </c>
      <c r="M177" s="493">
        <v>0.2698</v>
      </c>
      <c r="N177" s="6">
        <v>22.9582</v>
      </c>
    </row>
    <row r="178">
      <c r="A178" s="491" t="s">
        <v>1884</v>
      </c>
      <c r="B178" s="491" t="s">
        <v>163</v>
      </c>
      <c r="C178" s="491" t="s">
        <v>75</v>
      </c>
      <c r="D178" s="491" t="s">
        <v>2018</v>
      </c>
      <c r="E178" s="492" t="s">
        <v>366</v>
      </c>
      <c r="F178" s="493">
        <v>120253.0</v>
      </c>
      <c r="G178" s="493">
        <v>620.0</v>
      </c>
      <c r="H178" s="493">
        <v>0.52</v>
      </c>
      <c r="I178" s="493">
        <v>0.16</v>
      </c>
      <c r="J178" s="493">
        <v>0.26</v>
      </c>
      <c r="K178" s="493">
        <v>31020.0</v>
      </c>
      <c r="L178" s="493">
        <v>1.8852959E7</v>
      </c>
      <c r="M178" s="493">
        <v>0.258</v>
      </c>
      <c r="N178" s="6">
        <v>50.0323</v>
      </c>
    </row>
    <row r="179">
      <c r="A179" s="491" t="s">
        <v>1884</v>
      </c>
      <c r="B179" s="491" t="s">
        <v>163</v>
      </c>
      <c r="C179" s="491" t="s">
        <v>75</v>
      </c>
      <c r="D179" s="491" t="s">
        <v>2018</v>
      </c>
      <c r="E179" s="492" t="s">
        <v>189</v>
      </c>
      <c r="F179" s="493">
        <v>120253.0</v>
      </c>
      <c r="G179" s="493">
        <v>761.0</v>
      </c>
      <c r="H179" s="493">
        <v>0.63</v>
      </c>
      <c r="I179" s="493">
        <v>0.15</v>
      </c>
      <c r="J179" s="493">
        <v>0.28</v>
      </c>
      <c r="K179" s="493">
        <v>28140.0</v>
      </c>
      <c r="L179" s="493">
        <v>1.8852959E7</v>
      </c>
      <c r="M179" s="493">
        <v>0.234</v>
      </c>
      <c r="N179" s="6">
        <v>36.9777</v>
      </c>
    </row>
    <row r="180">
      <c r="A180" s="491" t="s">
        <v>1884</v>
      </c>
      <c r="B180" s="491" t="s">
        <v>163</v>
      </c>
      <c r="C180" s="491" t="s">
        <v>75</v>
      </c>
      <c r="D180" s="491" t="s">
        <v>2018</v>
      </c>
      <c r="E180" s="492" t="s">
        <v>50</v>
      </c>
      <c r="F180" s="493">
        <v>120253.0</v>
      </c>
      <c r="G180" s="493">
        <v>472.0</v>
      </c>
      <c r="H180" s="493">
        <v>0.39</v>
      </c>
      <c r="I180" s="493">
        <v>0.13</v>
      </c>
      <c r="J180" s="493">
        <v>0.23</v>
      </c>
      <c r="K180" s="493">
        <v>24845.0</v>
      </c>
      <c r="L180" s="493">
        <v>1.8852959E7</v>
      </c>
      <c r="M180" s="493">
        <v>0.2066</v>
      </c>
      <c r="N180" s="6">
        <v>52.6377</v>
      </c>
    </row>
    <row r="181">
      <c r="A181" s="491" t="s">
        <v>1884</v>
      </c>
      <c r="B181" s="491" t="s">
        <v>163</v>
      </c>
      <c r="C181" s="491" t="s">
        <v>75</v>
      </c>
      <c r="D181" s="491" t="s">
        <v>2018</v>
      </c>
      <c r="E181" s="492" t="s">
        <v>32</v>
      </c>
      <c r="F181" s="493">
        <v>120253.0</v>
      </c>
      <c r="G181" s="493">
        <v>233.0</v>
      </c>
      <c r="H181" s="493">
        <v>0.19</v>
      </c>
      <c r="I181" s="493">
        <v>0.04</v>
      </c>
      <c r="J181" s="493">
        <v>0.06</v>
      </c>
      <c r="K181" s="493">
        <v>8270.0</v>
      </c>
      <c r="L181" s="493">
        <v>1.8852959E7</v>
      </c>
      <c r="M181" s="493">
        <v>0.0688</v>
      </c>
      <c r="N181" s="6">
        <v>35.4936</v>
      </c>
    </row>
    <row r="182">
      <c r="A182" s="491" t="s">
        <v>1884</v>
      </c>
      <c r="B182" s="491" t="s">
        <v>163</v>
      </c>
      <c r="C182" s="491" t="s">
        <v>75</v>
      </c>
      <c r="D182" s="491" t="s">
        <v>2018</v>
      </c>
      <c r="E182" s="492" t="s">
        <v>373</v>
      </c>
      <c r="F182" s="493">
        <v>120253.0</v>
      </c>
      <c r="G182" s="493">
        <v>1.0</v>
      </c>
      <c r="H182" s="493">
        <v>0.0</v>
      </c>
      <c r="I182" s="493">
        <v>0.0</v>
      </c>
      <c r="J182" s="493">
        <v>0.0</v>
      </c>
      <c r="K182" s="493">
        <v>15.0</v>
      </c>
      <c r="L182" s="493">
        <v>1.8852959E7</v>
      </c>
      <c r="M182" s="493">
        <v>1.0E-4</v>
      </c>
      <c r="N182" s="6">
        <v>15.0</v>
      </c>
    </row>
    <row r="183">
      <c r="A183" s="491" t="s">
        <v>1884</v>
      </c>
      <c r="B183" s="491" t="s">
        <v>163</v>
      </c>
      <c r="C183" s="491" t="s">
        <v>75</v>
      </c>
      <c r="D183" s="491" t="s">
        <v>2018</v>
      </c>
      <c r="E183" s="492" t="s">
        <v>42</v>
      </c>
      <c r="F183" s="493">
        <v>120253.0</v>
      </c>
      <c r="G183" s="493">
        <v>4.0</v>
      </c>
      <c r="H183" s="493">
        <v>0.0</v>
      </c>
      <c r="I183" s="493">
        <v>0.0</v>
      </c>
      <c r="J183" s="493">
        <v>0.0</v>
      </c>
      <c r="K183" s="493">
        <v>190.0</v>
      </c>
      <c r="L183" s="493">
        <v>1.8852959E7</v>
      </c>
      <c r="M183" s="493">
        <v>0.0016</v>
      </c>
      <c r="N183" s="6">
        <v>47.5</v>
      </c>
    </row>
    <row r="184">
      <c r="A184" s="491" t="s">
        <v>1884</v>
      </c>
      <c r="B184" s="491" t="s">
        <v>163</v>
      </c>
      <c r="C184" s="491" t="s">
        <v>75</v>
      </c>
      <c r="D184" s="491" t="s">
        <v>2018</v>
      </c>
      <c r="E184" s="492" t="s">
        <v>46</v>
      </c>
      <c r="F184" s="493">
        <v>120253.0</v>
      </c>
      <c r="G184" s="493">
        <v>2.0</v>
      </c>
      <c r="H184" s="493">
        <v>0.0</v>
      </c>
      <c r="I184" s="493">
        <v>0.0</v>
      </c>
      <c r="J184" s="493">
        <v>0.0</v>
      </c>
      <c r="K184" s="493">
        <v>130.0</v>
      </c>
      <c r="L184" s="493">
        <v>1.8852959E7</v>
      </c>
      <c r="M184" s="493">
        <v>0.0011</v>
      </c>
      <c r="N184" s="6">
        <v>65.0</v>
      </c>
    </row>
    <row r="185">
      <c r="A185" s="491" t="s">
        <v>1884</v>
      </c>
      <c r="B185" s="491" t="s">
        <v>163</v>
      </c>
      <c r="C185" s="491" t="s">
        <v>75</v>
      </c>
      <c r="D185" s="491" t="s">
        <v>2018</v>
      </c>
      <c r="E185" s="492" t="s">
        <v>134</v>
      </c>
      <c r="F185" s="493">
        <v>120253.0</v>
      </c>
      <c r="G185" s="493">
        <v>32.0</v>
      </c>
      <c r="H185" s="493">
        <v>0.03</v>
      </c>
      <c r="I185" s="493">
        <v>0.0</v>
      </c>
      <c r="J185" s="493">
        <v>0.01</v>
      </c>
      <c r="K185" s="493">
        <v>705.0</v>
      </c>
      <c r="L185" s="493">
        <v>1.8852959E7</v>
      </c>
      <c r="M185" s="493">
        <v>0.0059</v>
      </c>
      <c r="N185" s="6">
        <v>22.0313</v>
      </c>
    </row>
    <row r="186">
      <c r="A186" s="491" t="s">
        <v>1884</v>
      </c>
      <c r="B186" s="491" t="s">
        <v>163</v>
      </c>
      <c r="C186" s="491" t="s">
        <v>75</v>
      </c>
      <c r="D186" s="491" t="s">
        <v>2018</v>
      </c>
      <c r="E186" s="492" t="s">
        <v>40</v>
      </c>
      <c r="F186" s="493">
        <v>120253.0</v>
      </c>
      <c r="G186" s="493">
        <v>2.0</v>
      </c>
      <c r="H186" s="493">
        <v>0.0</v>
      </c>
      <c r="I186" s="493">
        <v>0.0</v>
      </c>
      <c r="J186" s="493">
        <v>0.0</v>
      </c>
      <c r="K186" s="493">
        <v>130.0</v>
      </c>
      <c r="L186" s="493">
        <v>1.8852959E7</v>
      </c>
      <c r="M186" s="493">
        <v>0.0011</v>
      </c>
      <c r="N186" s="6">
        <v>65.0</v>
      </c>
    </row>
    <row r="187">
      <c r="A187" s="491" t="s">
        <v>1884</v>
      </c>
      <c r="B187" s="491" t="s">
        <v>1857</v>
      </c>
      <c r="C187" s="491" t="s">
        <v>71</v>
      </c>
      <c r="D187" s="491" t="s">
        <v>565</v>
      </c>
      <c r="E187" s="492" t="s">
        <v>370</v>
      </c>
      <c r="F187" s="493">
        <v>38633.0</v>
      </c>
      <c r="G187" s="493">
        <v>28431.0</v>
      </c>
      <c r="H187" s="493">
        <v>73.59</v>
      </c>
      <c r="I187" s="493">
        <v>66.63</v>
      </c>
      <c r="J187" s="493">
        <v>66.24</v>
      </c>
      <c r="K187" s="493">
        <v>45097.0</v>
      </c>
      <c r="L187" s="493">
        <v>67684.0</v>
      </c>
      <c r="M187" s="493">
        <v>1.1673</v>
      </c>
      <c r="N187" s="6">
        <v>1.5862</v>
      </c>
    </row>
    <row r="188">
      <c r="A188" s="491" t="s">
        <v>1884</v>
      </c>
      <c r="B188" s="491" t="s">
        <v>1857</v>
      </c>
      <c r="C188" s="491" t="s">
        <v>71</v>
      </c>
      <c r="D188" s="491" t="s">
        <v>565</v>
      </c>
      <c r="E188" s="492" t="s">
        <v>42</v>
      </c>
      <c r="F188" s="493">
        <v>38633.0</v>
      </c>
      <c r="G188" s="493">
        <v>9235.0</v>
      </c>
      <c r="H188" s="493">
        <v>23.9</v>
      </c>
      <c r="I188" s="493">
        <v>17.39</v>
      </c>
      <c r="J188" s="493">
        <v>17.78</v>
      </c>
      <c r="K188" s="493">
        <v>11767.0</v>
      </c>
      <c r="L188" s="493">
        <v>67684.0</v>
      </c>
      <c r="M188" s="493">
        <v>0.3046</v>
      </c>
      <c r="N188" s="6">
        <v>1.2742</v>
      </c>
    </row>
    <row r="189">
      <c r="A189" s="491" t="s">
        <v>1884</v>
      </c>
      <c r="B189" s="491" t="s">
        <v>1857</v>
      </c>
      <c r="C189" s="491" t="s">
        <v>71</v>
      </c>
      <c r="D189" s="491" t="s">
        <v>565</v>
      </c>
      <c r="E189" s="492" t="s">
        <v>49</v>
      </c>
      <c r="F189" s="493">
        <v>38633.0</v>
      </c>
      <c r="G189" s="493">
        <v>3630.0</v>
      </c>
      <c r="H189" s="493">
        <v>9.4</v>
      </c>
      <c r="I189" s="493">
        <v>5.98</v>
      </c>
      <c r="J189" s="493">
        <v>6.26</v>
      </c>
      <c r="K189" s="493">
        <v>4046.0</v>
      </c>
      <c r="L189" s="493">
        <v>67684.0</v>
      </c>
      <c r="M189" s="493">
        <v>0.1047</v>
      </c>
      <c r="N189" s="6">
        <v>1.1146</v>
      </c>
    </row>
    <row r="190">
      <c r="A190" s="491" t="s">
        <v>1884</v>
      </c>
      <c r="B190" s="491" t="s">
        <v>1857</v>
      </c>
      <c r="C190" s="491" t="s">
        <v>71</v>
      </c>
      <c r="D190" s="491" t="s">
        <v>565</v>
      </c>
      <c r="E190" s="492" t="s">
        <v>372</v>
      </c>
      <c r="F190" s="493">
        <v>38633.0</v>
      </c>
      <c r="G190" s="493">
        <v>2910.0</v>
      </c>
      <c r="H190" s="493">
        <v>7.53</v>
      </c>
      <c r="I190" s="493">
        <v>5.87</v>
      </c>
      <c r="J190" s="493">
        <v>5.15</v>
      </c>
      <c r="K190" s="493">
        <v>3975.0</v>
      </c>
      <c r="L190" s="493">
        <v>67684.0</v>
      </c>
      <c r="M190" s="493">
        <v>0.1029</v>
      </c>
      <c r="N190" s="6">
        <v>1.366</v>
      </c>
    </row>
    <row r="191">
      <c r="A191" s="491" t="s">
        <v>1884</v>
      </c>
      <c r="B191" s="491" t="s">
        <v>1857</v>
      </c>
      <c r="C191" s="491" t="s">
        <v>71</v>
      </c>
      <c r="D191" s="491" t="s">
        <v>565</v>
      </c>
      <c r="E191" s="492" t="s">
        <v>44</v>
      </c>
      <c r="F191" s="493">
        <v>38633.0</v>
      </c>
      <c r="G191" s="493">
        <v>1351.0</v>
      </c>
      <c r="H191" s="493">
        <v>3.5</v>
      </c>
      <c r="I191" s="493">
        <v>2.13</v>
      </c>
      <c r="J191" s="493">
        <v>2.32</v>
      </c>
      <c r="K191" s="493">
        <v>1440.0</v>
      </c>
      <c r="L191" s="493">
        <v>67684.0</v>
      </c>
      <c r="M191" s="493">
        <v>0.0373</v>
      </c>
      <c r="N191" s="6">
        <v>1.0659</v>
      </c>
    </row>
    <row r="192">
      <c r="A192" s="491" t="s">
        <v>1884</v>
      </c>
      <c r="B192" s="491" t="s">
        <v>1857</v>
      </c>
      <c r="C192" s="491" t="s">
        <v>71</v>
      </c>
      <c r="D192" s="491" t="s">
        <v>565</v>
      </c>
      <c r="E192" s="492" t="s">
        <v>50</v>
      </c>
      <c r="F192" s="493">
        <v>38633.0</v>
      </c>
      <c r="G192" s="493">
        <v>549.0</v>
      </c>
      <c r="H192" s="493">
        <v>1.42</v>
      </c>
      <c r="I192" s="493">
        <v>0.83</v>
      </c>
      <c r="J192" s="493">
        <v>1.06</v>
      </c>
      <c r="K192" s="493">
        <v>564.0</v>
      </c>
      <c r="L192" s="493">
        <v>67684.0</v>
      </c>
      <c r="M192" s="493">
        <v>0.0146</v>
      </c>
      <c r="N192" s="6">
        <v>1.0273</v>
      </c>
    </row>
    <row r="193">
      <c r="A193" s="491" t="s">
        <v>1884</v>
      </c>
      <c r="B193" s="491" t="s">
        <v>1857</v>
      </c>
      <c r="C193" s="491" t="s">
        <v>71</v>
      </c>
      <c r="D193" s="491" t="s">
        <v>565</v>
      </c>
      <c r="E193" s="492" t="s">
        <v>43</v>
      </c>
      <c r="F193" s="493">
        <v>38633.0</v>
      </c>
      <c r="G193" s="493">
        <v>304.0</v>
      </c>
      <c r="H193" s="493">
        <v>0.79</v>
      </c>
      <c r="I193" s="493">
        <v>0.47</v>
      </c>
      <c r="J193" s="493">
        <v>0.5</v>
      </c>
      <c r="K193" s="493">
        <v>318.0</v>
      </c>
      <c r="L193" s="493">
        <v>67684.0</v>
      </c>
      <c r="M193" s="493">
        <v>0.0082</v>
      </c>
      <c r="N193" s="6">
        <v>1.0461</v>
      </c>
    </row>
    <row r="194">
      <c r="A194" s="491" t="s">
        <v>1884</v>
      </c>
      <c r="B194" s="491" t="s">
        <v>1857</v>
      </c>
      <c r="C194" s="491" t="s">
        <v>71</v>
      </c>
      <c r="D194" s="491" t="s">
        <v>565</v>
      </c>
      <c r="E194" s="492" t="s">
        <v>371</v>
      </c>
      <c r="F194" s="493">
        <v>38633.0</v>
      </c>
      <c r="G194" s="493">
        <v>281.0</v>
      </c>
      <c r="H194" s="493">
        <v>0.73</v>
      </c>
      <c r="I194" s="493">
        <v>0.44</v>
      </c>
      <c r="J194" s="493">
        <v>0.48</v>
      </c>
      <c r="K194" s="493">
        <v>296.0</v>
      </c>
      <c r="L194" s="493">
        <v>67684.0</v>
      </c>
      <c r="M194" s="493">
        <v>0.0077</v>
      </c>
      <c r="N194" s="6">
        <v>1.0534</v>
      </c>
    </row>
    <row r="195">
      <c r="A195" s="491" t="s">
        <v>1884</v>
      </c>
      <c r="B195" s="491" t="s">
        <v>1857</v>
      </c>
      <c r="C195" s="491" t="s">
        <v>71</v>
      </c>
      <c r="D195" s="491" t="s">
        <v>565</v>
      </c>
      <c r="E195" s="492" t="s">
        <v>134</v>
      </c>
      <c r="F195" s="493">
        <v>38633.0</v>
      </c>
      <c r="G195" s="493">
        <v>59.0</v>
      </c>
      <c r="H195" s="493">
        <v>0.15</v>
      </c>
      <c r="I195" s="493">
        <v>0.1</v>
      </c>
      <c r="J195" s="493">
        <v>0.07</v>
      </c>
      <c r="K195" s="493">
        <v>71.0</v>
      </c>
      <c r="L195" s="493">
        <v>67684.0</v>
      </c>
      <c r="M195" s="493">
        <v>0.0018</v>
      </c>
      <c r="N195" s="6">
        <v>1.2034</v>
      </c>
    </row>
    <row r="196">
      <c r="A196" s="491" t="s">
        <v>1884</v>
      </c>
      <c r="B196" s="491" t="s">
        <v>1857</v>
      </c>
      <c r="C196" s="491" t="s">
        <v>71</v>
      </c>
      <c r="D196" s="491" t="s">
        <v>565</v>
      </c>
      <c r="E196" s="492" t="s">
        <v>366</v>
      </c>
      <c r="F196" s="493">
        <v>38633.0</v>
      </c>
      <c r="G196" s="493">
        <v>56.0</v>
      </c>
      <c r="H196" s="493">
        <v>0.14</v>
      </c>
      <c r="I196" s="493">
        <v>0.08</v>
      </c>
      <c r="J196" s="493">
        <v>0.09</v>
      </c>
      <c r="K196" s="493">
        <v>57.0</v>
      </c>
      <c r="L196" s="493">
        <v>67684.0</v>
      </c>
      <c r="M196" s="493">
        <v>0.0015</v>
      </c>
      <c r="N196" s="6">
        <v>1.0179</v>
      </c>
    </row>
    <row r="197">
      <c r="A197" s="491" t="s">
        <v>1884</v>
      </c>
      <c r="B197" s="491" t="s">
        <v>1857</v>
      </c>
      <c r="C197" s="491" t="s">
        <v>71</v>
      </c>
      <c r="D197" s="491" t="s">
        <v>565</v>
      </c>
      <c r="E197" s="492" t="s">
        <v>369</v>
      </c>
      <c r="F197" s="493">
        <v>38633.0</v>
      </c>
      <c r="G197" s="493">
        <v>17.0</v>
      </c>
      <c r="H197" s="493">
        <v>0.04</v>
      </c>
      <c r="I197" s="493">
        <v>0.03</v>
      </c>
      <c r="J197" s="493">
        <v>0.01</v>
      </c>
      <c r="K197" s="493">
        <v>18.0</v>
      </c>
      <c r="L197" s="493">
        <v>67684.0</v>
      </c>
      <c r="M197" s="493">
        <v>5.0E-4</v>
      </c>
      <c r="N197" s="6">
        <v>1.0588</v>
      </c>
    </row>
    <row r="198">
      <c r="A198" s="491" t="s">
        <v>1884</v>
      </c>
      <c r="B198" s="491" t="s">
        <v>1857</v>
      </c>
      <c r="C198" s="491" t="s">
        <v>71</v>
      </c>
      <c r="D198" s="491" t="s">
        <v>565</v>
      </c>
      <c r="E198" s="492" t="s">
        <v>35</v>
      </c>
      <c r="F198" s="493">
        <v>38633.0</v>
      </c>
      <c r="G198" s="493">
        <v>15.0</v>
      </c>
      <c r="H198" s="493">
        <v>0.04</v>
      </c>
      <c r="I198" s="493">
        <v>0.02</v>
      </c>
      <c r="J198" s="493">
        <v>0.02</v>
      </c>
      <c r="K198" s="493">
        <v>16.0</v>
      </c>
      <c r="L198" s="493">
        <v>67684.0</v>
      </c>
      <c r="M198" s="493">
        <v>4.0E-4</v>
      </c>
      <c r="N198" s="6">
        <v>1.0667</v>
      </c>
    </row>
    <row r="199">
      <c r="A199" s="491" t="s">
        <v>1884</v>
      </c>
      <c r="B199" s="491" t="s">
        <v>1857</v>
      </c>
      <c r="C199" s="491" t="s">
        <v>71</v>
      </c>
      <c r="D199" s="491" t="s">
        <v>565</v>
      </c>
      <c r="E199" s="492" t="s">
        <v>373</v>
      </c>
      <c r="F199" s="493">
        <v>38633.0</v>
      </c>
      <c r="G199" s="493">
        <v>1.0</v>
      </c>
      <c r="H199" s="493">
        <v>0.0</v>
      </c>
      <c r="I199" s="493">
        <v>0.02</v>
      </c>
      <c r="J199" s="493">
        <v>0.0</v>
      </c>
      <c r="K199" s="493">
        <v>11.0</v>
      </c>
      <c r="L199" s="493">
        <v>67684.0</v>
      </c>
      <c r="M199" s="493">
        <v>3.0E-4</v>
      </c>
      <c r="N199" s="6">
        <v>11.0</v>
      </c>
    </row>
    <row r="200">
      <c r="A200" s="491" t="s">
        <v>1884</v>
      </c>
      <c r="B200" s="491" t="s">
        <v>1857</v>
      </c>
      <c r="C200" s="491" t="s">
        <v>71</v>
      </c>
      <c r="D200" s="491" t="s">
        <v>565</v>
      </c>
      <c r="E200" s="492" t="s">
        <v>189</v>
      </c>
      <c r="F200" s="493">
        <v>38633.0</v>
      </c>
      <c r="G200" s="493">
        <v>6.0</v>
      </c>
      <c r="H200" s="493">
        <v>0.02</v>
      </c>
      <c r="I200" s="493">
        <v>0.01</v>
      </c>
      <c r="J200" s="493">
        <v>0.01</v>
      </c>
      <c r="K200" s="493">
        <v>6.0</v>
      </c>
      <c r="L200" s="493">
        <v>67684.0</v>
      </c>
      <c r="M200" s="493">
        <v>2.0E-4</v>
      </c>
      <c r="N200" s="6">
        <v>1.0</v>
      </c>
    </row>
    <row r="201">
      <c r="A201" s="491" t="s">
        <v>1884</v>
      </c>
      <c r="B201" s="491" t="s">
        <v>1857</v>
      </c>
      <c r="C201" s="491" t="s">
        <v>71</v>
      </c>
      <c r="D201" s="491" t="s">
        <v>565</v>
      </c>
      <c r="E201" s="492" t="s">
        <v>32</v>
      </c>
      <c r="F201" s="493">
        <v>38633.0</v>
      </c>
      <c r="G201" s="493">
        <v>1.0</v>
      </c>
      <c r="H201" s="493">
        <v>0.0</v>
      </c>
      <c r="I201" s="493">
        <v>0.0</v>
      </c>
      <c r="J201" s="493">
        <v>0.0</v>
      </c>
      <c r="K201" s="493">
        <v>1.0</v>
      </c>
      <c r="L201" s="493">
        <v>67684.0</v>
      </c>
      <c r="M201" s="493">
        <v>0.0</v>
      </c>
      <c r="N201" s="6">
        <v>1.0</v>
      </c>
    </row>
    <row r="202">
      <c r="A202" s="491" t="s">
        <v>1884</v>
      </c>
      <c r="B202" s="491" t="s">
        <v>1857</v>
      </c>
      <c r="C202" s="491" t="s">
        <v>71</v>
      </c>
      <c r="D202" s="491" t="s">
        <v>565</v>
      </c>
      <c r="E202" s="492" t="s">
        <v>368</v>
      </c>
      <c r="F202" s="493">
        <v>38633.0</v>
      </c>
      <c r="G202" s="493">
        <v>1.0</v>
      </c>
      <c r="H202" s="493">
        <v>0.0</v>
      </c>
      <c r="I202" s="493">
        <v>0.0</v>
      </c>
      <c r="J202" s="493">
        <v>0.0</v>
      </c>
      <c r="K202" s="493">
        <v>1.0</v>
      </c>
      <c r="L202" s="493">
        <v>67684.0</v>
      </c>
      <c r="M202" s="493">
        <v>0.0</v>
      </c>
      <c r="N202" s="6">
        <v>1.0</v>
      </c>
    </row>
    <row r="203">
      <c r="A203" s="491" t="s">
        <v>1884</v>
      </c>
      <c r="B203" s="491" t="s">
        <v>1857</v>
      </c>
      <c r="C203" s="491" t="s">
        <v>70</v>
      </c>
      <c r="D203" s="491" t="s">
        <v>565</v>
      </c>
      <c r="E203" s="492" t="s">
        <v>370</v>
      </c>
      <c r="F203" s="493">
        <v>48955.0</v>
      </c>
      <c r="G203" s="493">
        <v>28522.0</v>
      </c>
      <c r="H203" s="493">
        <v>58.26</v>
      </c>
      <c r="I203" s="493">
        <v>45.77</v>
      </c>
      <c r="J203" s="493">
        <v>45.32</v>
      </c>
      <c r="K203" s="493">
        <v>44645.0</v>
      </c>
      <c r="L203" s="493">
        <v>97548.0</v>
      </c>
      <c r="M203" s="493">
        <v>0.912</v>
      </c>
      <c r="N203" s="6">
        <v>1.5653</v>
      </c>
    </row>
    <row r="204">
      <c r="A204" s="491" t="s">
        <v>1884</v>
      </c>
      <c r="B204" s="491" t="s">
        <v>1857</v>
      </c>
      <c r="C204" s="491" t="s">
        <v>70</v>
      </c>
      <c r="D204" s="491" t="s">
        <v>565</v>
      </c>
      <c r="E204" s="492" t="s">
        <v>372</v>
      </c>
      <c r="F204" s="493">
        <v>48955.0</v>
      </c>
      <c r="G204" s="493">
        <v>15043.0</v>
      </c>
      <c r="H204" s="493">
        <v>30.73</v>
      </c>
      <c r="I204" s="493">
        <v>22.75</v>
      </c>
      <c r="J204" s="493">
        <v>20.27</v>
      </c>
      <c r="K204" s="493">
        <v>22194.0</v>
      </c>
      <c r="L204" s="493">
        <v>97548.0</v>
      </c>
      <c r="M204" s="493">
        <v>0.4534</v>
      </c>
      <c r="N204" s="6">
        <v>1.4754</v>
      </c>
    </row>
    <row r="205">
      <c r="A205" s="491" t="s">
        <v>1884</v>
      </c>
      <c r="B205" s="491" t="s">
        <v>1857</v>
      </c>
      <c r="C205" s="491" t="s">
        <v>70</v>
      </c>
      <c r="D205" s="491" t="s">
        <v>565</v>
      </c>
      <c r="E205" s="492" t="s">
        <v>369</v>
      </c>
      <c r="F205" s="493">
        <v>48955.0</v>
      </c>
      <c r="G205" s="493">
        <v>8238.0</v>
      </c>
      <c r="H205" s="493">
        <v>16.83</v>
      </c>
      <c r="I205" s="493">
        <v>11.15</v>
      </c>
      <c r="J205" s="493">
        <v>11.59</v>
      </c>
      <c r="K205" s="493">
        <v>10875.0</v>
      </c>
      <c r="L205" s="493">
        <v>97548.0</v>
      </c>
      <c r="M205" s="493">
        <v>0.2221</v>
      </c>
      <c r="N205" s="6">
        <v>1.3201</v>
      </c>
    </row>
    <row r="206">
      <c r="A206" s="491" t="s">
        <v>1884</v>
      </c>
      <c r="B206" s="491" t="s">
        <v>1857</v>
      </c>
      <c r="C206" s="491" t="s">
        <v>70</v>
      </c>
      <c r="D206" s="491" t="s">
        <v>565</v>
      </c>
      <c r="E206" s="492" t="s">
        <v>42</v>
      </c>
      <c r="F206" s="493">
        <v>48955.0</v>
      </c>
      <c r="G206" s="493">
        <v>5103.0</v>
      </c>
      <c r="H206" s="493">
        <v>10.42</v>
      </c>
      <c r="I206" s="493">
        <v>6.18</v>
      </c>
      <c r="J206" s="493">
        <v>6.58</v>
      </c>
      <c r="K206" s="493">
        <v>6024.0</v>
      </c>
      <c r="L206" s="493">
        <v>97548.0</v>
      </c>
      <c r="M206" s="493">
        <v>0.1231</v>
      </c>
      <c r="N206" s="6">
        <v>1.1805</v>
      </c>
    </row>
    <row r="207">
      <c r="A207" s="491" t="s">
        <v>1884</v>
      </c>
      <c r="B207" s="491" t="s">
        <v>1857</v>
      </c>
      <c r="C207" s="491" t="s">
        <v>70</v>
      </c>
      <c r="D207" s="491" t="s">
        <v>565</v>
      </c>
      <c r="E207" s="492" t="s">
        <v>49</v>
      </c>
      <c r="F207" s="493">
        <v>48955.0</v>
      </c>
      <c r="G207" s="493">
        <v>3630.0</v>
      </c>
      <c r="H207" s="493">
        <v>7.41</v>
      </c>
      <c r="I207" s="493">
        <v>4.15</v>
      </c>
      <c r="J207" s="493">
        <v>4.51</v>
      </c>
      <c r="K207" s="493">
        <v>4046.0</v>
      </c>
      <c r="L207" s="493">
        <v>97548.0</v>
      </c>
      <c r="M207" s="493">
        <v>0.0826</v>
      </c>
      <c r="N207" s="6">
        <v>1.1146</v>
      </c>
    </row>
    <row r="208">
      <c r="A208" s="491" t="s">
        <v>1884</v>
      </c>
      <c r="B208" s="491" t="s">
        <v>1857</v>
      </c>
      <c r="C208" s="491" t="s">
        <v>70</v>
      </c>
      <c r="D208" s="491" t="s">
        <v>565</v>
      </c>
      <c r="E208" s="492" t="s">
        <v>44</v>
      </c>
      <c r="F208" s="493">
        <v>48955.0</v>
      </c>
      <c r="G208" s="493">
        <v>3680.0</v>
      </c>
      <c r="H208" s="493">
        <v>7.52</v>
      </c>
      <c r="I208" s="493">
        <v>4.1</v>
      </c>
      <c r="J208" s="493">
        <v>4.97</v>
      </c>
      <c r="K208" s="493">
        <v>4002.0</v>
      </c>
      <c r="L208" s="493">
        <v>97548.0</v>
      </c>
      <c r="M208" s="493">
        <v>0.0817</v>
      </c>
      <c r="N208" s="6">
        <v>1.0875</v>
      </c>
    </row>
    <row r="209">
      <c r="A209" s="491" t="s">
        <v>1884</v>
      </c>
      <c r="B209" s="491" t="s">
        <v>1857</v>
      </c>
      <c r="C209" s="491" t="s">
        <v>70</v>
      </c>
      <c r="D209" s="491" t="s">
        <v>565</v>
      </c>
      <c r="E209" s="492" t="s">
        <v>189</v>
      </c>
      <c r="F209" s="493">
        <v>48955.0</v>
      </c>
      <c r="G209" s="493">
        <v>2780.0</v>
      </c>
      <c r="H209" s="493">
        <v>5.68</v>
      </c>
      <c r="I209" s="493">
        <v>2.92</v>
      </c>
      <c r="J209" s="493">
        <v>3.56</v>
      </c>
      <c r="K209" s="493">
        <v>2847.0</v>
      </c>
      <c r="L209" s="493">
        <v>97548.0</v>
      </c>
      <c r="M209" s="493">
        <v>0.0582</v>
      </c>
      <c r="N209" s="6">
        <v>1.0241</v>
      </c>
    </row>
    <row r="210">
      <c r="A210" s="491" t="s">
        <v>1884</v>
      </c>
      <c r="B210" s="491" t="s">
        <v>1857</v>
      </c>
      <c r="C210" s="491" t="s">
        <v>70</v>
      </c>
      <c r="D210" s="491" t="s">
        <v>565</v>
      </c>
      <c r="E210" s="492" t="s">
        <v>35</v>
      </c>
      <c r="F210" s="493">
        <v>48955.0</v>
      </c>
      <c r="G210" s="493">
        <v>1247.0</v>
      </c>
      <c r="H210" s="493">
        <v>2.55</v>
      </c>
      <c r="I210" s="493">
        <v>1.34</v>
      </c>
      <c r="J210" s="493">
        <v>1.33</v>
      </c>
      <c r="K210" s="493">
        <v>1306.0</v>
      </c>
      <c r="L210" s="493">
        <v>97548.0</v>
      </c>
      <c r="M210" s="493">
        <v>0.0267</v>
      </c>
      <c r="N210" s="6">
        <v>1.0473</v>
      </c>
    </row>
    <row r="211">
      <c r="A211" s="491" t="s">
        <v>1884</v>
      </c>
      <c r="B211" s="491" t="s">
        <v>1857</v>
      </c>
      <c r="C211" s="491" t="s">
        <v>70</v>
      </c>
      <c r="D211" s="491" t="s">
        <v>565</v>
      </c>
      <c r="E211" s="492" t="s">
        <v>371</v>
      </c>
      <c r="F211" s="493">
        <v>48955.0</v>
      </c>
      <c r="G211" s="493">
        <v>588.0</v>
      </c>
      <c r="H211" s="493">
        <v>1.2</v>
      </c>
      <c r="I211" s="493">
        <v>0.63</v>
      </c>
      <c r="J211" s="493">
        <v>0.73</v>
      </c>
      <c r="K211" s="493">
        <v>611.0</v>
      </c>
      <c r="L211" s="493">
        <v>97548.0</v>
      </c>
      <c r="M211" s="493">
        <v>0.0125</v>
      </c>
      <c r="N211" s="6">
        <v>1.0391</v>
      </c>
    </row>
    <row r="212">
      <c r="A212" s="491" t="s">
        <v>1884</v>
      </c>
      <c r="B212" s="491" t="s">
        <v>1857</v>
      </c>
      <c r="C212" s="491" t="s">
        <v>70</v>
      </c>
      <c r="D212" s="491" t="s">
        <v>565</v>
      </c>
      <c r="E212" s="492" t="s">
        <v>43</v>
      </c>
      <c r="F212" s="493">
        <v>48955.0</v>
      </c>
      <c r="G212" s="493">
        <v>403.0</v>
      </c>
      <c r="H212" s="493">
        <v>0.82</v>
      </c>
      <c r="I212" s="493">
        <v>0.43</v>
      </c>
      <c r="J212" s="493">
        <v>0.49</v>
      </c>
      <c r="K212" s="493">
        <v>422.0</v>
      </c>
      <c r="L212" s="493">
        <v>97548.0</v>
      </c>
      <c r="M212" s="493">
        <v>0.0086</v>
      </c>
      <c r="N212" s="6">
        <v>1.0471</v>
      </c>
    </row>
    <row r="213">
      <c r="A213" s="491" t="s">
        <v>1884</v>
      </c>
      <c r="B213" s="491" t="s">
        <v>1857</v>
      </c>
      <c r="C213" s="491" t="s">
        <v>70</v>
      </c>
      <c r="D213" s="491" t="s">
        <v>565</v>
      </c>
      <c r="E213" s="492" t="s">
        <v>50</v>
      </c>
      <c r="F213" s="493">
        <v>48955.0</v>
      </c>
      <c r="G213" s="493">
        <v>319.0</v>
      </c>
      <c r="H213" s="493">
        <v>0.65</v>
      </c>
      <c r="I213" s="493">
        <v>0.33</v>
      </c>
      <c r="J213" s="493">
        <v>0.42</v>
      </c>
      <c r="K213" s="493">
        <v>319.0</v>
      </c>
      <c r="L213" s="493">
        <v>97548.0</v>
      </c>
      <c r="M213" s="493">
        <v>0.0065</v>
      </c>
      <c r="N213" s="6">
        <v>1.0</v>
      </c>
    </row>
    <row r="214">
      <c r="A214" s="491" t="s">
        <v>1884</v>
      </c>
      <c r="B214" s="491" t="s">
        <v>1857</v>
      </c>
      <c r="C214" s="491" t="s">
        <v>70</v>
      </c>
      <c r="D214" s="491" t="s">
        <v>565</v>
      </c>
      <c r="E214" s="492" t="s">
        <v>368</v>
      </c>
      <c r="F214" s="493">
        <v>48955.0</v>
      </c>
      <c r="G214" s="493">
        <v>110.0</v>
      </c>
      <c r="H214" s="493">
        <v>0.22</v>
      </c>
      <c r="I214" s="493">
        <v>0.13</v>
      </c>
      <c r="J214" s="493">
        <v>0.11</v>
      </c>
      <c r="K214" s="493">
        <v>129.0</v>
      </c>
      <c r="L214" s="493">
        <v>97548.0</v>
      </c>
      <c r="M214" s="493">
        <v>0.0026</v>
      </c>
      <c r="N214" s="6">
        <v>1.1727</v>
      </c>
    </row>
    <row r="215">
      <c r="A215" s="491" t="s">
        <v>1884</v>
      </c>
      <c r="B215" s="491" t="s">
        <v>1857</v>
      </c>
      <c r="C215" s="491" t="s">
        <v>70</v>
      </c>
      <c r="D215" s="491" t="s">
        <v>565</v>
      </c>
      <c r="E215" s="492" t="s">
        <v>134</v>
      </c>
      <c r="F215" s="493">
        <v>48955.0</v>
      </c>
      <c r="G215" s="493">
        <v>57.0</v>
      </c>
      <c r="H215" s="493">
        <v>0.12</v>
      </c>
      <c r="I215" s="493">
        <v>0.07</v>
      </c>
      <c r="J215" s="493">
        <v>0.06</v>
      </c>
      <c r="K215" s="493">
        <v>65.0</v>
      </c>
      <c r="L215" s="493">
        <v>97548.0</v>
      </c>
      <c r="M215" s="493">
        <v>0.0013</v>
      </c>
      <c r="N215" s="6">
        <v>1.1404</v>
      </c>
    </row>
    <row r="216">
      <c r="A216" s="491" t="s">
        <v>1884</v>
      </c>
      <c r="B216" s="491" t="s">
        <v>1857</v>
      </c>
      <c r="C216" s="491" t="s">
        <v>70</v>
      </c>
      <c r="D216" s="491" t="s">
        <v>565</v>
      </c>
      <c r="E216" s="492" t="s">
        <v>366</v>
      </c>
      <c r="F216" s="493">
        <v>48955.0</v>
      </c>
      <c r="G216" s="493">
        <v>49.0</v>
      </c>
      <c r="H216" s="493">
        <v>0.1</v>
      </c>
      <c r="I216" s="493">
        <v>0.05</v>
      </c>
      <c r="J216" s="493">
        <v>0.05</v>
      </c>
      <c r="K216" s="493">
        <v>53.0</v>
      </c>
      <c r="L216" s="493">
        <v>97548.0</v>
      </c>
      <c r="M216" s="493">
        <v>0.0011</v>
      </c>
      <c r="N216" s="6">
        <v>1.0816</v>
      </c>
    </row>
    <row r="217">
      <c r="A217" s="491" t="s">
        <v>1884</v>
      </c>
      <c r="B217" s="491" t="s">
        <v>1857</v>
      </c>
      <c r="C217" s="491" t="s">
        <v>70</v>
      </c>
      <c r="D217" s="491" t="s">
        <v>565</v>
      </c>
      <c r="E217" s="492" t="s">
        <v>373</v>
      </c>
      <c r="F217" s="493">
        <v>48955.0</v>
      </c>
      <c r="G217" s="493">
        <v>1.0</v>
      </c>
      <c r="H217" s="493">
        <v>0.0</v>
      </c>
      <c r="I217" s="493">
        <v>0.01</v>
      </c>
      <c r="J217" s="493">
        <v>0.0</v>
      </c>
      <c r="K217" s="493">
        <v>8.0</v>
      </c>
      <c r="L217" s="493">
        <v>97548.0</v>
      </c>
      <c r="M217" s="493">
        <v>2.0E-4</v>
      </c>
      <c r="N217" s="6">
        <v>8.0</v>
      </c>
    </row>
    <row r="218">
      <c r="A218" s="491" t="s">
        <v>1884</v>
      </c>
      <c r="B218" s="491" t="s">
        <v>1857</v>
      </c>
      <c r="C218" s="491" t="s">
        <v>70</v>
      </c>
      <c r="D218" s="491" t="s">
        <v>565</v>
      </c>
      <c r="E218" s="492" t="s">
        <v>32</v>
      </c>
      <c r="F218" s="493">
        <v>48955.0</v>
      </c>
      <c r="G218" s="493">
        <v>2.0</v>
      </c>
      <c r="H218" s="493">
        <v>0.0</v>
      </c>
      <c r="I218" s="493">
        <v>0.0</v>
      </c>
      <c r="J218" s="493">
        <v>0.0</v>
      </c>
      <c r="K218" s="493">
        <v>2.0</v>
      </c>
      <c r="L218" s="493">
        <v>97548.0</v>
      </c>
      <c r="M218" s="493">
        <v>0.0</v>
      </c>
      <c r="N218" s="6">
        <v>1.0</v>
      </c>
    </row>
    <row r="219">
      <c r="A219" s="491" t="s">
        <v>1884</v>
      </c>
      <c r="B219" s="491" t="s">
        <v>1857</v>
      </c>
      <c r="C219" s="491" t="s">
        <v>74</v>
      </c>
      <c r="D219" s="491" t="s">
        <v>565</v>
      </c>
      <c r="E219" s="492" t="s">
        <v>42</v>
      </c>
      <c r="F219" s="493">
        <v>28845.0</v>
      </c>
      <c r="G219" s="493">
        <v>17771.0</v>
      </c>
      <c r="H219" s="493">
        <v>61.61</v>
      </c>
      <c r="I219" s="493">
        <v>47.33</v>
      </c>
      <c r="J219" s="493">
        <v>53.33</v>
      </c>
      <c r="K219" s="493">
        <v>24300.0</v>
      </c>
      <c r="L219" s="493">
        <v>51340.0</v>
      </c>
      <c r="M219" s="493">
        <v>0.8424</v>
      </c>
      <c r="N219" s="6">
        <v>1.3674</v>
      </c>
    </row>
    <row r="220">
      <c r="A220" s="491" t="s">
        <v>1884</v>
      </c>
      <c r="B220" s="491" t="s">
        <v>1857</v>
      </c>
      <c r="C220" s="491" t="s">
        <v>74</v>
      </c>
      <c r="D220" s="491" t="s">
        <v>565</v>
      </c>
      <c r="E220" s="492" t="s">
        <v>365</v>
      </c>
      <c r="F220" s="493">
        <v>28845.0</v>
      </c>
      <c r="G220" s="493">
        <v>7433.0</v>
      </c>
      <c r="H220" s="493">
        <v>25.77</v>
      </c>
      <c r="I220" s="493">
        <v>24.81</v>
      </c>
      <c r="J220" s="493">
        <v>19.9</v>
      </c>
      <c r="K220" s="493">
        <v>12740.0</v>
      </c>
      <c r="L220" s="493">
        <v>51340.0</v>
      </c>
      <c r="M220" s="493">
        <v>0.4417</v>
      </c>
      <c r="N220" s="6">
        <v>1.714</v>
      </c>
    </row>
    <row r="221">
      <c r="A221" s="491" t="s">
        <v>1884</v>
      </c>
      <c r="B221" s="491" t="s">
        <v>1857</v>
      </c>
      <c r="C221" s="491" t="s">
        <v>74</v>
      </c>
      <c r="D221" s="491" t="s">
        <v>565</v>
      </c>
      <c r="E221" s="492" t="s">
        <v>367</v>
      </c>
      <c r="F221" s="493">
        <v>28845.0</v>
      </c>
      <c r="G221" s="493">
        <v>5838.0</v>
      </c>
      <c r="H221" s="493">
        <v>20.24</v>
      </c>
      <c r="I221" s="493">
        <v>13.48</v>
      </c>
      <c r="J221" s="493">
        <v>13.9</v>
      </c>
      <c r="K221" s="493">
        <v>6921.0</v>
      </c>
      <c r="L221" s="493">
        <v>51340.0</v>
      </c>
      <c r="M221" s="493">
        <v>0.2399</v>
      </c>
      <c r="N221" s="6">
        <v>1.1855</v>
      </c>
    </row>
    <row r="222">
      <c r="A222" s="491" t="s">
        <v>1884</v>
      </c>
      <c r="B222" s="491" t="s">
        <v>1857</v>
      </c>
      <c r="C222" s="491" t="s">
        <v>74</v>
      </c>
      <c r="D222" s="491" t="s">
        <v>565</v>
      </c>
      <c r="E222" s="492" t="s">
        <v>40</v>
      </c>
      <c r="F222" s="493">
        <v>28845.0</v>
      </c>
      <c r="G222" s="493">
        <v>1840.0</v>
      </c>
      <c r="H222" s="493">
        <v>6.38</v>
      </c>
      <c r="I222" s="493">
        <v>6.15</v>
      </c>
      <c r="J222" s="493">
        <v>4.76</v>
      </c>
      <c r="K222" s="493">
        <v>3159.0</v>
      </c>
      <c r="L222" s="493">
        <v>51340.0</v>
      </c>
      <c r="M222" s="493">
        <v>0.1095</v>
      </c>
      <c r="N222" s="6">
        <v>1.7168</v>
      </c>
    </row>
    <row r="223">
      <c r="A223" s="491" t="s">
        <v>1884</v>
      </c>
      <c r="B223" s="491" t="s">
        <v>1857</v>
      </c>
      <c r="C223" s="491" t="s">
        <v>74</v>
      </c>
      <c r="D223" s="491" t="s">
        <v>565</v>
      </c>
      <c r="E223" s="492" t="s">
        <v>372</v>
      </c>
      <c r="F223" s="493">
        <v>28845.0</v>
      </c>
      <c r="G223" s="493">
        <v>869.0</v>
      </c>
      <c r="H223" s="493">
        <v>3.01</v>
      </c>
      <c r="I223" s="493">
        <v>2.18</v>
      </c>
      <c r="J223" s="493">
        <v>2.21</v>
      </c>
      <c r="K223" s="493">
        <v>1121.0</v>
      </c>
      <c r="L223" s="493">
        <v>51340.0</v>
      </c>
      <c r="M223" s="493">
        <v>0.0389</v>
      </c>
      <c r="N223" s="6">
        <v>1.29</v>
      </c>
    </row>
    <row r="224">
      <c r="A224" s="491" t="s">
        <v>1884</v>
      </c>
      <c r="B224" s="491" t="s">
        <v>1857</v>
      </c>
      <c r="C224" s="491" t="s">
        <v>74</v>
      </c>
      <c r="D224" s="491" t="s">
        <v>565</v>
      </c>
      <c r="E224" s="492" t="s">
        <v>370</v>
      </c>
      <c r="F224" s="493">
        <v>28845.0</v>
      </c>
      <c r="G224" s="493">
        <v>676.0</v>
      </c>
      <c r="H224" s="493">
        <v>2.34</v>
      </c>
      <c r="I224" s="493">
        <v>1.77</v>
      </c>
      <c r="J224" s="493">
        <v>1.29</v>
      </c>
      <c r="K224" s="493">
        <v>908.0</v>
      </c>
      <c r="L224" s="493">
        <v>51340.0</v>
      </c>
      <c r="M224" s="493">
        <v>0.0315</v>
      </c>
      <c r="N224" s="6">
        <v>1.3432</v>
      </c>
    </row>
    <row r="225">
      <c r="A225" s="491" t="s">
        <v>1884</v>
      </c>
      <c r="B225" s="491" t="s">
        <v>1857</v>
      </c>
      <c r="C225" s="491" t="s">
        <v>74</v>
      </c>
      <c r="D225" s="491" t="s">
        <v>565</v>
      </c>
      <c r="E225" s="492" t="s">
        <v>50</v>
      </c>
      <c r="F225" s="493">
        <v>28845.0</v>
      </c>
      <c r="G225" s="493">
        <v>605.0</v>
      </c>
      <c r="H225" s="493">
        <v>2.1</v>
      </c>
      <c r="I225" s="493">
        <v>1.26</v>
      </c>
      <c r="J225" s="493">
        <v>1.53</v>
      </c>
      <c r="K225" s="493">
        <v>647.0</v>
      </c>
      <c r="L225" s="493">
        <v>51340.0</v>
      </c>
      <c r="M225" s="493">
        <v>0.0224</v>
      </c>
      <c r="N225" s="6">
        <v>1.0694</v>
      </c>
    </row>
    <row r="226">
      <c r="A226" s="491" t="s">
        <v>1884</v>
      </c>
      <c r="B226" s="491" t="s">
        <v>1857</v>
      </c>
      <c r="C226" s="491" t="s">
        <v>74</v>
      </c>
      <c r="D226" s="491" t="s">
        <v>565</v>
      </c>
      <c r="E226" s="492" t="s">
        <v>312</v>
      </c>
      <c r="F226" s="493">
        <v>28845.0</v>
      </c>
      <c r="G226" s="493">
        <v>289.0</v>
      </c>
      <c r="H226" s="493">
        <v>1.0</v>
      </c>
      <c r="I226" s="493">
        <v>0.59</v>
      </c>
      <c r="J226" s="493">
        <v>0.64</v>
      </c>
      <c r="K226" s="493">
        <v>305.0</v>
      </c>
      <c r="L226" s="493">
        <v>51340.0</v>
      </c>
      <c r="M226" s="493">
        <v>0.0106</v>
      </c>
      <c r="N226" s="6">
        <v>1.0554</v>
      </c>
    </row>
    <row r="227">
      <c r="A227" s="491" t="s">
        <v>1884</v>
      </c>
      <c r="B227" s="491" t="s">
        <v>1857</v>
      </c>
      <c r="C227" s="491" t="s">
        <v>74</v>
      </c>
      <c r="D227" s="491" t="s">
        <v>565</v>
      </c>
      <c r="E227" s="492" t="s">
        <v>371</v>
      </c>
      <c r="F227" s="493">
        <v>28845.0</v>
      </c>
      <c r="G227" s="493">
        <v>228.0</v>
      </c>
      <c r="H227" s="493">
        <v>0.79</v>
      </c>
      <c r="I227" s="493">
        <v>0.45</v>
      </c>
      <c r="J227" s="493">
        <v>0.53</v>
      </c>
      <c r="K227" s="493">
        <v>233.0</v>
      </c>
      <c r="L227" s="493">
        <v>51340.0</v>
      </c>
      <c r="M227" s="493">
        <v>0.0081</v>
      </c>
      <c r="N227" s="6">
        <v>1.0219</v>
      </c>
    </row>
    <row r="228">
      <c r="A228" s="491" t="s">
        <v>1884</v>
      </c>
      <c r="B228" s="491" t="s">
        <v>1857</v>
      </c>
      <c r="C228" s="491" t="s">
        <v>74</v>
      </c>
      <c r="D228" s="491" t="s">
        <v>565</v>
      </c>
      <c r="E228" s="492" t="s">
        <v>32</v>
      </c>
      <c r="F228" s="493">
        <v>28845.0</v>
      </c>
      <c r="G228" s="493">
        <v>218.0</v>
      </c>
      <c r="H228" s="493">
        <v>0.76</v>
      </c>
      <c r="I228" s="493">
        <v>0.44</v>
      </c>
      <c r="J228" s="493">
        <v>0.53</v>
      </c>
      <c r="K228" s="493">
        <v>226.0</v>
      </c>
      <c r="L228" s="493">
        <v>51340.0</v>
      </c>
      <c r="M228" s="493">
        <v>0.0078</v>
      </c>
      <c r="N228" s="6">
        <v>1.0367</v>
      </c>
    </row>
    <row r="229">
      <c r="A229" s="491" t="s">
        <v>1884</v>
      </c>
      <c r="B229" s="491" t="s">
        <v>1857</v>
      </c>
      <c r="C229" s="491" t="s">
        <v>74</v>
      </c>
      <c r="D229" s="491" t="s">
        <v>565</v>
      </c>
      <c r="E229" s="492" t="s">
        <v>310</v>
      </c>
      <c r="F229" s="493">
        <v>28845.0</v>
      </c>
      <c r="G229" s="493">
        <v>212.0</v>
      </c>
      <c r="H229" s="493">
        <v>0.73</v>
      </c>
      <c r="I229" s="493">
        <v>0.43</v>
      </c>
      <c r="J229" s="493">
        <v>0.52</v>
      </c>
      <c r="K229" s="493">
        <v>220.0</v>
      </c>
      <c r="L229" s="493">
        <v>51340.0</v>
      </c>
      <c r="M229" s="493">
        <v>0.0076</v>
      </c>
      <c r="N229" s="6">
        <v>1.0377</v>
      </c>
    </row>
    <row r="230">
      <c r="A230" s="491" t="s">
        <v>1884</v>
      </c>
      <c r="B230" s="491" t="s">
        <v>1857</v>
      </c>
      <c r="C230" s="491" t="s">
        <v>74</v>
      </c>
      <c r="D230" s="491" t="s">
        <v>565</v>
      </c>
      <c r="E230" s="492" t="s">
        <v>134</v>
      </c>
      <c r="F230" s="493">
        <v>28845.0</v>
      </c>
      <c r="G230" s="493">
        <v>116.0</v>
      </c>
      <c r="H230" s="493">
        <v>0.4</v>
      </c>
      <c r="I230" s="493">
        <v>0.31</v>
      </c>
      <c r="J230" s="493">
        <v>0.2</v>
      </c>
      <c r="K230" s="493">
        <v>159.0</v>
      </c>
      <c r="L230" s="493">
        <v>51340.0</v>
      </c>
      <c r="M230" s="493">
        <v>0.0055</v>
      </c>
      <c r="N230" s="6">
        <v>1.3707</v>
      </c>
    </row>
    <row r="231">
      <c r="A231" s="491" t="s">
        <v>1884</v>
      </c>
      <c r="B231" s="491" t="s">
        <v>1857</v>
      </c>
      <c r="C231" s="491" t="s">
        <v>74</v>
      </c>
      <c r="D231" s="491" t="s">
        <v>565</v>
      </c>
      <c r="E231" s="492" t="s">
        <v>44</v>
      </c>
      <c r="F231" s="493">
        <v>28845.0</v>
      </c>
      <c r="G231" s="493">
        <v>129.0</v>
      </c>
      <c r="H231" s="493">
        <v>0.45</v>
      </c>
      <c r="I231" s="493">
        <v>0.29</v>
      </c>
      <c r="J231" s="493">
        <v>0.2</v>
      </c>
      <c r="K231" s="493">
        <v>148.0</v>
      </c>
      <c r="L231" s="493">
        <v>51340.0</v>
      </c>
      <c r="M231" s="493">
        <v>0.0051</v>
      </c>
      <c r="N231" s="6">
        <v>1.1473</v>
      </c>
    </row>
    <row r="232">
      <c r="A232" s="491" t="s">
        <v>1884</v>
      </c>
      <c r="B232" s="491" t="s">
        <v>1857</v>
      </c>
      <c r="C232" s="491" t="s">
        <v>74</v>
      </c>
      <c r="D232" s="491" t="s">
        <v>565</v>
      </c>
      <c r="E232" s="492" t="s">
        <v>311</v>
      </c>
      <c r="F232" s="493">
        <v>28845.0</v>
      </c>
      <c r="G232" s="493">
        <v>71.0</v>
      </c>
      <c r="H232" s="493">
        <v>0.25</v>
      </c>
      <c r="I232" s="493">
        <v>0.15</v>
      </c>
      <c r="J232" s="493">
        <v>0.19</v>
      </c>
      <c r="K232" s="493">
        <v>75.0</v>
      </c>
      <c r="L232" s="493">
        <v>51340.0</v>
      </c>
      <c r="M232" s="493">
        <v>0.0026</v>
      </c>
      <c r="N232" s="6">
        <v>1.0563</v>
      </c>
    </row>
    <row r="233">
      <c r="A233" s="491" t="s">
        <v>1884</v>
      </c>
      <c r="B233" s="491" t="s">
        <v>1857</v>
      </c>
      <c r="C233" s="491" t="s">
        <v>74</v>
      </c>
      <c r="D233" s="491" t="s">
        <v>565</v>
      </c>
      <c r="E233" s="492" t="s">
        <v>366</v>
      </c>
      <c r="F233" s="493">
        <v>28845.0</v>
      </c>
      <c r="G233" s="493">
        <v>64.0</v>
      </c>
      <c r="H233" s="493">
        <v>0.22</v>
      </c>
      <c r="I233" s="493">
        <v>0.13</v>
      </c>
      <c r="J233" s="493">
        <v>0.13</v>
      </c>
      <c r="K233" s="493">
        <v>66.0</v>
      </c>
      <c r="L233" s="493">
        <v>51340.0</v>
      </c>
      <c r="M233" s="493">
        <v>0.0023</v>
      </c>
      <c r="N233" s="6">
        <v>1.0313</v>
      </c>
    </row>
    <row r="234">
      <c r="A234" s="491" t="s">
        <v>1884</v>
      </c>
      <c r="B234" s="491" t="s">
        <v>1857</v>
      </c>
      <c r="C234" s="491" t="s">
        <v>74</v>
      </c>
      <c r="D234" s="491" t="s">
        <v>565</v>
      </c>
      <c r="E234" s="492" t="s">
        <v>43</v>
      </c>
      <c r="F234" s="493">
        <v>28845.0</v>
      </c>
      <c r="G234" s="493">
        <v>45.0</v>
      </c>
      <c r="H234" s="493">
        <v>0.16</v>
      </c>
      <c r="I234" s="493">
        <v>0.09</v>
      </c>
      <c r="J234" s="493">
        <v>0.11</v>
      </c>
      <c r="K234" s="493">
        <v>47.0</v>
      </c>
      <c r="L234" s="493">
        <v>51340.0</v>
      </c>
      <c r="M234" s="493">
        <v>0.0016</v>
      </c>
      <c r="N234" s="6">
        <v>1.0444</v>
      </c>
    </row>
    <row r="235">
      <c r="A235" s="491" t="s">
        <v>1884</v>
      </c>
      <c r="B235" s="491" t="s">
        <v>1857</v>
      </c>
      <c r="C235" s="491" t="s">
        <v>74</v>
      </c>
      <c r="D235" s="491" t="s">
        <v>565</v>
      </c>
      <c r="E235" s="492" t="s">
        <v>368</v>
      </c>
      <c r="F235" s="493">
        <v>28845.0</v>
      </c>
      <c r="G235" s="493">
        <v>16.0</v>
      </c>
      <c r="H235" s="493">
        <v>0.06</v>
      </c>
      <c r="I235" s="493">
        <v>0.06</v>
      </c>
      <c r="J235" s="493">
        <v>0.01</v>
      </c>
      <c r="K235" s="493">
        <v>30.0</v>
      </c>
      <c r="L235" s="493">
        <v>51340.0</v>
      </c>
      <c r="M235" s="493">
        <v>0.001</v>
      </c>
      <c r="N235" s="6">
        <v>1.875</v>
      </c>
    </row>
    <row r="236">
      <c r="A236" s="491" t="s">
        <v>1884</v>
      </c>
      <c r="B236" s="491" t="s">
        <v>1857</v>
      </c>
      <c r="C236" s="491" t="s">
        <v>74</v>
      </c>
      <c r="D236" s="491" t="s">
        <v>565</v>
      </c>
      <c r="E236" s="492" t="s">
        <v>369</v>
      </c>
      <c r="F236" s="493">
        <v>28845.0</v>
      </c>
      <c r="G236" s="493">
        <v>17.0</v>
      </c>
      <c r="H236" s="493">
        <v>0.06</v>
      </c>
      <c r="I236" s="493">
        <v>0.04</v>
      </c>
      <c r="J236" s="493">
        <v>0.01</v>
      </c>
      <c r="K236" s="493">
        <v>18.0</v>
      </c>
      <c r="L236" s="493">
        <v>51340.0</v>
      </c>
      <c r="M236" s="493">
        <v>6.0E-4</v>
      </c>
      <c r="N236" s="6">
        <v>1.0588</v>
      </c>
    </row>
    <row r="237">
      <c r="A237" s="491" t="s">
        <v>1884</v>
      </c>
      <c r="B237" s="491" t="s">
        <v>1857</v>
      </c>
      <c r="C237" s="491" t="s">
        <v>74</v>
      </c>
      <c r="D237" s="491" t="s">
        <v>565</v>
      </c>
      <c r="E237" s="492" t="s">
        <v>373</v>
      </c>
      <c r="F237" s="493">
        <v>28845.0</v>
      </c>
      <c r="G237" s="493">
        <v>1.0</v>
      </c>
      <c r="H237" s="493">
        <v>0.0</v>
      </c>
      <c r="I237" s="493">
        <v>0.02</v>
      </c>
      <c r="J237" s="493">
        <v>0.0</v>
      </c>
      <c r="K237" s="493">
        <v>11.0</v>
      </c>
      <c r="L237" s="493">
        <v>51340.0</v>
      </c>
      <c r="M237" s="493">
        <v>4.0E-4</v>
      </c>
      <c r="N237" s="6">
        <v>11.0</v>
      </c>
    </row>
    <row r="238">
      <c r="A238" s="491" t="s">
        <v>1884</v>
      </c>
      <c r="B238" s="491" t="s">
        <v>1857</v>
      </c>
      <c r="C238" s="491" t="s">
        <v>74</v>
      </c>
      <c r="D238" s="491" t="s">
        <v>565</v>
      </c>
      <c r="E238" s="492" t="s">
        <v>189</v>
      </c>
      <c r="F238" s="493">
        <v>28845.0</v>
      </c>
      <c r="G238" s="493">
        <v>6.0</v>
      </c>
      <c r="H238" s="493">
        <v>0.02</v>
      </c>
      <c r="I238" s="493">
        <v>0.01</v>
      </c>
      <c r="J238" s="493">
        <v>0.0</v>
      </c>
      <c r="K238" s="493">
        <v>6.0</v>
      </c>
      <c r="L238" s="493">
        <v>51340.0</v>
      </c>
      <c r="M238" s="493">
        <v>2.0E-4</v>
      </c>
      <c r="N238" s="6">
        <v>1.0</v>
      </c>
    </row>
    <row r="239">
      <c r="A239" s="491" t="s">
        <v>1884</v>
      </c>
      <c r="B239" s="491" t="s">
        <v>1857</v>
      </c>
      <c r="C239" s="491" t="s">
        <v>1872</v>
      </c>
      <c r="D239" s="491" t="s">
        <v>1872</v>
      </c>
      <c r="E239" s="492" t="s">
        <v>367</v>
      </c>
      <c r="F239" s="493">
        <v>89039.0</v>
      </c>
      <c r="G239" s="493">
        <v>75563.0</v>
      </c>
      <c r="H239" s="493">
        <v>84.87</v>
      </c>
      <c r="I239" s="493">
        <v>56.65</v>
      </c>
      <c r="J239" s="493">
        <v>58.9</v>
      </c>
      <c r="K239" s="493">
        <v>7453415.0</v>
      </c>
      <c r="L239" s="493">
        <v>1.3156558E7</v>
      </c>
      <c r="M239" s="493">
        <v>83.7096</v>
      </c>
      <c r="N239" s="6">
        <v>98.6384</v>
      </c>
    </row>
    <row r="240">
      <c r="A240" s="491" t="s">
        <v>1884</v>
      </c>
      <c r="B240" s="491" t="s">
        <v>1857</v>
      </c>
      <c r="C240" s="491" t="s">
        <v>1872</v>
      </c>
      <c r="D240" s="491" t="s">
        <v>1872</v>
      </c>
      <c r="E240" s="492" t="s">
        <v>42</v>
      </c>
      <c r="F240" s="493">
        <v>89039.0</v>
      </c>
      <c r="G240" s="493">
        <v>19689.0</v>
      </c>
      <c r="H240" s="493">
        <v>22.11</v>
      </c>
      <c r="I240" s="493">
        <v>12.84</v>
      </c>
      <c r="J240" s="493">
        <v>10.83</v>
      </c>
      <c r="K240" s="493">
        <v>1688805.0</v>
      </c>
      <c r="L240" s="493">
        <v>1.3156558E7</v>
      </c>
      <c r="M240" s="493">
        <v>18.967</v>
      </c>
      <c r="N240" s="6">
        <v>85.774</v>
      </c>
    </row>
    <row r="241">
      <c r="A241" s="491" t="s">
        <v>1884</v>
      </c>
      <c r="B241" s="491" t="s">
        <v>1857</v>
      </c>
      <c r="C241" s="491" t="s">
        <v>1872</v>
      </c>
      <c r="D241" s="491" t="s">
        <v>1872</v>
      </c>
      <c r="E241" s="492" t="s">
        <v>40</v>
      </c>
      <c r="F241" s="493">
        <v>89039.0</v>
      </c>
      <c r="G241" s="493">
        <v>12732.0</v>
      </c>
      <c r="H241" s="493">
        <v>14.3</v>
      </c>
      <c r="I241" s="493">
        <v>9.66</v>
      </c>
      <c r="J241" s="493">
        <v>6.93</v>
      </c>
      <c r="K241" s="493">
        <v>1270890.0</v>
      </c>
      <c r="L241" s="493">
        <v>1.3156558E7</v>
      </c>
      <c r="M241" s="493">
        <v>14.2734</v>
      </c>
      <c r="N241" s="6">
        <v>99.8186</v>
      </c>
    </row>
    <row r="242">
      <c r="A242" s="491" t="s">
        <v>1884</v>
      </c>
      <c r="B242" s="491" t="s">
        <v>1857</v>
      </c>
      <c r="C242" s="491" t="s">
        <v>1872</v>
      </c>
      <c r="D242" s="491" t="s">
        <v>1872</v>
      </c>
      <c r="E242" s="492" t="s">
        <v>365</v>
      </c>
      <c r="F242" s="493">
        <v>89039.0</v>
      </c>
      <c r="G242" s="493">
        <v>21147.0</v>
      </c>
      <c r="H242" s="493">
        <v>23.75</v>
      </c>
      <c r="I242" s="493">
        <v>9.13</v>
      </c>
      <c r="J242" s="493">
        <v>8.59</v>
      </c>
      <c r="K242" s="493">
        <v>1201295.0</v>
      </c>
      <c r="L242" s="493">
        <v>1.3156558E7</v>
      </c>
      <c r="M242" s="493">
        <v>13.4918</v>
      </c>
      <c r="N242" s="6">
        <v>56.8069</v>
      </c>
    </row>
    <row r="243">
      <c r="A243" s="491" t="s">
        <v>1884</v>
      </c>
      <c r="B243" s="491" t="s">
        <v>1857</v>
      </c>
      <c r="C243" s="491" t="s">
        <v>1872</v>
      </c>
      <c r="D243" s="491" t="s">
        <v>1872</v>
      </c>
      <c r="E243" s="492" t="s">
        <v>372</v>
      </c>
      <c r="F243" s="493">
        <v>89039.0</v>
      </c>
      <c r="G243" s="493">
        <v>17744.0</v>
      </c>
      <c r="H243" s="493">
        <v>19.93</v>
      </c>
      <c r="I243" s="493">
        <v>3.25</v>
      </c>
      <c r="J243" s="493">
        <v>5.83</v>
      </c>
      <c r="K243" s="493">
        <v>428190.0</v>
      </c>
      <c r="L243" s="493">
        <v>1.3156558E7</v>
      </c>
      <c r="M243" s="493">
        <v>4.809</v>
      </c>
      <c r="N243" s="6">
        <v>24.1315</v>
      </c>
    </row>
    <row r="244">
      <c r="A244" s="491" t="s">
        <v>1884</v>
      </c>
      <c r="B244" s="491" t="s">
        <v>1857</v>
      </c>
      <c r="C244" s="491" t="s">
        <v>1872</v>
      </c>
      <c r="D244" s="491" t="s">
        <v>1872</v>
      </c>
      <c r="E244" s="492" t="s">
        <v>370</v>
      </c>
      <c r="F244" s="493">
        <v>89039.0</v>
      </c>
      <c r="G244" s="493">
        <v>17985.0</v>
      </c>
      <c r="H244" s="493">
        <v>20.2</v>
      </c>
      <c r="I244" s="493">
        <v>2.87</v>
      </c>
      <c r="J244" s="493">
        <v>3.42</v>
      </c>
      <c r="K244" s="493">
        <v>377108.0</v>
      </c>
      <c r="L244" s="493">
        <v>1.3156558E7</v>
      </c>
      <c r="M244" s="493">
        <v>4.2353</v>
      </c>
      <c r="N244" s="6">
        <v>20.9679</v>
      </c>
    </row>
    <row r="245">
      <c r="A245" s="491" t="s">
        <v>1884</v>
      </c>
      <c r="B245" s="491" t="s">
        <v>1857</v>
      </c>
      <c r="C245" s="491" t="s">
        <v>1872</v>
      </c>
      <c r="D245" s="491" t="s">
        <v>1872</v>
      </c>
      <c r="E245" s="492" t="s">
        <v>312</v>
      </c>
      <c r="F245" s="493">
        <v>89039.0</v>
      </c>
      <c r="G245" s="493">
        <v>1230.0</v>
      </c>
      <c r="H245" s="493">
        <v>1.38</v>
      </c>
      <c r="I245" s="493">
        <v>1.02</v>
      </c>
      <c r="J245" s="493">
        <v>0.67</v>
      </c>
      <c r="K245" s="493">
        <v>134100.0</v>
      </c>
      <c r="L245" s="493">
        <v>1.3156558E7</v>
      </c>
      <c r="M245" s="493">
        <v>1.5061</v>
      </c>
      <c r="N245" s="6">
        <v>109.0244</v>
      </c>
    </row>
    <row r="246">
      <c r="A246" s="491" t="s">
        <v>1884</v>
      </c>
      <c r="B246" s="491" t="s">
        <v>1857</v>
      </c>
      <c r="C246" s="491" t="s">
        <v>1872</v>
      </c>
      <c r="D246" s="491" t="s">
        <v>1872</v>
      </c>
      <c r="E246" s="492" t="s">
        <v>50</v>
      </c>
      <c r="F246" s="493">
        <v>89039.0</v>
      </c>
      <c r="G246" s="493">
        <v>2044.0</v>
      </c>
      <c r="H246" s="493">
        <v>2.3</v>
      </c>
      <c r="I246" s="493">
        <v>0.94</v>
      </c>
      <c r="J246" s="493">
        <v>1.09</v>
      </c>
      <c r="K246" s="493">
        <v>124000.0</v>
      </c>
      <c r="L246" s="493">
        <v>1.3156558E7</v>
      </c>
      <c r="M246" s="493">
        <v>1.3926</v>
      </c>
      <c r="N246" s="6">
        <v>60.6654</v>
      </c>
    </row>
    <row r="247">
      <c r="A247" s="491" t="s">
        <v>1884</v>
      </c>
      <c r="B247" s="491" t="s">
        <v>1857</v>
      </c>
      <c r="C247" s="491" t="s">
        <v>1872</v>
      </c>
      <c r="D247" s="491" t="s">
        <v>1872</v>
      </c>
      <c r="E247" s="492" t="s">
        <v>32</v>
      </c>
      <c r="F247" s="493">
        <v>89039.0</v>
      </c>
      <c r="G247" s="493">
        <v>1063.0</v>
      </c>
      <c r="H247" s="493">
        <v>1.19</v>
      </c>
      <c r="I247" s="493">
        <v>0.82</v>
      </c>
      <c r="J247" s="493">
        <v>0.59</v>
      </c>
      <c r="K247" s="493">
        <v>107650.0</v>
      </c>
      <c r="L247" s="493">
        <v>1.3156558E7</v>
      </c>
      <c r="M247" s="493">
        <v>1.209</v>
      </c>
      <c r="N247" s="6">
        <v>101.27</v>
      </c>
    </row>
    <row r="248">
      <c r="A248" s="491" t="s">
        <v>1884</v>
      </c>
      <c r="B248" s="491" t="s">
        <v>1857</v>
      </c>
      <c r="C248" s="491" t="s">
        <v>1872</v>
      </c>
      <c r="D248" s="491" t="s">
        <v>1872</v>
      </c>
      <c r="E248" s="492" t="s">
        <v>310</v>
      </c>
      <c r="F248" s="493">
        <v>89039.0</v>
      </c>
      <c r="G248" s="493">
        <v>962.0</v>
      </c>
      <c r="H248" s="493">
        <v>1.08</v>
      </c>
      <c r="I248" s="493">
        <v>0.76</v>
      </c>
      <c r="J248" s="493">
        <v>0.6</v>
      </c>
      <c r="K248" s="493">
        <v>99950.0</v>
      </c>
      <c r="L248" s="493">
        <v>1.3156558E7</v>
      </c>
      <c r="M248" s="493">
        <v>1.1225</v>
      </c>
      <c r="N248" s="6">
        <v>103.8981</v>
      </c>
    </row>
    <row r="249">
      <c r="A249" s="491" t="s">
        <v>1884</v>
      </c>
      <c r="B249" s="491" t="s">
        <v>1857</v>
      </c>
      <c r="C249" s="491" t="s">
        <v>1872</v>
      </c>
      <c r="D249" s="491" t="s">
        <v>1872</v>
      </c>
      <c r="E249" s="492" t="s">
        <v>43</v>
      </c>
      <c r="F249" s="493">
        <v>89039.0</v>
      </c>
      <c r="G249" s="493">
        <v>360.0</v>
      </c>
      <c r="H249" s="493">
        <v>0.4</v>
      </c>
      <c r="I249" s="493">
        <v>0.45</v>
      </c>
      <c r="J249" s="493">
        <v>0.21</v>
      </c>
      <c r="K249" s="493">
        <v>59725.0</v>
      </c>
      <c r="L249" s="493">
        <v>1.3156558E7</v>
      </c>
      <c r="M249" s="493">
        <v>0.6708</v>
      </c>
      <c r="N249" s="6">
        <v>165.9028</v>
      </c>
    </row>
    <row r="250">
      <c r="A250" s="491" t="s">
        <v>1884</v>
      </c>
      <c r="B250" s="491" t="s">
        <v>1857</v>
      </c>
      <c r="C250" s="491" t="s">
        <v>1872</v>
      </c>
      <c r="D250" s="491" t="s">
        <v>1872</v>
      </c>
      <c r="E250" s="492" t="s">
        <v>44</v>
      </c>
      <c r="F250" s="493">
        <v>89039.0</v>
      </c>
      <c r="G250" s="493">
        <v>3950.0</v>
      </c>
      <c r="H250" s="493">
        <v>4.44</v>
      </c>
      <c r="I250" s="493">
        <v>0.4</v>
      </c>
      <c r="J250" s="493">
        <v>0.86</v>
      </c>
      <c r="K250" s="493">
        <v>52495.0</v>
      </c>
      <c r="L250" s="493">
        <v>1.3156558E7</v>
      </c>
      <c r="M250" s="493">
        <v>0.5896</v>
      </c>
      <c r="N250" s="6">
        <v>13.2899</v>
      </c>
    </row>
    <row r="251">
      <c r="A251" s="491" t="s">
        <v>1884</v>
      </c>
      <c r="B251" s="491" t="s">
        <v>1857</v>
      </c>
      <c r="C251" s="491" t="s">
        <v>1872</v>
      </c>
      <c r="D251" s="491" t="s">
        <v>1872</v>
      </c>
      <c r="E251" s="492" t="s">
        <v>368</v>
      </c>
      <c r="F251" s="493">
        <v>89039.0</v>
      </c>
      <c r="G251" s="493">
        <v>458.0</v>
      </c>
      <c r="H251" s="493">
        <v>0.51</v>
      </c>
      <c r="I251" s="493">
        <v>0.26</v>
      </c>
      <c r="J251" s="493">
        <v>0.14</v>
      </c>
      <c r="K251" s="493">
        <v>33985.0</v>
      </c>
      <c r="L251" s="493">
        <v>1.3156558E7</v>
      </c>
      <c r="M251" s="493">
        <v>0.3817</v>
      </c>
      <c r="N251" s="6">
        <v>74.2031</v>
      </c>
    </row>
    <row r="252">
      <c r="A252" s="491" t="s">
        <v>1884</v>
      </c>
      <c r="B252" s="491" t="s">
        <v>1857</v>
      </c>
      <c r="C252" s="491" t="s">
        <v>1872</v>
      </c>
      <c r="D252" s="491" t="s">
        <v>1872</v>
      </c>
      <c r="E252" s="492" t="s">
        <v>311</v>
      </c>
      <c r="F252" s="493">
        <v>89039.0</v>
      </c>
      <c r="G252" s="493">
        <v>288.0</v>
      </c>
      <c r="H252" s="493">
        <v>0.32</v>
      </c>
      <c r="I252" s="493">
        <v>0.23</v>
      </c>
      <c r="J252" s="493">
        <v>0.17</v>
      </c>
      <c r="K252" s="493">
        <v>30300.0</v>
      </c>
      <c r="L252" s="493">
        <v>1.3156558E7</v>
      </c>
      <c r="M252" s="493">
        <v>0.3403</v>
      </c>
      <c r="N252" s="6">
        <v>105.2083</v>
      </c>
    </row>
    <row r="253">
      <c r="A253" s="491" t="s">
        <v>1884</v>
      </c>
      <c r="B253" s="491" t="s">
        <v>1857</v>
      </c>
      <c r="C253" s="491" t="s">
        <v>1872</v>
      </c>
      <c r="D253" s="491" t="s">
        <v>1872</v>
      </c>
      <c r="E253" s="492" t="s">
        <v>371</v>
      </c>
      <c r="F253" s="493">
        <v>89039.0</v>
      </c>
      <c r="G253" s="493">
        <v>1272.0</v>
      </c>
      <c r="H253" s="493">
        <v>1.43</v>
      </c>
      <c r="I253" s="493">
        <v>0.19</v>
      </c>
      <c r="J253" s="493">
        <v>0.47</v>
      </c>
      <c r="K253" s="493">
        <v>25245.0</v>
      </c>
      <c r="L253" s="493">
        <v>1.3156558E7</v>
      </c>
      <c r="M253" s="493">
        <v>0.2835</v>
      </c>
      <c r="N253" s="6">
        <v>19.8467</v>
      </c>
    </row>
    <row r="254">
      <c r="A254" s="491" t="s">
        <v>1884</v>
      </c>
      <c r="B254" s="491" t="s">
        <v>1857</v>
      </c>
      <c r="C254" s="491" t="s">
        <v>1872</v>
      </c>
      <c r="D254" s="491" t="s">
        <v>1872</v>
      </c>
      <c r="E254" s="492" t="s">
        <v>369</v>
      </c>
      <c r="F254" s="493">
        <v>89039.0</v>
      </c>
      <c r="G254" s="493">
        <v>683.0</v>
      </c>
      <c r="H254" s="493">
        <v>0.77</v>
      </c>
      <c r="I254" s="493">
        <v>0.18</v>
      </c>
      <c r="J254" s="493">
        <v>0.3</v>
      </c>
      <c r="K254" s="493">
        <v>23050.0</v>
      </c>
      <c r="L254" s="493">
        <v>1.3156558E7</v>
      </c>
      <c r="M254" s="493">
        <v>0.2589</v>
      </c>
      <c r="N254" s="6">
        <v>33.7482</v>
      </c>
    </row>
    <row r="255">
      <c r="A255" s="491" t="s">
        <v>1884</v>
      </c>
      <c r="B255" s="491" t="s">
        <v>1857</v>
      </c>
      <c r="C255" s="491" t="s">
        <v>1872</v>
      </c>
      <c r="D255" s="491" t="s">
        <v>1872</v>
      </c>
      <c r="E255" s="492" t="s">
        <v>366</v>
      </c>
      <c r="F255" s="493">
        <v>89039.0</v>
      </c>
      <c r="G255" s="493">
        <v>388.0</v>
      </c>
      <c r="H255" s="493">
        <v>0.44</v>
      </c>
      <c r="I255" s="493">
        <v>0.12</v>
      </c>
      <c r="J255" s="493">
        <v>0.16</v>
      </c>
      <c r="K255" s="493">
        <v>15460.0</v>
      </c>
      <c r="L255" s="493">
        <v>1.3156558E7</v>
      </c>
      <c r="M255" s="493">
        <v>0.1736</v>
      </c>
      <c r="N255" s="6">
        <v>39.8454</v>
      </c>
    </row>
    <row r="256">
      <c r="A256" s="491" t="s">
        <v>1884</v>
      </c>
      <c r="B256" s="491" t="s">
        <v>1857</v>
      </c>
      <c r="C256" s="491" t="s">
        <v>1872</v>
      </c>
      <c r="D256" s="491" t="s">
        <v>1872</v>
      </c>
      <c r="E256" s="492" t="s">
        <v>134</v>
      </c>
      <c r="F256" s="493">
        <v>89039.0</v>
      </c>
      <c r="G256" s="493">
        <v>150.0</v>
      </c>
      <c r="H256" s="493">
        <v>0.17</v>
      </c>
      <c r="I256" s="493">
        <v>0.1</v>
      </c>
      <c r="J256" s="493">
        <v>0.04</v>
      </c>
      <c r="K256" s="493">
        <v>12995.0</v>
      </c>
      <c r="L256" s="493">
        <v>1.3156558E7</v>
      </c>
      <c r="M256" s="493">
        <v>0.1459</v>
      </c>
      <c r="N256" s="6">
        <v>86.6333</v>
      </c>
    </row>
    <row r="257">
      <c r="A257" s="491" t="s">
        <v>1884</v>
      </c>
      <c r="B257" s="491" t="s">
        <v>1857</v>
      </c>
      <c r="C257" s="491" t="s">
        <v>1872</v>
      </c>
      <c r="D257" s="491" t="s">
        <v>1872</v>
      </c>
      <c r="E257" s="492" t="s">
        <v>35</v>
      </c>
      <c r="F257" s="493">
        <v>89039.0</v>
      </c>
      <c r="G257" s="493">
        <v>385.0</v>
      </c>
      <c r="H257" s="493">
        <v>0.43</v>
      </c>
      <c r="I257" s="493">
        <v>0.09</v>
      </c>
      <c r="J257" s="493">
        <v>0.11</v>
      </c>
      <c r="K257" s="493">
        <v>11325.0</v>
      </c>
      <c r="L257" s="493">
        <v>1.3156558E7</v>
      </c>
      <c r="M257" s="493">
        <v>0.1272</v>
      </c>
      <c r="N257" s="6">
        <v>29.4156</v>
      </c>
    </row>
    <row r="258">
      <c r="A258" s="491" t="s">
        <v>1884</v>
      </c>
      <c r="B258" s="491" t="s">
        <v>1857</v>
      </c>
      <c r="C258" s="491" t="s">
        <v>1872</v>
      </c>
      <c r="D258" s="491" t="s">
        <v>1872</v>
      </c>
      <c r="E258" s="492" t="s">
        <v>189</v>
      </c>
      <c r="F258" s="493">
        <v>89039.0</v>
      </c>
      <c r="G258" s="493">
        <v>222.0</v>
      </c>
      <c r="H258" s="493">
        <v>0.25</v>
      </c>
      <c r="I258" s="493">
        <v>0.05</v>
      </c>
      <c r="J258" s="493">
        <v>0.08</v>
      </c>
      <c r="K258" s="493">
        <v>5975.0</v>
      </c>
      <c r="L258" s="493">
        <v>1.3156558E7</v>
      </c>
      <c r="M258" s="493">
        <v>0.0671</v>
      </c>
      <c r="N258" s="6">
        <v>26.9144</v>
      </c>
    </row>
    <row r="259">
      <c r="A259" s="491" t="s">
        <v>1884</v>
      </c>
      <c r="B259" s="491" t="s">
        <v>1857</v>
      </c>
      <c r="C259" s="491" t="s">
        <v>1872</v>
      </c>
      <c r="D259" s="491" t="s">
        <v>1872</v>
      </c>
      <c r="E259" s="492" t="s">
        <v>373</v>
      </c>
      <c r="F259" s="493">
        <v>89039.0</v>
      </c>
      <c r="G259" s="493">
        <v>1.0</v>
      </c>
      <c r="H259" s="493">
        <v>0.0</v>
      </c>
      <c r="I259" s="493">
        <v>0.0</v>
      </c>
      <c r="J259" s="493">
        <v>0.0</v>
      </c>
      <c r="K259" s="493">
        <v>600.0</v>
      </c>
      <c r="L259" s="493">
        <v>1.3156558E7</v>
      </c>
      <c r="M259" s="493">
        <v>0.0067</v>
      </c>
      <c r="N259" s="6">
        <v>600.0</v>
      </c>
    </row>
    <row r="260">
      <c r="A260" s="491" t="s">
        <v>1884</v>
      </c>
      <c r="B260" s="491" t="s">
        <v>1857</v>
      </c>
      <c r="C260" s="491" t="s">
        <v>69</v>
      </c>
      <c r="D260" s="491" t="s">
        <v>565</v>
      </c>
      <c r="E260" s="492" t="s">
        <v>370</v>
      </c>
      <c r="F260" s="493">
        <v>43913.0</v>
      </c>
      <c r="G260" s="493">
        <v>28624.0</v>
      </c>
      <c r="H260" s="493">
        <v>65.18</v>
      </c>
      <c r="I260" s="493">
        <v>53.76</v>
      </c>
      <c r="J260" s="493">
        <v>54.42</v>
      </c>
      <c r="K260" s="493">
        <v>44354.0</v>
      </c>
      <c r="L260" s="493">
        <v>82506.0</v>
      </c>
      <c r="M260" s="493">
        <v>1.01</v>
      </c>
      <c r="N260" s="6">
        <v>1.5495</v>
      </c>
    </row>
    <row r="261">
      <c r="A261" s="491" t="s">
        <v>1884</v>
      </c>
      <c r="B261" s="491" t="s">
        <v>1857</v>
      </c>
      <c r="C261" s="491" t="s">
        <v>69</v>
      </c>
      <c r="D261" s="491" t="s">
        <v>565</v>
      </c>
      <c r="E261" s="492" t="s">
        <v>372</v>
      </c>
      <c r="F261" s="493">
        <v>43913.0</v>
      </c>
      <c r="G261" s="493">
        <v>12036.0</v>
      </c>
      <c r="H261" s="493">
        <v>27.41</v>
      </c>
      <c r="I261" s="493">
        <v>21.63</v>
      </c>
      <c r="J261" s="493">
        <v>18.4</v>
      </c>
      <c r="K261" s="493">
        <v>17844.0</v>
      </c>
      <c r="L261" s="493">
        <v>82506.0</v>
      </c>
      <c r="M261" s="493">
        <v>0.4063</v>
      </c>
      <c r="N261" s="6">
        <v>1.4826</v>
      </c>
    </row>
    <row r="262">
      <c r="A262" s="491" t="s">
        <v>1884</v>
      </c>
      <c r="B262" s="491" t="s">
        <v>1857</v>
      </c>
      <c r="C262" s="491" t="s">
        <v>69</v>
      </c>
      <c r="D262" s="491" t="s">
        <v>565</v>
      </c>
      <c r="E262" s="492" t="s">
        <v>44</v>
      </c>
      <c r="F262" s="493">
        <v>43913.0</v>
      </c>
      <c r="G262" s="493">
        <v>9454.0</v>
      </c>
      <c r="H262" s="493">
        <v>21.53</v>
      </c>
      <c r="I262" s="493">
        <v>13.03</v>
      </c>
      <c r="J262" s="493">
        <v>14.88</v>
      </c>
      <c r="K262" s="493">
        <v>10751.0</v>
      </c>
      <c r="L262" s="493">
        <v>82506.0</v>
      </c>
      <c r="M262" s="493">
        <v>0.2448</v>
      </c>
      <c r="N262" s="6">
        <v>1.1372</v>
      </c>
    </row>
    <row r="263">
      <c r="A263" s="491" t="s">
        <v>1884</v>
      </c>
      <c r="B263" s="491" t="s">
        <v>1857</v>
      </c>
      <c r="C263" s="491" t="s">
        <v>69</v>
      </c>
      <c r="D263" s="491" t="s">
        <v>565</v>
      </c>
      <c r="E263" s="492" t="s">
        <v>49</v>
      </c>
      <c r="F263" s="493">
        <v>43913.0</v>
      </c>
      <c r="G263" s="493">
        <v>3630.0</v>
      </c>
      <c r="H263" s="493">
        <v>8.27</v>
      </c>
      <c r="I263" s="493">
        <v>4.9</v>
      </c>
      <c r="J263" s="493">
        <v>5.22</v>
      </c>
      <c r="K263" s="493">
        <v>4046.0</v>
      </c>
      <c r="L263" s="493">
        <v>82506.0</v>
      </c>
      <c r="M263" s="493">
        <v>0.0921</v>
      </c>
      <c r="N263" s="6">
        <v>1.1146</v>
      </c>
    </row>
    <row r="264">
      <c r="A264" s="491" t="s">
        <v>1884</v>
      </c>
      <c r="B264" s="491" t="s">
        <v>1857</v>
      </c>
      <c r="C264" s="491" t="s">
        <v>69</v>
      </c>
      <c r="D264" s="491" t="s">
        <v>565</v>
      </c>
      <c r="E264" s="492" t="s">
        <v>42</v>
      </c>
      <c r="F264" s="493">
        <v>43913.0</v>
      </c>
      <c r="G264" s="493">
        <v>2992.0</v>
      </c>
      <c r="H264" s="493">
        <v>6.81</v>
      </c>
      <c r="I264" s="493">
        <v>4.07</v>
      </c>
      <c r="J264" s="493">
        <v>4.35</v>
      </c>
      <c r="K264" s="493">
        <v>3359.0</v>
      </c>
      <c r="L264" s="493">
        <v>82506.0</v>
      </c>
      <c r="M264" s="493">
        <v>0.0765</v>
      </c>
      <c r="N264" s="6">
        <v>1.1227</v>
      </c>
    </row>
    <row r="265">
      <c r="A265" s="491" t="s">
        <v>1884</v>
      </c>
      <c r="B265" s="491" t="s">
        <v>1857</v>
      </c>
      <c r="C265" s="491" t="s">
        <v>69</v>
      </c>
      <c r="D265" s="491" t="s">
        <v>565</v>
      </c>
      <c r="E265" s="492" t="s">
        <v>371</v>
      </c>
      <c r="F265" s="493">
        <v>43913.0</v>
      </c>
      <c r="G265" s="493">
        <v>572.0</v>
      </c>
      <c r="H265" s="493">
        <v>1.3</v>
      </c>
      <c r="I265" s="493">
        <v>0.73</v>
      </c>
      <c r="J265" s="493">
        <v>0.82</v>
      </c>
      <c r="K265" s="493">
        <v>601.0</v>
      </c>
      <c r="L265" s="493">
        <v>82506.0</v>
      </c>
      <c r="M265" s="493">
        <v>0.0137</v>
      </c>
      <c r="N265" s="6">
        <v>1.0507</v>
      </c>
    </row>
    <row r="266">
      <c r="A266" s="491" t="s">
        <v>1884</v>
      </c>
      <c r="B266" s="491" t="s">
        <v>1857</v>
      </c>
      <c r="C266" s="491" t="s">
        <v>69</v>
      </c>
      <c r="D266" s="491" t="s">
        <v>565</v>
      </c>
      <c r="E266" s="492" t="s">
        <v>43</v>
      </c>
      <c r="F266" s="493">
        <v>43913.0</v>
      </c>
      <c r="G266" s="493">
        <v>401.0</v>
      </c>
      <c r="H266" s="493">
        <v>0.91</v>
      </c>
      <c r="I266" s="493">
        <v>0.49</v>
      </c>
      <c r="J266" s="493">
        <v>0.52</v>
      </c>
      <c r="K266" s="493">
        <v>407.0</v>
      </c>
      <c r="L266" s="493">
        <v>82506.0</v>
      </c>
      <c r="M266" s="493">
        <v>0.0093</v>
      </c>
      <c r="N266" s="6">
        <v>1.015</v>
      </c>
    </row>
    <row r="267">
      <c r="A267" s="491" t="s">
        <v>1884</v>
      </c>
      <c r="B267" s="491" t="s">
        <v>1857</v>
      </c>
      <c r="C267" s="491" t="s">
        <v>69</v>
      </c>
      <c r="D267" s="491" t="s">
        <v>565</v>
      </c>
      <c r="E267" s="492" t="s">
        <v>369</v>
      </c>
      <c r="F267" s="493">
        <v>43913.0</v>
      </c>
      <c r="G267" s="493">
        <v>259.0</v>
      </c>
      <c r="H267" s="493">
        <v>0.59</v>
      </c>
      <c r="I267" s="493">
        <v>0.4</v>
      </c>
      <c r="J267" s="493">
        <v>0.44</v>
      </c>
      <c r="K267" s="493">
        <v>328.0</v>
      </c>
      <c r="L267" s="493">
        <v>82506.0</v>
      </c>
      <c r="M267" s="493">
        <v>0.0075</v>
      </c>
      <c r="N267" s="6">
        <v>1.2664</v>
      </c>
    </row>
    <row r="268">
      <c r="A268" s="491" t="s">
        <v>1884</v>
      </c>
      <c r="B268" s="491" t="s">
        <v>1857</v>
      </c>
      <c r="C268" s="491" t="s">
        <v>69</v>
      </c>
      <c r="D268" s="491" t="s">
        <v>565</v>
      </c>
      <c r="E268" s="492" t="s">
        <v>368</v>
      </c>
      <c r="F268" s="493">
        <v>43913.0</v>
      </c>
      <c r="G268" s="493">
        <v>251.0</v>
      </c>
      <c r="H268" s="493">
        <v>0.57</v>
      </c>
      <c r="I268" s="493">
        <v>0.4</v>
      </c>
      <c r="J268" s="493">
        <v>0.32</v>
      </c>
      <c r="K268" s="493">
        <v>327.0</v>
      </c>
      <c r="L268" s="493">
        <v>82506.0</v>
      </c>
      <c r="M268" s="493">
        <v>0.0074</v>
      </c>
      <c r="N268" s="6">
        <v>1.3028</v>
      </c>
    </row>
    <row r="269">
      <c r="A269" s="491" t="s">
        <v>1884</v>
      </c>
      <c r="B269" s="491" t="s">
        <v>1857</v>
      </c>
      <c r="C269" s="491" t="s">
        <v>69</v>
      </c>
      <c r="D269" s="491" t="s">
        <v>565</v>
      </c>
      <c r="E269" s="492" t="s">
        <v>35</v>
      </c>
      <c r="F269" s="493">
        <v>43913.0</v>
      </c>
      <c r="G269" s="493">
        <v>121.0</v>
      </c>
      <c r="H269" s="493">
        <v>0.28</v>
      </c>
      <c r="I269" s="493">
        <v>0.16</v>
      </c>
      <c r="J269" s="493">
        <v>0.17</v>
      </c>
      <c r="K269" s="493">
        <v>131.0</v>
      </c>
      <c r="L269" s="493">
        <v>82506.0</v>
      </c>
      <c r="M269" s="493">
        <v>0.003</v>
      </c>
      <c r="N269" s="6">
        <v>1.0826</v>
      </c>
    </row>
    <row r="270">
      <c r="A270" s="491" t="s">
        <v>1884</v>
      </c>
      <c r="B270" s="491" t="s">
        <v>1857</v>
      </c>
      <c r="C270" s="491" t="s">
        <v>69</v>
      </c>
      <c r="D270" s="491" t="s">
        <v>565</v>
      </c>
      <c r="E270" s="492" t="s">
        <v>50</v>
      </c>
      <c r="F270" s="493">
        <v>43913.0</v>
      </c>
      <c r="G270" s="493">
        <v>117.0</v>
      </c>
      <c r="H270" s="493">
        <v>0.27</v>
      </c>
      <c r="I270" s="493">
        <v>0.14</v>
      </c>
      <c r="J270" s="493">
        <v>0.19</v>
      </c>
      <c r="K270" s="493">
        <v>118.0</v>
      </c>
      <c r="L270" s="493">
        <v>82506.0</v>
      </c>
      <c r="M270" s="493">
        <v>0.0027</v>
      </c>
      <c r="N270" s="6">
        <v>1.0085</v>
      </c>
    </row>
    <row r="271">
      <c r="A271" s="491" t="s">
        <v>1884</v>
      </c>
      <c r="B271" s="491" t="s">
        <v>1857</v>
      </c>
      <c r="C271" s="491" t="s">
        <v>69</v>
      </c>
      <c r="D271" s="491" t="s">
        <v>565</v>
      </c>
      <c r="E271" s="492" t="s">
        <v>134</v>
      </c>
      <c r="F271" s="493">
        <v>43913.0</v>
      </c>
      <c r="G271" s="493">
        <v>66.0</v>
      </c>
      <c r="H271" s="493">
        <v>0.15</v>
      </c>
      <c r="I271" s="493">
        <v>0.11</v>
      </c>
      <c r="J271" s="493">
        <v>0.07</v>
      </c>
      <c r="K271" s="493">
        <v>88.0</v>
      </c>
      <c r="L271" s="493">
        <v>82506.0</v>
      </c>
      <c r="M271" s="493">
        <v>0.002</v>
      </c>
      <c r="N271" s="6">
        <v>1.3333</v>
      </c>
    </row>
    <row r="272">
      <c r="A272" s="491" t="s">
        <v>1884</v>
      </c>
      <c r="B272" s="491" t="s">
        <v>1857</v>
      </c>
      <c r="C272" s="491" t="s">
        <v>69</v>
      </c>
      <c r="D272" s="491" t="s">
        <v>565</v>
      </c>
      <c r="E272" s="492" t="s">
        <v>189</v>
      </c>
      <c r="F272" s="493">
        <v>43913.0</v>
      </c>
      <c r="G272" s="493">
        <v>82.0</v>
      </c>
      <c r="H272" s="493">
        <v>0.19</v>
      </c>
      <c r="I272" s="493">
        <v>0.1</v>
      </c>
      <c r="J272" s="493">
        <v>0.12</v>
      </c>
      <c r="K272" s="493">
        <v>83.0</v>
      </c>
      <c r="L272" s="493">
        <v>82506.0</v>
      </c>
      <c r="M272" s="493">
        <v>0.0019</v>
      </c>
      <c r="N272" s="6">
        <v>1.0122</v>
      </c>
    </row>
    <row r="273">
      <c r="A273" s="491" t="s">
        <v>1884</v>
      </c>
      <c r="B273" s="491" t="s">
        <v>1857</v>
      </c>
      <c r="C273" s="491" t="s">
        <v>69</v>
      </c>
      <c r="D273" s="491" t="s">
        <v>565</v>
      </c>
      <c r="E273" s="492" t="s">
        <v>366</v>
      </c>
      <c r="F273" s="493">
        <v>43913.0</v>
      </c>
      <c r="G273" s="493">
        <v>59.0</v>
      </c>
      <c r="H273" s="493">
        <v>0.13</v>
      </c>
      <c r="I273" s="493">
        <v>0.07</v>
      </c>
      <c r="J273" s="493">
        <v>0.08</v>
      </c>
      <c r="K273" s="493">
        <v>60.0</v>
      </c>
      <c r="L273" s="493">
        <v>82506.0</v>
      </c>
      <c r="M273" s="493">
        <v>0.0014</v>
      </c>
      <c r="N273" s="6">
        <v>1.0169</v>
      </c>
    </row>
    <row r="274">
      <c r="A274" s="491" t="s">
        <v>1884</v>
      </c>
      <c r="B274" s="491" t="s">
        <v>1857</v>
      </c>
      <c r="C274" s="491" t="s">
        <v>69</v>
      </c>
      <c r="D274" s="491" t="s">
        <v>565</v>
      </c>
      <c r="E274" s="492" t="s">
        <v>32</v>
      </c>
      <c r="F274" s="493">
        <v>43913.0</v>
      </c>
      <c r="G274" s="493">
        <v>8.0</v>
      </c>
      <c r="H274" s="493">
        <v>0.02</v>
      </c>
      <c r="I274" s="493">
        <v>0.01</v>
      </c>
      <c r="J274" s="493">
        <v>0.02</v>
      </c>
      <c r="K274" s="493">
        <v>9.0</v>
      </c>
      <c r="L274" s="493">
        <v>82506.0</v>
      </c>
      <c r="M274" s="493">
        <v>2.0E-4</v>
      </c>
      <c r="N274" s="6">
        <v>1.125</v>
      </c>
    </row>
    <row r="275">
      <c r="A275" s="491" t="s">
        <v>1884</v>
      </c>
      <c r="B275" s="491" t="s">
        <v>1857</v>
      </c>
      <c r="C275" s="491" t="s">
        <v>73</v>
      </c>
      <c r="D275" s="491" t="s">
        <v>565</v>
      </c>
      <c r="E275" s="492" t="s">
        <v>367</v>
      </c>
      <c r="F275" s="493">
        <v>49524.0</v>
      </c>
      <c r="G275" s="493">
        <v>30407.0</v>
      </c>
      <c r="H275" s="493">
        <v>61.4</v>
      </c>
      <c r="I275" s="493">
        <v>45.25</v>
      </c>
      <c r="J275" s="493">
        <v>44.68</v>
      </c>
      <c r="K275" s="493">
        <v>60954.0</v>
      </c>
      <c r="L275" s="493">
        <v>134708.0</v>
      </c>
      <c r="M275" s="493">
        <v>1.2308</v>
      </c>
      <c r="N275" s="6">
        <v>2.0046</v>
      </c>
    </row>
    <row r="276">
      <c r="A276" s="491" t="s">
        <v>1884</v>
      </c>
      <c r="B276" s="491" t="s">
        <v>1857</v>
      </c>
      <c r="C276" s="491" t="s">
        <v>73</v>
      </c>
      <c r="D276" s="491" t="s">
        <v>565</v>
      </c>
      <c r="E276" s="492" t="s">
        <v>365</v>
      </c>
      <c r="F276" s="493">
        <v>49524.0</v>
      </c>
      <c r="G276" s="493">
        <v>12508.0</v>
      </c>
      <c r="H276" s="493">
        <v>25.26</v>
      </c>
      <c r="I276" s="493">
        <v>21.01</v>
      </c>
      <c r="J276" s="493">
        <v>15.28</v>
      </c>
      <c r="K276" s="493">
        <v>28304.0</v>
      </c>
      <c r="L276" s="493">
        <v>134708.0</v>
      </c>
      <c r="M276" s="493">
        <v>0.5715</v>
      </c>
      <c r="N276" s="6">
        <v>2.2629</v>
      </c>
    </row>
    <row r="277">
      <c r="A277" s="491" t="s">
        <v>1884</v>
      </c>
      <c r="B277" s="491" t="s">
        <v>1857</v>
      </c>
      <c r="C277" s="491" t="s">
        <v>73</v>
      </c>
      <c r="D277" s="491" t="s">
        <v>565</v>
      </c>
      <c r="E277" s="492" t="s">
        <v>42</v>
      </c>
      <c r="F277" s="493">
        <v>49524.0</v>
      </c>
      <c r="G277" s="493">
        <v>12830.0</v>
      </c>
      <c r="H277" s="493">
        <v>25.91</v>
      </c>
      <c r="I277" s="493">
        <v>12.91</v>
      </c>
      <c r="J277" s="493">
        <v>15.78</v>
      </c>
      <c r="K277" s="493">
        <v>17387.0</v>
      </c>
      <c r="L277" s="493">
        <v>134708.0</v>
      </c>
      <c r="M277" s="493">
        <v>0.3511</v>
      </c>
      <c r="N277" s="6">
        <v>1.3552</v>
      </c>
    </row>
    <row r="278">
      <c r="A278" s="491" t="s">
        <v>1884</v>
      </c>
      <c r="B278" s="491" t="s">
        <v>1857</v>
      </c>
      <c r="C278" s="491" t="s">
        <v>73</v>
      </c>
      <c r="D278" s="491" t="s">
        <v>565</v>
      </c>
      <c r="E278" s="492" t="s">
        <v>40</v>
      </c>
      <c r="F278" s="493">
        <v>49524.0</v>
      </c>
      <c r="G278" s="493">
        <v>2679.0</v>
      </c>
      <c r="H278" s="493">
        <v>5.41</v>
      </c>
      <c r="I278" s="493">
        <v>5.75</v>
      </c>
      <c r="J278" s="493">
        <v>3.81</v>
      </c>
      <c r="K278" s="493">
        <v>7740.0</v>
      </c>
      <c r="L278" s="493">
        <v>134708.0</v>
      </c>
      <c r="M278" s="493">
        <v>0.1563</v>
      </c>
      <c r="N278" s="6">
        <v>2.8891</v>
      </c>
    </row>
    <row r="279">
      <c r="A279" s="491" t="s">
        <v>1884</v>
      </c>
      <c r="B279" s="491" t="s">
        <v>1857</v>
      </c>
      <c r="C279" s="491" t="s">
        <v>73</v>
      </c>
      <c r="D279" s="491" t="s">
        <v>565</v>
      </c>
      <c r="E279" s="492" t="s">
        <v>372</v>
      </c>
      <c r="F279" s="493">
        <v>49524.0</v>
      </c>
      <c r="G279" s="493">
        <v>4236.0</v>
      </c>
      <c r="H279" s="493">
        <v>8.55</v>
      </c>
      <c r="I279" s="493">
        <v>4.01</v>
      </c>
      <c r="J279" s="493">
        <v>4.94</v>
      </c>
      <c r="K279" s="493">
        <v>5400.0</v>
      </c>
      <c r="L279" s="493">
        <v>134708.0</v>
      </c>
      <c r="M279" s="493">
        <v>0.109</v>
      </c>
      <c r="N279" s="6">
        <v>1.2748</v>
      </c>
    </row>
    <row r="280">
      <c r="A280" s="491" t="s">
        <v>1884</v>
      </c>
      <c r="B280" s="491" t="s">
        <v>1857</v>
      </c>
      <c r="C280" s="491" t="s">
        <v>73</v>
      </c>
      <c r="D280" s="491" t="s">
        <v>565</v>
      </c>
      <c r="E280" s="492" t="s">
        <v>370</v>
      </c>
      <c r="F280" s="493">
        <v>49524.0</v>
      </c>
      <c r="G280" s="493">
        <v>2842.0</v>
      </c>
      <c r="H280" s="493">
        <v>5.74</v>
      </c>
      <c r="I280" s="493">
        <v>2.55</v>
      </c>
      <c r="J280" s="493">
        <v>3.03</v>
      </c>
      <c r="K280" s="493">
        <v>3434.0</v>
      </c>
      <c r="L280" s="493">
        <v>134708.0</v>
      </c>
      <c r="M280" s="493">
        <v>0.0693</v>
      </c>
      <c r="N280" s="6">
        <v>1.2083</v>
      </c>
    </row>
    <row r="281">
      <c r="A281" s="491" t="s">
        <v>1884</v>
      </c>
      <c r="B281" s="491" t="s">
        <v>1857</v>
      </c>
      <c r="C281" s="491" t="s">
        <v>73</v>
      </c>
      <c r="D281" s="491" t="s">
        <v>565</v>
      </c>
      <c r="E281" s="492" t="s">
        <v>312</v>
      </c>
      <c r="F281" s="493">
        <v>49524.0</v>
      </c>
      <c r="G281" s="493">
        <v>2496.0</v>
      </c>
      <c r="H281" s="493">
        <v>5.04</v>
      </c>
      <c r="I281" s="493">
        <v>1.99</v>
      </c>
      <c r="J281" s="493">
        <v>2.8</v>
      </c>
      <c r="K281" s="493">
        <v>2685.0</v>
      </c>
      <c r="L281" s="493">
        <v>134708.0</v>
      </c>
      <c r="M281" s="493">
        <v>0.0542</v>
      </c>
      <c r="N281" s="6">
        <v>1.0757</v>
      </c>
    </row>
    <row r="282">
      <c r="A282" s="491" t="s">
        <v>1884</v>
      </c>
      <c r="B282" s="491" t="s">
        <v>1857</v>
      </c>
      <c r="C282" s="491" t="s">
        <v>73</v>
      </c>
      <c r="D282" s="491" t="s">
        <v>565</v>
      </c>
      <c r="E282" s="492" t="s">
        <v>32</v>
      </c>
      <c r="F282" s="493">
        <v>49524.0</v>
      </c>
      <c r="G282" s="493">
        <v>2477.0</v>
      </c>
      <c r="H282" s="493">
        <v>5.0</v>
      </c>
      <c r="I282" s="493">
        <v>1.92</v>
      </c>
      <c r="J282" s="493">
        <v>2.9</v>
      </c>
      <c r="K282" s="493">
        <v>2591.0</v>
      </c>
      <c r="L282" s="493">
        <v>134708.0</v>
      </c>
      <c r="M282" s="493">
        <v>0.0523</v>
      </c>
      <c r="N282" s="6">
        <v>1.046</v>
      </c>
    </row>
    <row r="283">
      <c r="A283" s="491" t="s">
        <v>1884</v>
      </c>
      <c r="B283" s="491" t="s">
        <v>1857</v>
      </c>
      <c r="C283" s="491" t="s">
        <v>73</v>
      </c>
      <c r="D283" s="491" t="s">
        <v>565</v>
      </c>
      <c r="E283" s="492" t="s">
        <v>310</v>
      </c>
      <c r="F283" s="493">
        <v>49524.0</v>
      </c>
      <c r="G283" s="493">
        <v>2205.0</v>
      </c>
      <c r="H283" s="493">
        <v>4.45</v>
      </c>
      <c r="I283" s="493">
        <v>1.73</v>
      </c>
      <c r="J283" s="493">
        <v>2.84</v>
      </c>
      <c r="K283" s="493">
        <v>2336.0</v>
      </c>
      <c r="L283" s="493">
        <v>134708.0</v>
      </c>
      <c r="M283" s="493">
        <v>0.0472</v>
      </c>
      <c r="N283" s="6">
        <v>1.0594</v>
      </c>
    </row>
    <row r="284">
      <c r="A284" s="491" t="s">
        <v>1884</v>
      </c>
      <c r="B284" s="491" t="s">
        <v>1857</v>
      </c>
      <c r="C284" s="491" t="s">
        <v>73</v>
      </c>
      <c r="D284" s="491" t="s">
        <v>565</v>
      </c>
      <c r="E284" s="492" t="s">
        <v>44</v>
      </c>
      <c r="F284" s="493">
        <v>49524.0</v>
      </c>
      <c r="G284" s="493">
        <v>1351.0</v>
      </c>
      <c r="H284" s="493">
        <v>2.73</v>
      </c>
      <c r="I284" s="493">
        <v>1.07</v>
      </c>
      <c r="J284" s="493">
        <v>1.26</v>
      </c>
      <c r="K284" s="493">
        <v>1440.0</v>
      </c>
      <c r="L284" s="493">
        <v>134708.0</v>
      </c>
      <c r="M284" s="493">
        <v>0.0291</v>
      </c>
      <c r="N284" s="6">
        <v>1.0659</v>
      </c>
    </row>
    <row r="285">
      <c r="A285" s="491" t="s">
        <v>1884</v>
      </c>
      <c r="B285" s="491" t="s">
        <v>1857</v>
      </c>
      <c r="C285" s="491" t="s">
        <v>73</v>
      </c>
      <c r="D285" s="491" t="s">
        <v>565</v>
      </c>
      <c r="E285" s="492" t="s">
        <v>50</v>
      </c>
      <c r="F285" s="493">
        <v>49524.0</v>
      </c>
      <c r="G285" s="493">
        <v>769.0</v>
      </c>
      <c r="H285" s="493">
        <v>1.55</v>
      </c>
      <c r="I285" s="493">
        <v>0.59</v>
      </c>
      <c r="J285" s="493">
        <v>0.96</v>
      </c>
      <c r="K285" s="493">
        <v>800.0</v>
      </c>
      <c r="L285" s="493">
        <v>134708.0</v>
      </c>
      <c r="M285" s="493">
        <v>0.0162</v>
      </c>
      <c r="N285" s="6">
        <v>1.0403</v>
      </c>
    </row>
    <row r="286">
      <c r="A286" s="491" t="s">
        <v>1884</v>
      </c>
      <c r="B286" s="491" t="s">
        <v>1857</v>
      </c>
      <c r="C286" s="491" t="s">
        <v>73</v>
      </c>
      <c r="D286" s="491" t="s">
        <v>565</v>
      </c>
      <c r="E286" s="492" t="s">
        <v>311</v>
      </c>
      <c r="F286" s="493">
        <v>49524.0</v>
      </c>
      <c r="G286" s="493">
        <v>577.0</v>
      </c>
      <c r="H286" s="493">
        <v>1.17</v>
      </c>
      <c r="I286" s="493">
        <v>0.44</v>
      </c>
      <c r="J286" s="493">
        <v>0.7</v>
      </c>
      <c r="K286" s="493">
        <v>596.0</v>
      </c>
      <c r="L286" s="493">
        <v>134708.0</v>
      </c>
      <c r="M286" s="493">
        <v>0.012</v>
      </c>
      <c r="N286" s="6">
        <v>1.0329</v>
      </c>
    </row>
    <row r="287">
      <c r="A287" s="491" t="s">
        <v>1884</v>
      </c>
      <c r="B287" s="491" t="s">
        <v>1857</v>
      </c>
      <c r="C287" s="491" t="s">
        <v>73</v>
      </c>
      <c r="D287" s="491" t="s">
        <v>565</v>
      </c>
      <c r="E287" s="492" t="s">
        <v>371</v>
      </c>
      <c r="F287" s="493">
        <v>49524.0</v>
      </c>
      <c r="G287" s="493">
        <v>344.0</v>
      </c>
      <c r="H287" s="493">
        <v>0.69</v>
      </c>
      <c r="I287" s="493">
        <v>0.26</v>
      </c>
      <c r="J287" s="493">
        <v>0.36</v>
      </c>
      <c r="K287" s="493">
        <v>348.0</v>
      </c>
      <c r="L287" s="493">
        <v>134708.0</v>
      </c>
      <c r="M287" s="493">
        <v>0.007</v>
      </c>
      <c r="N287" s="6">
        <v>1.0116</v>
      </c>
    </row>
    <row r="288">
      <c r="A288" s="491" t="s">
        <v>1884</v>
      </c>
      <c r="B288" s="491" t="s">
        <v>1857</v>
      </c>
      <c r="C288" s="491" t="s">
        <v>73</v>
      </c>
      <c r="D288" s="491" t="s">
        <v>565</v>
      </c>
      <c r="E288" s="492" t="s">
        <v>43</v>
      </c>
      <c r="F288" s="493">
        <v>49524.0</v>
      </c>
      <c r="G288" s="493">
        <v>326.0</v>
      </c>
      <c r="H288" s="493">
        <v>0.66</v>
      </c>
      <c r="I288" s="493">
        <v>0.25</v>
      </c>
      <c r="J288" s="493">
        <v>0.33</v>
      </c>
      <c r="K288" s="493">
        <v>334.0</v>
      </c>
      <c r="L288" s="493">
        <v>134708.0</v>
      </c>
      <c r="M288" s="493">
        <v>0.0067</v>
      </c>
      <c r="N288" s="6">
        <v>1.0245</v>
      </c>
    </row>
    <row r="289">
      <c r="A289" s="491" t="s">
        <v>1884</v>
      </c>
      <c r="B289" s="491" t="s">
        <v>1857</v>
      </c>
      <c r="C289" s="491" t="s">
        <v>73</v>
      </c>
      <c r="D289" s="491" t="s">
        <v>565</v>
      </c>
      <c r="E289" s="492" t="s">
        <v>366</v>
      </c>
      <c r="F289" s="493">
        <v>49524.0</v>
      </c>
      <c r="G289" s="493">
        <v>164.0</v>
      </c>
      <c r="H289" s="493">
        <v>0.33</v>
      </c>
      <c r="I289" s="493">
        <v>0.13</v>
      </c>
      <c r="J289" s="493">
        <v>0.17</v>
      </c>
      <c r="K289" s="493">
        <v>174.0</v>
      </c>
      <c r="L289" s="493">
        <v>134708.0</v>
      </c>
      <c r="M289" s="493">
        <v>0.0035</v>
      </c>
      <c r="N289" s="6">
        <v>1.061</v>
      </c>
    </row>
    <row r="290">
      <c r="A290" s="491" t="s">
        <v>1884</v>
      </c>
      <c r="B290" s="491" t="s">
        <v>1857</v>
      </c>
      <c r="C290" s="491" t="s">
        <v>73</v>
      </c>
      <c r="D290" s="491" t="s">
        <v>565</v>
      </c>
      <c r="E290" s="492" t="s">
        <v>134</v>
      </c>
      <c r="F290" s="493">
        <v>49524.0</v>
      </c>
      <c r="G290" s="493">
        <v>110.0</v>
      </c>
      <c r="H290" s="493">
        <v>0.22</v>
      </c>
      <c r="I290" s="493">
        <v>0.11</v>
      </c>
      <c r="J290" s="493">
        <v>0.1</v>
      </c>
      <c r="K290" s="493">
        <v>142.0</v>
      </c>
      <c r="L290" s="493">
        <v>134708.0</v>
      </c>
      <c r="M290" s="493">
        <v>0.0029</v>
      </c>
      <c r="N290" s="6">
        <v>1.2909</v>
      </c>
    </row>
    <row r="291">
      <c r="A291" s="491" t="s">
        <v>1884</v>
      </c>
      <c r="B291" s="491" t="s">
        <v>1857</v>
      </c>
      <c r="C291" s="491" t="s">
        <v>73</v>
      </c>
      <c r="D291" s="491" t="s">
        <v>565</v>
      </c>
      <c r="E291" s="492" t="s">
        <v>35</v>
      </c>
      <c r="F291" s="493">
        <v>49524.0</v>
      </c>
      <c r="G291" s="493">
        <v>29.0</v>
      </c>
      <c r="H291" s="493">
        <v>0.06</v>
      </c>
      <c r="I291" s="493">
        <v>0.02</v>
      </c>
      <c r="J291" s="493">
        <v>0.03</v>
      </c>
      <c r="K291" s="493">
        <v>33.0</v>
      </c>
      <c r="L291" s="493">
        <v>134708.0</v>
      </c>
      <c r="M291" s="493">
        <v>7.0E-4</v>
      </c>
      <c r="N291" s="6">
        <v>1.1379</v>
      </c>
    </row>
    <row r="292">
      <c r="A292" s="491" t="s">
        <v>1884</v>
      </c>
      <c r="B292" s="491" t="s">
        <v>1857</v>
      </c>
      <c r="C292" s="491" t="s">
        <v>73</v>
      </c>
      <c r="D292" s="491" t="s">
        <v>565</v>
      </c>
      <c r="E292" s="492" t="s">
        <v>189</v>
      </c>
      <c r="F292" s="493">
        <v>49524.0</v>
      </c>
      <c r="G292" s="493">
        <v>7.0</v>
      </c>
      <c r="H292" s="493">
        <v>0.01</v>
      </c>
      <c r="I292" s="493">
        <v>0.01</v>
      </c>
      <c r="J292" s="493">
        <v>0.01</v>
      </c>
      <c r="K292" s="493">
        <v>7.0</v>
      </c>
      <c r="L292" s="493">
        <v>134708.0</v>
      </c>
      <c r="M292" s="493">
        <v>1.0E-4</v>
      </c>
      <c r="N292" s="6">
        <v>1.0</v>
      </c>
    </row>
    <row r="293">
      <c r="A293" s="491" t="s">
        <v>1884</v>
      </c>
      <c r="B293" s="491" t="s">
        <v>1857</v>
      </c>
      <c r="C293" s="491" t="s">
        <v>73</v>
      </c>
      <c r="D293" s="491" t="s">
        <v>565</v>
      </c>
      <c r="E293" s="492" t="s">
        <v>368</v>
      </c>
      <c r="F293" s="493">
        <v>49524.0</v>
      </c>
      <c r="G293" s="493">
        <v>2.0</v>
      </c>
      <c r="H293" s="493">
        <v>0.0</v>
      </c>
      <c r="I293" s="493">
        <v>0.0</v>
      </c>
      <c r="J293" s="493">
        <v>0.0</v>
      </c>
      <c r="K293" s="493">
        <v>3.0</v>
      </c>
      <c r="L293" s="493">
        <v>134708.0</v>
      </c>
      <c r="M293" s="493">
        <v>1.0E-4</v>
      </c>
      <c r="N293" s="6">
        <v>1.5</v>
      </c>
    </row>
    <row r="294">
      <c r="A294" s="491" t="s">
        <v>1884</v>
      </c>
      <c r="B294" s="491" t="s">
        <v>1857</v>
      </c>
      <c r="C294" s="491" t="s">
        <v>72</v>
      </c>
      <c r="D294" s="491" t="s">
        <v>565</v>
      </c>
      <c r="E294" s="492" t="s">
        <v>367</v>
      </c>
      <c r="F294" s="493">
        <v>59334.0</v>
      </c>
      <c r="G294" s="493">
        <v>37736.0</v>
      </c>
      <c r="H294" s="493">
        <v>63.6</v>
      </c>
      <c r="I294" s="493">
        <v>48.39</v>
      </c>
      <c r="J294" s="493">
        <v>44.11</v>
      </c>
      <c r="K294" s="493">
        <v>88178.0</v>
      </c>
      <c r="L294" s="493">
        <v>182213.0</v>
      </c>
      <c r="M294" s="493">
        <v>1.4861</v>
      </c>
      <c r="N294" s="6">
        <v>2.3367</v>
      </c>
    </row>
    <row r="295">
      <c r="A295" s="491" t="s">
        <v>1884</v>
      </c>
      <c r="B295" s="491" t="s">
        <v>1857</v>
      </c>
      <c r="C295" s="491" t="s">
        <v>72</v>
      </c>
      <c r="D295" s="491" t="s">
        <v>565</v>
      </c>
      <c r="E295" s="492" t="s">
        <v>365</v>
      </c>
      <c r="F295" s="493">
        <v>59334.0</v>
      </c>
      <c r="G295" s="493">
        <v>12718.0</v>
      </c>
      <c r="H295" s="493">
        <v>21.43</v>
      </c>
      <c r="I295" s="493">
        <v>15.63</v>
      </c>
      <c r="J295" s="493">
        <v>10.96</v>
      </c>
      <c r="K295" s="493">
        <v>28488.0</v>
      </c>
      <c r="L295" s="493">
        <v>182213.0</v>
      </c>
      <c r="M295" s="493">
        <v>0.4801</v>
      </c>
      <c r="N295" s="6">
        <v>2.24</v>
      </c>
    </row>
    <row r="296">
      <c r="A296" s="491" t="s">
        <v>1884</v>
      </c>
      <c r="B296" s="491" t="s">
        <v>1857</v>
      </c>
      <c r="C296" s="491" t="s">
        <v>72</v>
      </c>
      <c r="D296" s="491" t="s">
        <v>565</v>
      </c>
      <c r="E296" s="492" t="s">
        <v>40</v>
      </c>
      <c r="F296" s="493">
        <v>59334.0</v>
      </c>
      <c r="G296" s="493">
        <v>10496.0</v>
      </c>
      <c r="H296" s="493">
        <v>17.69</v>
      </c>
      <c r="I296" s="493">
        <v>9.5</v>
      </c>
      <c r="J296" s="493">
        <v>9.98</v>
      </c>
      <c r="K296" s="493">
        <v>17302.0</v>
      </c>
      <c r="L296" s="493">
        <v>182213.0</v>
      </c>
      <c r="M296" s="493">
        <v>0.2916</v>
      </c>
      <c r="N296" s="6">
        <v>1.6484</v>
      </c>
    </row>
    <row r="297">
      <c r="A297" s="491" t="s">
        <v>1884</v>
      </c>
      <c r="B297" s="491" t="s">
        <v>1857</v>
      </c>
      <c r="C297" s="491" t="s">
        <v>72</v>
      </c>
      <c r="D297" s="491" t="s">
        <v>565</v>
      </c>
      <c r="E297" s="492" t="s">
        <v>42</v>
      </c>
      <c r="F297" s="493">
        <v>59334.0</v>
      </c>
      <c r="G297" s="493">
        <v>10871.0</v>
      </c>
      <c r="H297" s="493">
        <v>18.32</v>
      </c>
      <c r="I297" s="493">
        <v>7.84</v>
      </c>
      <c r="J297" s="493">
        <v>9.25</v>
      </c>
      <c r="K297" s="493">
        <v>14280.0</v>
      </c>
      <c r="L297" s="493">
        <v>182213.0</v>
      </c>
      <c r="M297" s="493">
        <v>0.2407</v>
      </c>
      <c r="N297" s="6">
        <v>1.3136</v>
      </c>
    </row>
    <row r="298">
      <c r="A298" s="491" t="s">
        <v>1884</v>
      </c>
      <c r="B298" s="491" t="s">
        <v>1857</v>
      </c>
      <c r="C298" s="491" t="s">
        <v>72</v>
      </c>
      <c r="D298" s="491" t="s">
        <v>565</v>
      </c>
      <c r="E298" s="492" t="s">
        <v>370</v>
      </c>
      <c r="F298" s="493">
        <v>59334.0</v>
      </c>
      <c r="G298" s="493">
        <v>5717.0</v>
      </c>
      <c r="H298" s="493">
        <v>9.64</v>
      </c>
      <c r="I298" s="493">
        <v>3.61</v>
      </c>
      <c r="J298" s="493">
        <v>4.58</v>
      </c>
      <c r="K298" s="493">
        <v>6574.0</v>
      </c>
      <c r="L298" s="493">
        <v>182213.0</v>
      </c>
      <c r="M298" s="493">
        <v>0.1108</v>
      </c>
      <c r="N298" s="6">
        <v>1.1499</v>
      </c>
    </row>
    <row r="299">
      <c r="A299" s="491" t="s">
        <v>1884</v>
      </c>
      <c r="B299" s="491" t="s">
        <v>1857</v>
      </c>
      <c r="C299" s="491" t="s">
        <v>72</v>
      </c>
      <c r="D299" s="491" t="s">
        <v>565</v>
      </c>
      <c r="E299" s="492" t="s">
        <v>32</v>
      </c>
      <c r="F299" s="493">
        <v>59334.0</v>
      </c>
      <c r="G299" s="493">
        <v>6049.0</v>
      </c>
      <c r="H299" s="493">
        <v>10.19</v>
      </c>
      <c r="I299" s="493">
        <v>3.5</v>
      </c>
      <c r="J299" s="493">
        <v>5.23</v>
      </c>
      <c r="K299" s="493">
        <v>6375.0</v>
      </c>
      <c r="L299" s="493">
        <v>182213.0</v>
      </c>
      <c r="M299" s="493">
        <v>0.1074</v>
      </c>
      <c r="N299" s="6">
        <v>1.0539</v>
      </c>
    </row>
    <row r="300">
      <c r="A300" s="491" t="s">
        <v>1884</v>
      </c>
      <c r="B300" s="491" t="s">
        <v>1857</v>
      </c>
      <c r="C300" s="491" t="s">
        <v>72</v>
      </c>
      <c r="D300" s="491" t="s">
        <v>565</v>
      </c>
      <c r="E300" s="492" t="s">
        <v>310</v>
      </c>
      <c r="F300" s="493">
        <v>59334.0</v>
      </c>
      <c r="G300" s="493">
        <v>5183.0</v>
      </c>
      <c r="H300" s="493">
        <v>8.74</v>
      </c>
      <c r="I300" s="493">
        <v>3.03</v>
      </c>
      <c r="J300" s="493">
        <v>4.59</v>
      </c>
      <c r="K300" s="493">
        <v>5518.0</v>
      </c>
      <c r="L300" s="493">
        <v>182213.0</v>
      </c>
      <c r="M300" s="493">
        <v>0.093</v>
      </c>
      <c r="N300" s="6">
        <v>1.0646</v>
      </c>
    </row>
    <row r="301">
      <c r="A301" s="491" t="s">
        <v>1884</v>
      </c>
      <c r="B301" s="491" t="s">
        <v>1857</v>
      </c>
      <c r="C301" s="491" t="s">
        <v>72</v>
      </c>
      <c r="D301" s="491" t="s">
        <v>565</v>
      </c>
      <c r="E301" s="492" t="s">
        <v>312</v>
      </c>
      <c r="F301" s="493">
        <v>59334.0</v>
      </c>
      <c r="G301" s="493">
        <v>4845.0</v>
      </c>
      <c r="H301" s="493">
        <v>8.17</v>
      </c>
      <c r="I301" s="493">
        <v>2.86</v>
      </c>
      <c r="J301" s="493">
        <v>4.08</v>
      </c>
      <c r="K301" s="493">
        <v>5207.0</v>
      </c>
      <c r="L301" s="493">
        <v>182213.0</v>
      </c>
      <c r="M301" s="493">
        <v>0.0878</v>
      </c>
      <c r="N301" s="6">
        <v>1.0747</v>
      </c>
    </row>
    <row r="302">
      <c r="A302" s="491" t="s">
        <v>1884</v>
      </c>
      <c r="B302" s="491" t="s">
        <v>1857</v>
      </c>
      <c r="C302" s="491" t="s">
        <v>72</v>
      </c>
      <c r="D302" s="491" t="s">
        <v>565</v>
      </c>
      <c r="E302" s="492" t="s">
        <v>49</v>
      </c>
      <c r="F302" s="493">
        <v>59334.0</v>
      </c>
      <c r="G302" s="493">
        <v>3630.0</v>
      </c>
      <c r="H302" s="493">
        <v>6.12</v>
      </c>
      <c r="I302" s="493">
        <v>2.22</v>
      </c>
      <c r="J302" s="493">
        <v>2.73</v>
      </c>
      <c r="K302" s="493">
        <v>4046.0</v>
      </c>
      <c r="L302" s="493">
        <v>182213.0</v>
      </c>
      <c r="M302" s="493">
        <v>0.0682</v>
      </c>
      <c r="N302" s="6">
        <v>1.1146</v>
      </c>
    </row>
    <row r="303">
      <c r="A303" s="491" t="s">
        <v>1884</v>
      </c>
      <c r="B303" s="491" t="s">
        <v>1857</v>
      </c>
      <c r="C303" s="491" t="s">
        <v>72</v>
      </c>
      <c r="D303" s="491" t="s">
        <v>565</v>
      </c>
      <c r="E303" s="492" t="s">
        <v>372</v>
      </c>
      <c r="F303" s="493">
        <v>59334.0</v>
      </c>
      <c r="G303" s="493">
        <v>1610.0</v>
      </c>
      <c r="H303" s="493">
        <v>2.71</v>
      </c>
      <c r="I303" s="493">
        <v>1.19</v>
      </c>
      <c r="J303" s="493">
        <v>1.34</v>
      </c>
      <c r="K303" s="493">
        <v>2166.0</v>
      </c>
      <c r="L303" s="493">
        <v>182213.0</v>
      </c>
      <c r="M303" s="493">
        <v>0.0365</v>
      </c>
      <c r="N303" s="6">
        <v>1.3453</v>
      </c>
    </row>
    <row r="304">
      <c r="A304" s="491" t="s">
        <v>1884</v>
      </c>
      <c r="B304" s="491" t="s">
        <v>1857</v>
      </c>
      <c r="C304" s="491" t="s">
        <v>72</v>
      </c>
      <c r="D304" s="491" t="s">
        <v>565</v>
      </c>
      <c r="E304" s="492" t="s">
        <v>311</v>
      </c>
      <c r="F304" s="493">
        <v>59334.0</v>
      </c>
      <c r="G304" s="493">
        <v>1347.0</v>
      </c>
      <c r="H304" s="493">
        <v>2.27</v>
      </c>
      <c r="I304" s="493">
        <v>0.76</v>
      </c>
      <c r="J304" s="493">
        <v>1.19</v>
      </c>
      <c r="K304" s="493">
        <v>1386.0</v>
      </c>
      <c r="L304" s="493">
        <v>182213.0</v>
      </c>
      <c r="M304" s="493">
        <v>0.0234</v>
      </c>
      <c r="N304" s="6">
        <v>1.029</v>
      </c>
    </row>
    <row r="305">
      <c r="A305" s="491" t="s">
        <v>1884</v>
      </c>
      <c r="B305" s="491" t="s">
        <v>1857</v>
      </c>
      <c r="C305" s="491" t="s">
        <v>72</v>
      </c>
      <c r="D305" s="491" t="s">
        <v>565</v>
      </c>
      <c r="E305" s="492" t="s">
        <v>50</v>
      </c>
      <c r="F305" s="493">
        <v>59334.0</v>
      </c>
      <c r="G305" s="493">
        <v>745.0</v>
      </c>
      <c r="H305" s="493">
        <v>1.26</v>
      </c>
      <c r="I305" s="493">
        <v>0.42</v>
      </c>
      <c r="J305" s="493">
        <v>0.7</v>
      </c>
      <c r="K305" s="493">
        <v>772.0</v>
      </c>
      <c r="L305" s="493">
        <v>182213.0</v>
      </c>
      <c r="M305" s="493">
        <v>0.013</v>
      </c>
      <c r="N305" s="6">
        <v>1.0362</v>
      </c>
    </row>
    <row r="306">
      <c r="A306" s="491" t="s">
        <v>1884</v>
      </c>
      <c r="B306" s="491" t="s">
        <v>1857</v>
      </c>
      <c r="C306" s="491" t="s">
        <v>72</v>
      </c>
      <c r="D306" s="491" t="s">
        <v>565</v>
      </c>
      <c r="E306" s="492" t="s">
        <v>43</v>
      </c>
      <c r="F306" s="493">
        <v>59334.0</v>
      </c>
      <c r="G306" s="493">
        <v>730.0</v>
      </c>
      <c r="H306" s="493">
        <v>1.23</v>
      </c>
      <c r="I306" s="493">
        <v>0.42</v>
      </c>
      <c r="J306" s="493">
        <v>0.52</v>
      </c>
      <c r="K306" s="493">
        <v>766.0</v>
      </c>
      <c r="L306" s="493">
        <v>182213.0</v>
      </c>
      <c r="M306" s="493">
        <v>0.0129</v>
      </c>
      <c r="N306" s="6">
        <v>1.0493</v>
      </c>
    </row>
    <row r="307">
      <c r="A307" s="491" t="s">
        <v>1884</v>
      </c>
      <c r="B307" s="491" t="s">
        <v>1857</v>
      </c>
      <c r="C307" s="491" t="s">
        <v>72</v>
      </c>
      <c r="D307" s="491" t="s">
        <v>565</v>
      </c>
      <c r="E307" s="492" t="s">
        <v>44</v>
      </c>
      <c r="F307" s="493">
        <v>59334.0</v>
      </c>
      <c r="G307" s="493">
        <v>405.0</v>
      </c>
      <c r="H307" s="493">
        <v>0.68</v>
      </c>
      <c r="I307" s="493">
        <v>0.24</v>
      </c>
      <c r="J307" s="493">
        <v>0.29</v>
      </c>
      <c r="K307" s="493">
        <v>437.0</v>
      </c>
      <c r="L307" s="493">
        <v>182213.0</v>
      </c>
      <c r="M307" s="493">
        <v>0.0074</v>
      </c>
      <c r="N307" s="6">
        <v>1.079</v>
      </c>
    </row>
    <row r="308">
      <c r="A308" s="491" t="s">
        <v>1884</v>
      </c>
      <c r="B308" s="491" t="s">
        <v>1857</v>
      </c>
      <c r="C308" s="491" t="s">
        <v>72</v>
      </c>
      <c r="D308" s="491" t="s">
        <v>565</v>
      </c>
      <c r="E308" s="492" t="s">
        <v>371</v>
      </c>
      <c r="F308" s="493">
        <v>59334.0</v>
      </c>
      <c r="G308" s="493">
        <v>254.0</v>
      </c>
      <c r="H308" s="493">
        <v>0.43</v>
      </c>
      <c r="I308" s="493">
        <v>0.14</v>
      </c>
      <c r="J308" s="493">
        <v>0.23</v>
      </c>
      <c r="K308" s="493">
        <v>263.0</v>
      </c>
      <c r="L308" s="493">
        <v>182213.0</v>
      </c>
      <c r="M308" s="493">
        <v>0.0044</v>
      </c>
      <c r="N308" s="6">
        <v>1.0354</v>
      </c>
    </row>
    <row r="309">
      <c r="A309" s="491" t="s">
        <v>1884</v>
      </c>
      <c r="B309" s="491" t="s">
        <v>1857</v>
      </c>
      <c r="C309" s="491" t="s">
        <v>72</v>
      </c>
      <c r="D309" s="491" t="s">
        <v>565</v>
      </c>
      <c r="E309" s="492" t="s">
        <v>368</v>
      </c>
      <c r="F309" s="493">
        <v>59334.0</v>
      </c>
      <c r="G309" s="493">
        <v>125.0</v>
      </c>
      <c r="H309" s="493">
        <v>0.21</v>
      </c>
      <c r="I309" s="493">
        <v>0.09</v>
      </c>
      <c r="J309" s="493">
        <v>0.07</v>
      </c>
      <c r="K309" s="493">
        <v>161.0</v>
      </c>
      <c r="L309" s="493">
        <v>182213.0</v>
      </c>
      <c r="M309" s="493">
        <v>0.0027</v>
      </c>
      <c r="N309" s="6">
        <v>1.288</v>
      </c>
    </row>
    <row r="310">
      <c r="A310" s="491" t="s">
        <v>1884</v>
      </c>
      <c r="B310" s="491" t="s">
        <v>1857</v>
      </c>
      <c r="C310" s="491" t="s">
        <v>72</v>
      </c>
      <c r="D310" s="491" t="s">
        <v>565</v>
      </c>
      <c r="E310" s="492" t="s">
        <v>366</v>
      </c>
      <c r="F310" s="493">
        <v>59334.0</v>
      </c>
      <c r="G310" s="493">
        <v>119.0</v>
      </c>
      <c r="H310" s="493">
        <v>0.2</v>
      </c>
      <c r="I310" s="493">
        <v>0.07</v>
      </c>
      <c r="J310" s="493">
        <v>0.09</v>
      </c>
      <c r="K310" s="493">
        <v>128.0</v>
      </c>
      <c r="L310" s="493">
        <v>182213.0</v>
      </c>
      <c r="M310" s="493">
        <v>0.0022</v>
      </c>
      <c r="N310" s="6">
        <v>1.0756</v>
      </c>
    </row>
    <row r="311">
      <c r="A311" s="491" t="s">
        <v>1884</v>
      </c>
      <c r="B311" s="491" t="s">
        <v>1857</v>
      </c>
      <c r="C311" s="491" t="s">
        <v>72</v>
      </c>
      <c r="D311" s="491" t="s">
        <v>565</v>
      </c>
      <c r="E311" s="492" t="s">
        <v>134</v>
      </c>
      <c r="F311" s="493">
        <v>59334.0</v>
      </c>
      <c r="G311" s="493">
        <v>54.0</v>
      </c>
      <c r="H311" s="493">
        <v>0.09</v>
      </c>
      <c r="I311" s="493">
        <v>0.06</v>
      </c>
      <c r="J311" s="493">
        <v>0.03</v>
      </c>
      <c r="K311" s="493">
        <v>103.0</v>
      </c>
      <c r="L311" s="493">
        <v>182213.0</v>
      </c>
      <c r="M311" s="493">
        <v>0.0017</v>
      </c>
      <c r="N311" s="6">
        <v>1.9074</v>
      </c>
    </row>
    <row r="312">
      <c r="A312" s="491" t="s">
        <v>1884</v>
      </c>
      <c r="B312" s="491" t="s">
        <v>1857</v>
      </c>
      <c r="C312" s="491" t="s">
        <v>72</v>
      </c>
      <c r="D312" s="491" t="s">
        <v>565</v>
      </c>
      <c r="E312" s="492" t="s">
        <v>369</v>
      </c>
      <c r="F312" s="493">
        <v>59334.0</v>
      </c>
      <c r="G312" s="493">
        <v>40.0</v>
      </c>
      <c r="H312" s="493">
        <v>0.07</v>
      </c>
      <c r="I312" s="493">
        <v>0.03</v>
      </c>
      <c r="J312" s="493">
        <v>0.03</v>
      </c>
      <c r="K312" s="493">
        <v>49.0</v>
      </c>
      <c r="L312" s="493">
        <v>182213.0</v>
      </c>
      <c r="M312" s="493">
        <v>8.0E-4</v>
      </c>
      <c r="N312" s="6">
        <v>1.225</v>
      </c>
    </row>
    <row r="313">
      <c r="A313" s="491" t="s">
        <v>1884</v>
      </c>
      <c r="B313" s="491" t="s">
        <v>1857</v>
      </c>
      <c r="C313" s="491" t="s">
        <v>72</v>
      </c>
      <c r="D313" s="491" t="s">
        <v>565</v>
      </c>
      <c r="E313" s="492" t="s">
        <v>189</v>
      </c>
      <c r="F313" s="493">
        <v>59334.0</v>
      </c>
      <c r="G313" s="493">
        <v>12.0</v>
      </c>
      <c r="H313" s="493">
        <v>0.02</v>
      </c>
      <c r="I313" s="493">
        <v>0.01</v>
      </c>
      <c r="J313" s="493">
        <v>0.01</v>
      </c>
      <c r="K313" s="493">
        <v>14.0</v>
      </c>
      <c r="L313" s="493">
        <v>182213.0</v>
      </c>
      <c r="M313" s="493">
        <v>2.0E-4</v>
      </c>
      <c r="N313" s="6">
        <v>1.1667</v>
      </c>
    </row>
    <row r="314">
      <c r="A314" s="491" t="s">
        <v>1884</v>
      </c>
      <c r="B314" s="491" t="s">
        <v>1857</v>
      </c>
      <c r="C314" s="491" t="s">
        <v>1873</v>
      </c>
      <c r="D314" s="491" t="s">
        <v>2018</v>
      </c>
      <c r="E314" s="492" t="s">
        <v>367</v>
      </c>
      <c r="F314" s="493">
        <v>5185.0</v>
      </c>
      <c r="G314" s="493">
        <v>4187.0</v>
      </c>
      <c r="H314" s="493">
        <v>80.75</v>
      </c>
      <c r="I314" s="493">
        <v>81.6</v>
      </c>
      <c r="J314" s="493">
        <v>80.47</v>
      </c>
      <c r="K314" s="493">
        <v>148965.0</v>
      </c>
      <c r="L314" s="493">
        <v>182565.0</v>
      </c>
      <c r="M314" s="493">
        <v>28.73</v>
      </c>
      <c r="N314" s="6">
        <v>35.578</v>
      </c>
    </row>
    <row r="315">
      <c r="A315" s="491" t="s">
        <v>1884</v>
      </c>
      <c r="B315" s="491" t="s">
        <v>1857</v>
      </c>
      <c r="C315" s="491" t="s">
        <v>1873</v>
      </c>
      <c r="D315" s="491" t="s">
        <v>2018</v>
      </c>
      <c r="E315" s="492" t="s">
        <v>372</v>
      </c>
      <c r="F315" s="493">
        <v>5185.0</v>
      </c>
      <c r="G315" s="493">
        <v>619.0</v>
      </c>
      <c r="H315" s="493">
        <v>11.94</v>
      </c>
      <c r="I315" s="493">
        <v>14.55</v>
      </c>
      <c r="J315" s="493">
        <v>11.36</v>
      </c>
      <c r="K315" s="493">
        <v>26560.0</v>
      </c>
      <c r="L315" s="493">
        <v>182565.0</v>
      </c>
      <c r="M315" s="493">
        <v>5.1225</v>
      </c>
      <c r="N315" s="6">
        <v>42.9079</v>
      </c>
    </row>
    <row r="316">
      <c r="A316" s="491" t="s">
        <v>1884</v>
      </c>
      <c r="B316" s="491" t="s">
        <v>1857</v>
      </c>
      <c r="C316" s="491" t="s">
        <v>1873</v>
      </c>
      <c r="D316" s="491" t="s">
        <v>2018</v>
      </c>
      <c r="E316" s="492" t="s">
        <v>369</v>
      </c>
      <c r="F316" s="493">
        <v>5185.0</v>
      </c>
      <c r="G316" s="493">
        <v>270.0</v>
      </c>
      <c r="H316" s="493">
        <v>5.21</v>
      </c>
      <c r="I316" s="493">
        <v>1.87</v>
      </c>
      <c r="J316" s="493">
        <v>4.93</v>
      </c>
      <c r="K316" s="493">
        <v>3405.0</v>
      </c>
      <c r="L316" s="493">
        <v>182565.0</v>
      </c>
      <c r="M316" s="493">
        <v>0.6567</v>
      </c>
      <c r="N316" s="6">
        <v>12.6111</v>
      </c>
    </row>
    <row r="317">
      <c r="A317" s="491" t="s">
        <v>1884</v>
      </c>
      <c r="B317" s="491" t="s">
        <v>1857</v>
      </c>
      <c r="C317" s="491" t="s">
        <v>1873</v>
      </c>
      <c r="D317" s="491" t="s">
        <v>2018</v>
      </c>
      <c r="E317" s="492" t="s">
        <v>370</v>
      </c>
      <c r="F317" s="493">
        <v>5185.0</v>
      </c>
      <c r="G317" s="493">
        <v>39.0</v>
      </c>
      <c r="H317" s="493">
        <v>0.75</v>
      </c>
      <c r="I317" s="493">
        <v>0.72</v>
      </c>
      <c r="J317" s="493">
        <v>0.74</v>
      </c>
      <c r="K317" s="493">
        <v>1320.0</v>
      </c>
      <c r="L317" s="493">
        <v>182565.0</v>
      </c>
      <c r="M317" s="493">
        <v>0.2546</v>
      </c>
      <c r="N317" s="6">
        <v>33.8462</v>
      </c>
    </row>
    <row r="318">
      <c r="A318" s="491" t="s">
        <v>1884</v>
      </c>
      <c r="B318" s="491" t="s">
        <v>1857</v>
      </c>
      <c r="C318" s="491" t="s">
        <v>1873</v>
      </c>
      <c r="D318" s="491" t="s">
        <v>2018</v>
      </c>
      <c r="E318" s="492" t="s">
        <v>189</v>
      </c>
      <c r="F318" s="493">
        <v>5185.0</v>
      </c>
      <c r="G318" s="493">
        <v>95.0</v>
      </c>
      <c r="H318" s="493">
        <v>1.83</v>
      </c>
      <c r="I318" s="493">
        <v>0.58</v>
      </c>
      <c r="J318" s="493">
        <v>1.65</v>
      </c>
      <c r="K318" s="493">
        <v>1055.0</v>
      </c>
      <c r="L318" s="493">
        <v>182565.0</v>
      </c>
      <c r="M318" s="493">
        <v>0.2035</v>
      </c>
      <c r="N318" s="6">
        <v>11.1053</v>
      </c>
    </row>
    <row r="319">
      <c r="A319" s="491" t="s">
        <v>1884</v>
      </c>
      <c r="B319" s="491" t="s">
        <v>1857</v>
      </c>
      <c r="C319" s="491" t="s">
        <v>1873</v>
      </c>
      <c r="D319" s="491" t="s">
        <v>2018</v>
      </c>
      <c r="E319" s="492" t="s">
        <v>35</v>
      </c>
      <c r="F319" s="493">
        <v>5185.0</v>
      </c>
      <c r="G319" s="493">
        <v>33.0</v>
      </c>
      <c r="H319" s="493">
        <v>0.64</v>
      </c>
      <c r="I319" s="493">
        <v>0.34</v>
      </c>
      <c r="J319" s="493">
        <v>0.46</v>
      </c>
      <c r="K319" s="493">
        <v>615.0</v>
      </c>
      <c r="L319" s="493">
        <v>182565.0</v>
      </c>
      <c r="M319" s="493">
        <v>0.1186</v>
      </c>
      <c r="N319" s="6">
        <v>18.6364</v>
      </c>
    </row>
    <row r="320">
      <c r="A320" s="491" t="s">
        <v>1884</v>
      </c>
      <c r="B320" s="491" t="s">
        <v>1857</v>
      </c>
      <c r="C320" s="491" t="s">
        <v>1873</v>
      </c>
      <c r="D320" s="491" t="s">
        <v>2018</v>
      </c>
      <c r="E320" s="492" t="s">
        <v>134</v>
      </c>
      <c r="F320" s="493">
        <v>5185.0</v>
      </c>
      <c r="G320" s="493">
        <v>24.0</v>
      </c>
      <c r="H320" s="493">
        <v>0.46</v>
      </c>
      <c r="I320" s="493">
        <v>0.32</v>
      </c>
      <c r="J320" s="493">
        <v>0.32</v>
      </c>
      <c r="K320" s="493">
        <v>585.0</v>
      </c>
      <c r="L320" s="493">
        <v>182565.0</v>
      </c>
      <c r="M320" s="493">
        <v>0.1128</v>
      </c>
      <c r="N320" s="6">
        <v>24.375</v>
      </c>
    </row>
    <row r="321">
      <c r="A321" s="491" t="s">
        <v>1884</v>
      </c>
      <c r="B321" s="491" t="s">
        <v>1857</v>
      </c>
      <c r="C321" s="491" t="s">
        <v>1873</v>
      </c>
      <c r="D321" s="491" t="s">
        <v>2018</v>
      </c>
      <c r="E321" s="492" t="s">
        <v>373</v>
      </c>
      <c r="F321" s="493">
        <v>5185.0</v>
      </c>
      <c r="G321" s="493">
        <v>1.0</v>
      </c>
      <c r="H321" s="493">
        <v>0.02</v>
      </c>
      <c r="I321" s="493">
        <v>0.02</v>
      </c>
      <c r="J321" s="493">
        <v>0.02</v>
      </c>
      <c r="K321" s="493">
        <v>30.0</v>
      </c>
      <c r="L321" s="493">
        <v>182565.0</v>
      </c>
      <c r="M321" s="493">
        <v>0.0058</v>
      </c>
      <c r="N321" s="6">
        <v>30.0</v>
      </c>
    </row>
    <row r="322">
      <c r="A322" s="491" t="s">
        <v>1884</v>
      </c>
      <c r="B322" s="491" t="s">
        <v>1857</v>
      </c>
      <c r="C322" s="491" t="s">
        <v>1873</v>
      </c>
      <c r="D322" s="491" t="s">
        <v>2018</v>
      </c>
      <c r="E322" s="492" t="s">
        <v>42</v>
      </c>
      <c r="F322" s="493">
        <v>5185.0</v>
      </c>
      <c r="G322" s="493">
        <v>1.0</v>
      </c>
      <c r="H322" s="493">
        <v>0.02</v>
      </c>
      <c r="I322" s="493">
        <v>0.01</v>
      </c>
      <c r="J322" s="493">
        <v>0.02</v>
      </c>
      <c r="K322" s="493">
        <v>20.0</v>
      </c>
      <c r="L322" s="493">
        <v>182565.0</v>
      </c>
      <c r="M322" s="493">
        <v>0.0039</v>
      </c>
      <c r="N322" s="6">
        <v>20.0</v>
      </c>
    </row>
    <row r="323">
      <c r="A323" s="491" t="s">
        <v>1884</v>
      </c>
      <c r="B323" s="491" t="s">
        <v>1857</v>
      </c>
      <c r="C323" s="491" t="s">
        <v>1873</v>
      </c>
      <c r="D323" s="491" t="s">
        <v>2018</v>
      </c>
      <c r="E323" s="492" t="s">
        <v>368</v>
      </c>
      <c r="F323" s="493">
        <v>5185.0</v>
      </c>
      <c r="G323" s="493">
        <v>1.0</v>
      </c>
      <c r="H323" s="493">
        <v>0.02</v>
      </c>
      <c r="I323" s="493">
        <v>0.01</v>
      </c>
      <c r="J323" s="493">
        <v>0.02</v>
      </c>
      <c r="K323" s="493">
        <v>10.0</v>
      </c>
      <c r="L323" s="493">
        <v>182565.0</v>
      </c>
      <c r="M323" s="493">
        <v>0.0019</v>
      </c>
      <c r="N323" s="6">
        <v>10.0</v>
      </c>
    </row>
    <row r="324">
      <c r="A324" s="491" t="s">
        <v>1884</v>
      </c>
      <c r="B324" s="491" t="s">
        <v>1857</v>
      </c>
      <c r="C324" s="491" t="s">
        <v>1874</v>
      </c>
      <c r="D324" s="491" t="s">
        <v>2018</v>
      </c>
      <c r="E324" s="492" t="s">
        <v>367</v>
      </c>
      <c r="F324" s="493">
        <v>14451.0</v>
      </c>
      <c r="G324" s="493">
        <v>4687.0</v>
      </c>
      <c r="H324" s="493">
        <v>32.43</v>
      </c>
      <c r="I324" s="493">
        <v>63.22</v>
      </c>
      <c r="J324" s="493">
        <v>30.41</v>
      </c>
      <c r="K324" s="493">
        <v>331140.0</v>
      </c>
      <c r="L324" s="493">
        <v>523825.0</v>
      </c>
      <c r="M324" s="493">
        <v>22.9147</v>
      </c>
      <c r="N324" s="6">
        <v>70.6507</v>
      </c>
    </row>
    <row r="325">
      <c r="A325" s="491" t="s">
        <v>1884</v>
      </c>
      <c r="B325" s="491" t="s">
        <v>1857</v>
      </c>
      <c r="C325" s="491" t="s">
        <v>1874</v>
      </c>
      <c r="D325" s="491" t="s">
        <v>2018</v>
      </c>
      <c r="E325" s="492" t="s">
        <v>372</v>
      </c>
      <c r="F325" s="493">
        <v>14451.0</v>
      </c>
      <c r="G325" s="493">
        <v>8356.0</v>
      </c>
      <c r="H325" s="493">
        <v>57.82</v>
      </c>
      <c r="I325" s="493">
        <v>29.19</v>
      </c>
      <c r="J325" s="493">
        <v>50.64</v>
      </c>
      <c r="K325" s="493">
        <v>152915.0</v>
      </c>
      <c r="L325" s="493">
        <v>523825.0</v>
      </c>
      <c r="M325" s="493">
        <v>10.5816</v>
      </c>
      <c r="N325" s="6">
        <v>18.3</v>
      </c>
    </row>
    <row r="326">
      <c r="A326" s="491" t="s">
        <v>1884</v>
      </c>
      <c r="B326" s="491" t="s">
        <v>1857</v>
      </c>
      <c r="C326" s="491" t="s">
        <v>1874</v>
      </c>
      <c r="D326" s="491" t="s">
        <v>2018</v>
      </c>
      <c r="E326" s="492" t="s">
        <v>369</v>
      </c>
      <c r="F326" s="493">
        <v>14451.0</v>
      </c>
      <c r="G326" s="493">
        <v>2251.0</v>
      </c>
      <c r="H326" s="493">
        <v>15.58</v>
      </c>
      <c r="I326" s="493">
        <v>5.45</v>
      </c>
      <c r="J326" s="493">
        <v>14.01</v>
      </c>
      <c r="K326" s="493">
        <v>28555.0</v>
      </c>
      <c r="L326" s="493">
        <v>523825.0</v>
      </c>
      <c r="M326" s="493">
        <v>1.976</v>
      </c>
      <c r="N326" s="6">
        <v>12.6855</v>
      </c>
    </row>
    <row r="327">
      <c r="A327" s="491" t="s">
        <v>1884</v>
      </c>
      <c r="B327" s="491" t="s">
        <v>1857</v>
      </c>
      <c r="C327" s="491" t="s">
        <v>1874</v>
      </c>
      <c r="D327" s="491" t="s">
        <v>2018</v>
      </c>
      <c r="E327" s="492" t="s">
        <v>189</v>
      </c>
      <c r="F327" s="493">
        <v>14451.0</v>
      </c>
      <c r="G327" s="493">
        <v>587.0</v>
      </c>
      <c r="H327" s="493">
        <v>4.06</v>
      </c>
      <c r="I327" s="493">
        <v>1.15</v>
      </c>
      <c r="J327" s="493">
        <v>3.44</v>
      </c>
      <c r="K327" s="493">
        <v>6010.0</v>
      </c>
      <c r="L327" s="493">
        <v>523825.0</v>
      </c>
      <c r="M327" s="493">
        <v>0.4159</v>
      </c>
      <c r="N327" s="6">
        <v>10.2385</v>
      </c>
    </row>
    <row r="328">
      <c r="A328" s="491" t="s">
        <v>1884</v>
      </c>
      <c r="B328" s="491" t="s">
        <v>1857</v>
      </c>
      <c r="C328" s="491" t="s">
        <v>1874</v>
      </c>
      <c r="D328" s="491" t="s">
        <v>2018</v>
      </c>
      <c r="E328" s="492" t="s">
        <v>44</v>
      </c>
      <c r="F328" s="493">
        <v>14451.0</v>
      </c>
      <c r="G328" s="493">
        <v>129.0</v>
      </c>
      <c r="H328" s="493">
        <v>0.89</v>
      </c>
      <c r="I328" s="493">
        <v>0.28</v>
      </c>
      <c r="J328" s="493">
        <v>0.71</v>
      </c>
      <c r="K328" s="493">
        <v>1460.0</v>
      </c>
      <c r="L328" s="493">
        <v>523825.0</v>
      </c>
      <c r="M328" s="493">
        <v>0.101</v>
      </c>
      <c r="N328" s="6">
        <v>11.3178</v>
      </c>
    </row>
    <row r="329">
      <c r="A329" s="491" t="s">
        <v>1884</v>
      </c>
      <c r="B329" s="491" t="s">
        <v>1857</v>
      </c>
      <c r="C329" s="491" t="s">
        <v>1874</v>
      </c>
      <c r="D329" s="491" t="s">
        <v>2018</v>
      </c>
      <c r="E329" s="492" t="s">
        <v>134</v>
      </c>
      <c r="F329" s="493">
        <v>14451.0</v>
      </c>
      <c r="G329" s="493">
        <v>52.0</v>
      </c>
      <c r="H329" s="493">
        <v>0.36</v>
      </c>
      <c r="I329" s="493">
        <v>0.28</v>
      </c>
      <c r="J329" s="493">
        <v>0.24</v>
      </c>
      <c r="K329" s="493">
        <v>1485.0</v>
      </c>
      <c r="L329" s="493">
        <v>523825.0</v>
      </c>
      <c r="M329" s="493">
        <v>0.1028</v>
      </c>
      <c r="N329" s="6">
        <v>28.5577</v>
      </c>
    </row>
    <row r="330">
      <c r="A330" s="491" t="s">
        <v>1884</v>
      </c>
      <c r="B330" s="491" t="s">
        <v>1857</v>
      </c>
      <c r="C330" s="491" t="s">
        <v>1874</v>
      </c>
      <c r="D330" s="491" t="s">
        <v>2018</v>
      </c>
      <c r="E330" s="492" t="s">
        <v>370</v>
      </c>
      <c r="F330" s="493">
        <v>14451.0</v>
      </c>
      <c r="G330" s="493">
        <v>43.0</v>
      </c>
      <c r="H330" s="493">
        <v>0.3</v>
      </c>
      <c r="I330" s="493">
        <v>0.26</v>
      </c>
      <c r="J330" s="493">
        <v>0.26</v>
      </c>
      <c r="K330" s="493">
        <v>1350.0</v>
      </c>
      <c r="L330" s="493">
        <v>523825.0</v>
      </c>
      <c r="M330" s="493">
        <v>0.0934</v>
      </c>
      <c r="N330" s="6">
        <v>31.3953</v>
      </c>
    </row>
    <row r="331">
      <c r="A331" s="491" t="s">
        <v>1884</v>
      </c>
      <c r="B331" s="491" t="s">
        <v>1857</v>
      </c>
      <c r="C331" s="491" t="s">
        <v>1874</v>
      </c>
      <c r="D331" s="491" t="s">
        <v>2018</v>
      </c>
      <c r="E331" s="492" t="s">
        <v>35</v>
      </c>
      <c r="F331" s="493">
        <v>14451.0</v>
      </c>
      <c r="G331" s="493">
        <v>53.0</v>
      </c>
      <c r="H331" s="493">
        <v>0.37</v>
      </c>
      <c r="I331" s="493">
        <v>0.17</v>
      </c>
      <c r="J331" s="493">
        <v>0.28</v>
      </c>
      <c r="K331" s="493">
        <v>900.0</v>
      </c>
      <c r="L331" s="493">
        <v>523825.0</v>
      </c>
      <c r="M331" s="493">
        <v>0.0623</v>
      </c>
      <c r="N331" s="6">
        <v>16.9811</v>
      </c>
    </row>
    <row r="332">
      <c r="A332" s="491" t="s">
        <v>1884</v>
      </c>
      <c r="B332" s="491" t="s">
        <v>1857</v>
      </c>
      <c r="C332" s="491" t="s">
        <v>1874</v>
      </c>
      <c r="D332" s="491" t="s">
        <v>2018</v>
      </c>
      <c r="E332" s="492" t="s">
        <v>368</v>
      </c>
      <c r="F332" s="493">
        <v>14451.0</v>
      </c>
      <c r="G332" s="493">
        <v>1.0</v>
      </c>
      <c r="H332" s="493">
        <v>0.01</v>
      </c>
      <c r="I332" s="493">
        <v>0.0</v>
      </c>
      <c r="J332" s="493">
        <v>0.01</v>
      </c>
      <c r="K332" s="493">
        <v>10.0</v>
      </c>
      <c r="L332" s="493">
        <v>523825.0</v>
      </c>
      <c r="M332" s="493">
        <v>7.0E-4</v>
      </c>
      <c r="N332" s="6">
        <v>10.0</v>
      </c>
    </row>
    <row r="333">
      <c r="A333" s="491" t="s">
        <v>1884</v>
      </c>
      <c r="B333" s="491" t="s">
        <v>1857</v>
      </c>
      <c r="C333" s="491" t="s">
        <v>1875</v>
      </c>
      <c r="D333" s="491" t="s">
        <v>2018</v>
      </c>
      <c r="E333" s="492" t="s">
        <v>367</v>
      </c>
      <c r="F333" s="493">
        <v>21084.0</v>
      </c>
      <c r="G333" s="493">
        <v>5082.0</v>
      </c>
      <c r="H333" s="493">
        <v>24.1</v>
      </c>
      <c r="I333" s="493">
        <v>58.52</v>
      </c>
      <c r="J333" s="493">
        <v>22.43</v>
      </c>
      <c r="K333" s="493">
        <v>353820.0</v>
      </c>
      <c r="L333" s="493">
        <v>604660.0</v>
      </c>
      <c r="M333" s="493">
        <v>16.7814</v>
      </c>
      <c r="N333" s="6">
        <v>69.6222</v>
      </c>
    </row>
    <row r="334">
      <c r="A334" s="491" t="s">
        <v>1884</v>
      </c>
      <c r="B334" s="491" t="s">
        <v>1857</v>
      </c>
      <c r="C334" s="491" t="s">
        <v>1875</v>
      </c>
      <c r="D334" s="491" t="s">
        <v>2018</v>
      </c>
      <c r="E334" s="492" t="s">
        <v>372</v>
      </c>
      <c r="F334" s="493">
        <v>21084.0</v>
      </c>
      <c r="G334" s="493">
        <v>12872.0</v>
      </c>
      <c r="H334" s="493">
        <v>61.05</v>
      </c>
      <c r="I334" s="493">
        <v>28.7</v>
      </c>
      <c r="J334" s="493">
        <v>52.53</v>
      </c>
      <c r="K334" s="493">
        <v>173555.0</v>
      </c>
      <c r="L334" s="493">
        <v>604660.0</v>
      </c>
      <c r="M334" s="493">
        <v>8.2316</v>
      </c>
      <c r="N334" s="6">
        <v>13.4831</v>
      </c>
    </row>
    <row r="335">
      <c r="A335" s="491" t="s">
        <v>1884</v>
      </c>
      <c r="B335" s="491" t="s">
        <v>1857</v>
      </c>
      <c r="C335" s="491" t="s">
        <v>1875</v>
      </c>
      <c r="D335" s="491" t="s">
        <v>2018</v>
      </c>
      <c r="E335" s="492" t="s">
        <v>369</v>
      </c>
      <c r="F335" s="493">
        <v>21084.0</v>
      </c>
      <c r="G335" s="493">
        <v>4385.0</v>
      </c>
      <c r="H335" s="493">
        <v>20.8</v>
      </c>
      <c r="I335" s="493">
        <v>9.26</v>
      </c>
      <c r="J335" s="493">
        <v>18.28</v>
      </c>
      <c r="K335" s="493">
        <v>55990.0</v>
      </c>
      <c r="L335" s="493">
        <v>604660.0</v>
      </c>
      <c r="M335" s="493">
        <v>2.6556</v>
      </c>
      <c r="N335" s="6">
        <v>12.7685</v>
      </c>
    </row>
    <row r="336">
      <c r="A336" s="491" t="s">
        <v>1884</v>
      </c>
      <c r="B336" s="491" t="s">
        <v>1857</v>
      </c>
      <c r="C336" s="491" t="s">
        <v>1875</v>
      </c>
      <c r="D336" s="491" t="s">
        <v>2018</v>
      </c>
      <c r="E336" s="492" t="s">
        <v>189</v>
      </c>
      <c r="F336" s="493">
        <v>21084.0</v>
      </c>
      <c r="G336" s="493">
        <v>1080.0</v>
      </c>
      <c r="H336" s="493">
        <v>5.12</v>
      </c>
      <c r="I336" s="493">
        <v>1.83</v>
      </c>
      <c r="J336" s="493">
        <v>4.23</v>
      </c>
      <c r="K336" s="493">
        <v>11075.0</v>
      </c>
      <c r="L336" s="493">
        <v>604660.0</v>
      </c>
      <c r="M336" s="493">
        <v>0.5253</v>
      </c>
      <c r="N336" s="6">
        <v>10.2546</v>
      </c>
    </row>
    <row r="337">
      <c r="A337" s="491" t="s">
        <v>1884</v>
      </c>
      <c r="B337" s="491" t="s">
        <v>1857</v>
      </c>
      <c r="C337" s="491" t="s">
        <v>1875</v>
      </c>
      <c r="D337" s="491" t="s">
        <v>2018</v>
      </c>
      <c r="E337" s="492" t="s">
        <v>44</v>
      </c>
      <c r="F337" s="493">
        <v>21084.0</v>
      </c>
      <c r="G337" s="493">
        <v>405.0</v>
      </c>
      <c r="H337" s="493">
        <v>1.92</v>
      </c>
      <c r="I337" s="493">
        <v>0.72</v>
      </c>
      <c r="J337" s="493">
        <v>1.62</v>
      </c>
      <c r="K337" s="493">
        <v>4360.0</v>
      </c>
      <c r="L337" s="493">
        <v>604660.0</v>
      </c>
      <c r="M337" s="493">
        <v>0.2068</v>
      </c>
      <c r="N337" s="6">
        <v>10.7654</v>
      </c>
    </row>
    <row r="338">
      <c r="A338" s="491" t="s">
        <v>1884</v>
      </c>
      <c r="B338" s="491" t="s">
        <v>1857</v>
      </c>
      <c r="C338" s="491" t="s">
        <v>1875</v>
      </c>
      <c r="D338" s="491" t="s">
        <v>2018</v>
      </c>
      <c r="E338" s="492" t="s">
        <v>35</v>
      </c>
      <c r="F338" s="493">
        <v>21084.0</v>
      </c>
      <c r="G338" s="493">
        <v>139.0</v>
      </c>
      <c r="H338" s="493">
        <v>0.66</v>
      </c>
      <c r="I338" s="493">
        <v>0.38</v>
      </c>
      <c r="J338" s="493">
        <v>0.53</v>
      </c>
      <c r="K338" s="493">
        <v>2310.0</v>
      </c>
      <c r="L338" s="493">
        <v>604660.0</v>
      </c>
      <c r="M338" s="493">
        <v>0.1096</v>
      </c>
      <c r="N338" s="6">
        <v>16.6187</v>
      </c>
    </row>
    <row r="339">
      <c r="A339" s="491" t="s">
        <v>1884</v>
      </c>
      <c r="B339" s="491" t="s">
        <v>1857</v>
      </c>
      <c r="C339" s="491" t="s">
        <v>1875</v>
      </c>
      <c r="D339" s="491" t="s">
        <v>2018</v>
      </c>
      <c r="E339" s="492" t="s">
        <v>134</v>
      </c>
      <c r="F339" s="493">
        <v>21084.0</v>
      </c>
      <c r="G339" s="493">
        <v>46.0</v>
      </c>
      <c r="H339" s="493">
        <v>0.22</v>
      </c>
      <c r="I339" s="493">
        <v>0.33</v>
      </c>
      <c r="J339" s="493">
        <v>0.15</v>
      </c>
      <c r="K339" s="493">
        <v>2015.0</v>
      </c>
      <c r="L339" s="493">
        <v>604660.0</v>
      </c>
      <c r="M339" s="493">
        <v>0.0956</v>
      </c>
      <c r="N339" s="6">
        <v>43.8043</v>
      </c>
    </row>
    <row r="340">
      <c r="A340" s="491" t="s">
        <v>1884</v>
      </c>
      <c r="B340" s="491" t="s">
        <v>1857</v>
      </c>
      <c r="C340" s="491" t="s">
        <v>1875</v>
      </c>
      <c r="D340" s="491" t="s">
        <v>2018</v>
      </c>
      <c r="E340" s="492" t="s">
        <v>370</v>
      </c>
      <c r="F340" s="493">
        <v>21084.0</v>
      </c>
      <c r="G340" s="493">
        <v>48.0</v>
      </c>
      <c r="H340" s="493">
        <v>0.23</v>
      </c>
      <c r="I340" s="493">
        <v>0.25</v>
      </c>
      <c r="J340" s="493">
        <v>0.21</v>
      </c>
      <c r="K340" s="493">
        <v>1495.0</v>
      </c>
      <c r="L340" s="493">
        <v>604660.0</v>
      </c>
      <c r="M340" s="493">
        <v>0.0709</v>
      </c>
      <c r="N340" s="6">
        <v>31.1458</v>
      </c>
    </row>
    <row r="341">
      <c r="A341" s="491" t="s">
        <v>1884</v>
      </c>
      <c r="B341" s="491" t="s">
        <v>1857</v>
      </c>
      <c r="C341" s="491" t="s">
        <v>1875</v>
      </c>
      <c r="D341" s="491" t="s">
        <v>2018</v>
      </c>
      <c r="E341" s="492" t="s">
        <v>368</v>
      </c>
      <c r="F341" s="493">
        <v>21084.0</v>
      </c>
      <c r="G341" s="493">
        <v>1.0</v>
      </c>
      <c r="H341" s="493">
        <v>0.0</v>
      </c>
      <c r="I341" s="493">
        <v>0.0</v>
      </c>
      <c r="J341" s="493">
        <v>0.0</v>
      </c>
      <c r="K341" s="493">
        <v>15.0</v>
      </c>
      <c r="L341" s="493">
        <v>604660.0</v>
      </c>
      <c r="M341" s="493">
        <v>7.0E-4</v>
      </c>
      <c r="N341" s="6">
        <v>15.0</v>
      </c>
    </row>
    <row r="342">
      <c r="A342" s="491" t="s">
        <v>1884</v>
      </c>
      <c r="B342" s="491" t="s">
        <v>1857</v>
      </c>
      <c r="C342" s="491" t="s">
        <v>1875</v>
      </c>
      <c r="D342" s="491" t="s">
        <v>2018</v>
      </c>
      <c r="E342" s="492" t="s">
        <v>371</v>
      </c>
      <c r="F342" s="493">
        <v>21084.0</v>
      </c>
      <c r="G342" s="493">
        <v>1.0</v>
      </c>
      <c r="H342" s="493">
        <v>0.0</v>
      </c>
      <c r="I342" s="493">
        <v>0.0</v>
      </c>
      <c r="J342" s="493">
        <v>0.0</v>
      </c>
      <c r="K342" s="493">
        <v>15.0</v>
      </c>
      <c r="L342" s="493">
        <v>604660.0</v>
      </c>
      <c r="M342" s="493">
        <v>7.0E-4</v>
      </c>
      <c r="N342" s="6">
        <v>15.0</v>
      </c>
    </row>
    <row r="343">
      <c r="A343" s="491" t="s">
        <v>1884</v>
      </c>
      <c r="B343" s="491" t="s">
        <v>1857</v>
      </c>
      <c r="C343" s="491" t="s">
        <v>1875</v>
      </c>
      <c r="D343" s="491" t="s">
        <v>2018</v>
      </c>
      <c r="E343" s="492" t="s">
        <v>373</v>
      </c>
      <c r="F343" s="493">
        <v>21084.0</v>
      </c>
      <c r="G343" s="493">
        <v>1.0</v>
      </c>
      <c r="H343" s="493">
        <v>0.0</v>
      </c>
      <c r="I343" s="493">
        <v>0.0</v>
      </c>
      <c r="J343" s="493">
        <v>0.0</v>
      </c>
      <c r="K343" s="493">
        <v>10.0</v>
      </c>
      <c r="L343" s="493">
        <v>604660.0</v>
      </c>
      <c r="M343" s="493">
        <v>5.0E-4</v>
      </c>
      <c r="N343" s="6">
        <v>10.0</v>
      </c>
    </row>
    <row r="344">
      <c r="A344" s="491" t="s">
        <v>1884</v>
      </c>
      <c r="B344" s="491" t="s">
        <v>1857</v>
      </c>
      <c r="C344" s="491" t="s">
        <v>75</v>
      </c>
      <c r="D344" s="491" t="s">
        <v>2018</v>
      </c>
      <c r="E344" s="492" t="s">
        <v>367</v>
      </c>
      <c r="F344" s="493">
        <v>80665.0</v>
      </c>
      <c r="G344" s="493">
        <v>61397.0</v>
      </c>
      <c r="H344" s="493">
        <v>76.11</v>
      </c>
      <c r="I344" s="493">
        <v>47.94</v>
      </c>
      <c r="J344" s="493">
        <v>46.63</v>
      </c>
      <c r="K344" s="493">
        <v>6518810.0</v>
      </c>
      <c r="L344" s="493">
        <v>1.3597673E7</v>
      </c>
      <c r="M344" s="493">
        <v>80.8134</v>
      </c>
      <c r="N344" s="6">
        <v>106.1747</v>
      </c>
    </row>
    <row r="345">
      <c r="A345" s="491" t="s">
        <v>1884</v>
      </c>
      <c r="B345" s="491" t="s">
        <v>1857</v>
      </c>
      <c r="C345" s="491" t="s">
        <v>75</v>
      </c>
      <c r="D345" s="491" t="s">
        <v>2018</v>
      </c>
      <c r="E345" s="492" t="s">
        <v>49</v>
      </c>
      <c r="F345" s="493">
        <v>80665.0</v>
      </c>
      <c r="G345" s="493">
        <v>34242.0</v>
      </c>
      <c r="H345" s="493">
        <v>42.45</v>
      </c>
      <c r="I345" s="493">
        <v>31.51</v>
      </c>
      <c r="J345" s="493">
        <v>29.04</v>
      </c>
      <c r="K345" s="493">
        <v>4284260.0</v>
      </c>
      <c r="L345" s="493">
        <v>1.3597673E7</v>
      </c>
      <c r="M345" s="493">
        <v>53.1118</v>
      </c>
      <c r="N345" s="6">
        <v>125.1171</v>
      </c>
    </row>
    <row r="346">
      <c r="A346" s="491" t="s">
        <v>1884</v>
      </c>
      <c r="B346" s="491" t="s">
        <v>1857</v>
      </c>
      <c r="C346" s="491" t="s">
        <v>75</v>
      </c>
      <c r="D346" s="491" t="s">
        <v>2018</v>
      </c>
      <c r="E346" s="492" t="s">
        <v>372</v>
      </c>
      <c r="F346" s="493">
        <v>80665.0</v>
      </c>
      <c r="G346" s="493">
        <v>18119.0</v>
      </c>
      <c r="H346" s="493">
        <v>22.46</v>
      </c>
      <c r="I346" s="493">
        <v>9.93</v>
      </c>
      <c r="J346" s="493">
        <v>10.69</v>
      </c>
      <c r="K346" s="493">
        <v>1350635.0</v>
      </c>
      <c r="L346" s="493">
        <v>1.3597673E7</v>
      </c>
      <c r="M346" s="493">
        <v>16.7438</v>
      </c>
      <c r="N346" s="6">
        <v>74.5425</v>
      </c>
    </row>
    <row r="347">
      <c r="A347" s="491" t="s">
        <v>1884</v>
      </c>
      <c r="B347" s="491" t="s">
        <v>1857</v>
      </c>
      <c r="C347" s="491" t="s">
        <v>75</v>
      </c>
      <c r="D347" s="491" t="s">
        <v>2018</v>
      </c>
      <c r="E347" s="492" t="s">
        <v>44</v>
      </c>
      <c r="F347" s="493">
        <v>80665.0</v>
      </c>
      <c r="G347" s="493">
        <v>10075.0</v>
      </c>
      <c r="H347" s="493">
        <v>12.49</v>
      </c>
      <c r="I347" s="493">
        <v>5.06</v>
      </c>
      <c r="J347" s="493">
        <v>5.75</v>
      </c>
      <c r="K347" s="493">
        <v>688260.0</v>
      </c>
      <c r="L347" s="493">
        <v>1.3597673E7</v>
      </c>
      <c r="M347" s="493">
        <v>8.5323</v>
      </c>
      <c r="N347" s="6">
        <v>68.3136</v>
      </c>
    </row>
    <row r="348">
      <c r="A348" s="491" t="s">
        <v>1884</v>
      </c>
      <c r="B348" s="491" t="s">
        <v>1857</v>
      </c>
      <c r="C348" s="491" t="s">
        <v>75</v>
      </c>
      <c r="D348" s="491" t="s">
        <v>2018</v>
      </c>
      <c r="E348" s="492" t="s">
        <v>365</v>
      </c>
      <c r="F348" s="493">
        <v>80665.0</v>
      </c>
      <c r="G348" s="493">
        <v>14185.0</v>
      </c>
      <c r="H348" s="493">
        <v>17.59</v>
      </c>
      <c r="I348" s="493">
        <v>3.09</v>
      </c>
      <c r="J348" s="493">
        <v>4.07</v>
      </c>
      <c r="K348" s="493">
        <v>420385.0</v>
      </c>
      <c r="L348" s="493">
        <v>1.3597673E7</v>
      </c>
      <c r="M348" s="493">
        <v>5.2115</v>
      </c>
      <c r="N348" s="6">
        <v>29.6359</v>
      </c>
    </row>
    <row r="349">
      <c r="A349" s="491" t="s">
        <v>1884</v>
      </c>
      <c r="B349" s="491" t="s">
        <v>1857</v>
      </c>
      <c r="C349" s="491" t="s">
        <v>75</v>
      </c>
      <c r="D349" s="491" t="s">
        <v>2018</v>
      </c>
      <c r="E349" s="492" t="s">
        <v>370</v>
      </c>
      <c r="F349" s="493">
        <v>80665.0</v>
      </c>
      <c r="G349" s="493">
        <v>1762.0</v>
      </c>
      <c r="H349" s="493">
        <v>2.18</v>
      </c>
      <c r="I349" s="493">
        <v>0.69</v>
      </c>
      <c r="J349" s="493">
        <v>0.86</v>
      </c>
      <c r="K349" s="493">
        <v>93253.0</v>
      </c>
      <c r="L349" s="493">
        <v>1.3597673E7</v>
      </c>
      <c r="M349" s="493">
        <v>1.1561</v>
      </c>
      <c r="N349" s="6">
        <v>52.9245</v>
      </c>
    </row>
    <row r="350">
      <c r="A350" s="491" t="s">
        <v>1884</v>
      </c>
      <c r="B350" s="491" t="s">
        <v>1857</v>
      </c>
      <c r="C350" s="491" t="s">
        <v>75</v>
      </c>
      <c r="D350" s="491" t="s">
        <v>2018</v>
      </c>
      <c r="E350" s="492" t="s">
        <v>369</v>
      </c>
      <c r="F350" s="493">
        <v>80665.0</v>
      </c>
      <c r="G350" s="493">
        <v>1439.0</v>
      </c>
      <c r="H350" s="493">
        <v>1.78</v>
      </c>
      <c r="I350" s="493">
        <v>0.49</v>
      </c>
      <c r="J350" s="493">
        <v>0.83</v>
      </c>
      <c r="K350" s="493">
        <v>67050.0</v>
      </c>
      <c r="L350" s="493">
        <v>1.3597673E7</v>
      </c>
      <c r="M350" s="493">
        <v>0.8312</v>
      </c>
      <c r="N350" s="6">
        <v>46.5949</v>
      </c>
    </row>
    <row r="351">
      <c r="A351" s="491" t="s">
        <v>1884</v>
      </c>
      <c r="B351" s="491" t="s">
        <v>1857</v>
      </c>
      <c r="C351" s="491" t="s">
        <v>75</v>
      </c>
      <c r="D351" s="491" t="s">
        <v>2018</v>
      </c>
      <c r="E351" s="492" t="s">
        <v>43</v>
      </c>
      <c r="F351" s="493">
        <v>80665.0</v>
      </c>
      <c r="G351" s="493">
        <v>1106.0</v>
      </c>
      <c r="H351" s="493">
        <v>1.37</v>
      </c>
      <c r="I351" s="493">
        <v>0.31</v>
      </c>
      <c r="J351" s="493">
        <v>0.34</v>
      </c>
      <c r="K351" s="493">
        <v>41710.0</v>
      </c>
      <c r="L351" s="493">
        <v>1.3597673E7</v>
      </c>
      <c r="M351" s="493">
        <v>0.5171</v>
      </c>
      <c r="N351" s="6">
        <v>37.7125</v>
      </c>
    </row>
    <row r="352">
      <c r="A352" s="491" t="s">
        <v>1884</v>
      </c>
      <c r="B352" s="491" t="s">
        <v>1857</v>
      </c>
      <c r="C352" s="491" t="s">
        <v>75</v>
      </c>
      <c r="D352" s="491" t="s">
        <v>2018</v>
      </c>
      <c r="E352" s="492" t="s">
        <v>371</v>
      </c>
      <c r="F352" s="493">
        <v>80665.0</v>
      </c>
      <c r="G352" s="493">
        <v>1188.0</v>
      </c>
      <c r="H352" s="493">
        <v>1.47</v>
      </c>
      <c r="I352" s="493">
        <v>0.25</v>
      </c>
      <c r="J352" s="493">
        <v>0.52</v>
      </c>
      <c r="K352" s="493">
        <v>33420.0</v>
      </c>
      <c r="L352" s="493">
        <v>1.3597673E7</v>
      </c>
      <c r="M352" s="493">
        <v>0.4143</v>
      </c>
      <c r="N352" s="6">
        <v>28.1313</v>
      </c>
    </row>
    <row r="353">
      <c r="A353" s="491" t="s">
        <v>1884</v>
      </c>
      <c r="B353" s="491" t="s">
        <v>1857</v>
      </c>
      <c r="C353" s="491" t="s">
        <v>75</v>
      </c>
      <c r="D353" s="491" t="s">
        <v>2018</v>
      </c>
      <c r="E353" s="492" t="s">
        <v>35</v>
      </c>
      <c r="F353" s="493">
        <v>80665.0</v>
      </c>
      <c r="G353" s="493">
        <v>781.0</v>
      </c>
      <c r="H353" s="493">
        <v>0.97</v>
      </c>
      <c r="I353" s="493">
        <v>0.23</v>
      </c>
      <c r="J353" s="493">
        <v>0.34</v>
      </c>
      <c r="K353" s="493">
        <v>31860.0</v>
      </c>
      <c r="L353" s="493">
        <v>1.3597673E7</v>
      </c>
      <c r="M353" s="493">
        <v>0.395</v>
      </c>
      <c r="N353" s="6">
        <v>40.7939</v>
      </c>
    </row>
    <row r="354">
      <c r="A354" s="491" t="s">
        <v>1884</v>
      </c>
      <c r="B354" s="491" t="s">
        <v>1857</v>
      </c>
      <c r="C354" s="491" t="s">
        <v>75</v>
      </c>
      <c r="D354" s="491" t="s">
        <v>2018</v>
      </c>
      <c r="E354" s="492" t="s">
        <v>368</v>
      </c>
      <c r="F354" s="493">
        <v>80665.0</v>
      </c>
      <c r="G354" s="493">
        <v>926.0</v>
      </c>
      <c r="H354" s="493">
        <v>1.15</v>
      </c>
      <c r="I354" s="493">
        <v>0.17</v>
      </c>
      <c r="J354" s="493">
        <v>0.38</v>
      </c>
      <c r="K354" s="493">
        <v>23125.0</v>
      </c>
      <c r="L354" s="493">
        <v>1.3597673E7</v>
      </c>
      <c r="M354" s="493">
        <v>0.2867</v>
      </c>
      <c r="N354" s="6">
        <v>24.973</v>
      </c>
    </row>
    <row r="355">
      <c r="A355" s="491" t="s">
        <v>1884</v>
      </c>
      <c r="B355" s="491" t="s">
        <v>1857</v>
      </c>
      <c r="C355" s="491" t="s">
        <v>75</v>
      </c>
      <c r="D355" s="491" t="s">
        <v>2018</v>
      </c>
      <c r="E355" s="492" t="s">
        <v>189</v>
      </c>
      <c r="F355" s="493">
        <v>80665.0</v>
      </c>
      <c r="G355" s="493">
        <v>411.0</v>
      </c>
      <c r="H355" s="493">
        <v>0.51</v>
      </c>
      <c r="I355" s="493">
        <v>0.11</v>
      </c>
      <c r="J355" s="493">
        <v>0.2</v>
      </c>
      <c r="K355" s="493">
        <v>14790.0</v>
      </c>
      <c r="L355" s="493">
        <v>1.3597673E7</v>
      </c>
      <c r="M355" s="493">
        <v>0.1834</v>
      </c>
      <c r="N355" s="6">
        <v>35.9854</v>
      </c>
    </row>
    <row r="356">
      <c r="A356" s="491" t="s">
        <v>1884</v>
      </c>
      <c r="B356" s="491" t="s">
        <v>1857</v>
      </c>
      <c r="C356" s="491" t="s">
        <v>75</v>
      </c>
      <c r="D356" s="491" t="s">
        <v>2018</v>
      </c>
      <c r="E356" s="492" t="s">
        <v>50</v>
      </c>
      <c r="F356" s="493">
        <v>80665.0</v>
      </c>
      <c r="G356" s="493">
        <v>257.0</v>
      </c>
      <c r="H356" s="493">
        <v>0.32</v>
      </c>
      <c r="I356" s="493">
        <v>0.1</v>
      </c>
      <c r="J356" s="493">
        <v>0.19</v>
      </c>
      <c r="K356" s="493">
        <v>13515.0</v>
      </c>
      <c r="L356" s="493">
        <v>1.3597673E7</v>
      </c>
      <c r="M356" s="493">
        <v>0.1675</v>
      </c>
      <c r="N356" s="6">
        <v>52.5875</v>
      </c>
    </row>
    <row r="357">
      <c r="A357" s="491" t="s">
        <v>1884</v>
      </c>
      <c r="B357" s="491" t="s">
        <v>1857</v>
      </c>
      <c r="C357" s="491" t="s">
        <v>75</v>
      </c>
      <c r="D357" s="491" t="s">
        <v>2018</v>
      </c>
      <c r="E357" s="492" t="s">
        <v>366</v>
      </c>
      <c r="F357" s="493">
        <v>80665.0</v>
      </c>
      <c r="G357" s="493">
        <v>214.0</v>
      </c>
      <c r="H357" s="493">
        <v>0.27</v>
      </c>
      <c r="I357" s="493">
        <v>0.07</v>
      </c>
      <c r="J357" s="493">
        <v>0.1</v>
      </c>
      <c r="K357" s="493">
        <v>10170.0</v>
      </c>
      <c r="L357" s="493">
        <v>1.3597673E7</v>
      </c>
      <c r="M357" s="493">
        <v>0.1261</v>
      </c>
      <c r="N357" s="6">
        <v>47.5234</v>
      </c>
    </row>
    <row r="358">
      <c r="A358" s="491" t="s">
        <v>1884</v>
      </c>
      <c r="B358" s="491" t="s">
        <v>1857</v>
      </c>
      <c r="C358" s="491" t="s">
        <v>75</v>
      </c>
      <c r="D358" s="491" t="s">
        <v>2018</v>
      </c>
      <c r="E358" s="492" t="s">
        <v>32</v>
      </c>
      <c r="F358" s="493">
        <v>80665.0</v>
      </c>
      <c r="G358" s="493">
        <v>165.0</v>
      </c>
      <c r="H358" s="493">
        <v>0.2</v>
      </c>
      <c r="I358" s="493">
        <v>0.04</v>
      </c>
      <c r="J358" s="493">
        <v>0.05</v>
      </c>
      <c r="K358" s="493">
        <v>5940.0</v>
      </c>
      <c r="L358" s="493">
        <v>1.3597673E7</v>
      </c>
      <c r="M358" s="493">
        <v>0.0736</v>
      </c>
      <c r="N358" s="6">
        <v>36.0</v>
      </c>
    </row>
    <row r="359">
      <c r="A359" s="491" t="s">
        <v>1884</v>
      </c>
      <c r="B359" s="491" t="s">
        <v>1857</v>
      </c>
      <c r="C359" s="491" t="s">
        <v>75</v>
      </c>
      <c r="D359" s="491" t="s">
        <v>2018</v>
      </c>
      <c r="E359" s="492" t="s">
        <v>373</v>
      </c>
      <c r="F359" s="493">
        <v>80665.0</v>
      </c>
      <c r="G359" s="493">
        <v>1.0</v>
      </c>
      <c r="H359" s="493">
        <v>0.0</v>
      </c>
      <c r="I359" s="493">
        <v>0.0</v>
      </c>
      <c r="J359" s="493">
        <v>0.0</v>
      </c>
      <c r="K359" s="493">
        <v>60.0</v>
      </c>
      <c r="L359" s="493">
        <v>1.3597673E7</v>
      </c>
      <c r="M359" s="493">
        <v>7.0E-4</v>
      </c>
      <c r="N359" s="6">
        <v>60.0</v>
      </c>
    </row>
    <row r="360">
      <c r="A360" s="491" t="s">
        <v>1884</v>
      </c>
      <c r="B360" s="491" t="s">
        <v>1857</v>
      </c>
      <c r="C360" s="491" t="s">
        <v>75</v>
      </c>
      <c r="D360" s="491" t="s">
        <v>2018</v>
      </c>
      <c r="E360" s="492" t="s">
        <v>42</v>
      </c>
      <c r="F360" s="493">
        <v>80665.0</v>
      </c>
      <c r="G360" s="493">
        <v>1.0</v>
      </c>
      <c r="H360" s="493">
        <v>0.0</v>
      </c>
      <c r="I360" s="493">
        <v>0.0</v>
      </c>
      <c r="J360" s="493">
        <v>0.0</v>
      </c>
      <c r="K360" s="493">
        <v>70.0</v>
      </c>
      <c r="L360" s="493">
        <v>1.3597673E7</v>
      </c>
      <c r="M360" s="493">
        <v>9.0E-4</v>
      </c>
      <c r="N360" s="6">
        <v>70.0</v>
      </c>
    </row>
    <row r="361">
      <c r="A361" s="491" t="s">
        <v>1884</v>
      </c>
      <c r="B361" s="491" t="s">
        <v>1857</v>
      </c>
      <c r="C361" s="491" t="s">
        <v>75</v>
      </c>
      <c r="D361" s="491" t="s">
        <v>2018</v>
      </c>
      <c r="E361" s="492" t="s">
        <v>134</v>
      </c>
      <c r="F361" s="493">
        <v>80665.0</v>
      </c>
      <c r="G361" s="493">
        <v>11.0</v>
      </c>
      <c r="H361" s="493">
        <v>0.01</v>
      </c>
      <c r="I361" s="493">
        <v>0.0</v>
      </c>
      <c r="J361" s="493">
        <v>0.0</v>
      </c>
      <c r="K361" s="493">
        <v>360.0</v>
      </c>
      <c r="L361" s="493">
        <v>1.3597673E7</v>
      </c>
      <c r="M361" s="493">
        <v>0.0045</v>
      </c>
      <c r="N361" s="6">
        <v>32.7273</v>
      </c>
    </row>
    <row r="362">
      <c r="A362" s="491" t="s">
        <v>2019</v>
      </c>
      <c r="B362" s="491" t="s">
        <v>163</v>
      </c>
      <c r="C362" s="491" t="s">
        <v>71</v>
      </c>
      <c r="D362" s="491" t="s">
        <v>565</v>
      </c>
      <c r="E362" s="492" t="s">
        <v>370</v>
      </c>
      <c r="F362" s="493">
        <v>140881.0</v>
      </c>
      <c r="G362" s="493">
        <v>102421.0</v>
      </c>
      <c r="H362" s="493">
        <v>72.7</v>
      </c>
      <c r="I362" s="493">
        <v>39.38</v>
      </c>
      <c r="J362" s="493">
        <v>46.32</v>
      </c>
      <c r="K362" s="493">
        <v>199419.0</v>
      </c>
      <c r="L362" s="493">
        <v>506414.0</v>
      </c>
      <c r="M362" s="493">
        <v>1.4155</v>
      </c>
      <c r="N362" s="6">
        <v>1.9471</v>
      </c>
    </row>
    <row r="363">
      <c r="A363" s="491" t="s">
        <v>2019</v>
      </c>
      <c r="B363" s="491" t="s">
        <v>163</v>
      </c>
      <c r="C363" s="491" t="s">
        <v>71</v>
      </c>
      <c r="D363" s="491" t="s">
        <v>565</v>
      </c>
      <c r="E363" s="492" t="s">
        <v>371</v>
      </c>
      <c r="F363" s="493">
        <v>140881.0</v>
      </c>
      <c r="G363" s="493">
        <v>76765.0</v>
      </c>
      <c r="H363" s="493">
        <v>54.49</v>
      </c>
      <c r="I363" s="493">
        <v>26.93</v>
      </c>
      <c r="J363" s="493">
        <v>25.52</v>
      </c>
      <c r="K363" s="493">
        <v>136393.0</v>
      </c>
      <c r="L363" s="493">
        <v>506414.0</v>
      </c>
      <c r="M363" s="493">
        <v>0.9681</v>
      </c>
      <c r="N363" s="6">
        <v>1.7768</v>
      </c>
    </row>
    <row r="364">
      <c r="A364" s="491" t="s">
        <v>2019</v>
      </c>
      <c r="B364" s="491" t="s">
        <v>163</v>
      </c>
      <c r="C364" s="491" t="s">
        <v>71</v>
      </c>
      <c r="D364" s="491" t="s">
        <v>565</v>
      </c>
      <c r="E364" s="492" t="s">
        <v>42</v>
      </c>
      <c r="F364" s="493">
        <v>140881.0</v>
      </c>
      <c r="G364" s="493">
        <v>33643.0</v>
      </c>
      <c r="H364" s="493">
        <v>23.88</v>
      </c>
      <c r="I364" s="493">
        <v>12.6</v>
      </c>
      <c r="J364" s="493">
        <v>10.76</v>
      </c>
      <c r="K364" s="493">
        <v>63795.0</v>
      </c>
      <c r="L364" s="493">
        <v>506414.0</v>
      </c>
      <c r="M364" s="493">
        <v>0.4528</v>
      </c>
      <c r="N364" s="6">
        <v>1.8962</v>
      </c>
    </row>
    <row r="365">
      <c r="A365" s="491" t="s">
        <v>2019</v>
      </c>
      <c r="B365" s="491" t="s">
        <v>163</v>
      </c>
      <c r="C365" s="491" t="s">
        <v>71</v>
      </c>
      <c r="D365" s="491" t="s">
        <v>565</v>
      </c>
      <c r="E365" s="492" t="s">
        <v>372</v>
      </c>
      <c r="F365" s="493">
        <v>140881.0</v>
      </c>
      <c r="G365" s="493">
        <v>26897.0</v>
      </c>
      <c r="H365" s="493">
        <v>19.09</v>
      </c>
      <c r="I365" s="493">
        <v>7.32</v>
      </c>
      <c r="J365" s="493">
        <v>5.32</v>
      </c>
      <c r="K365" s="493">
        <v>37078.0</v>
      </c>
      <c r="L365" s="493">
        <v>506414.0</v>
      </c>
      <c r="M365" s="493">
        <v>0.2632</v>
      </c>
      <c r="N365" s="6">
        <v>1.3785</v>
      </c>
    </row>
    <row r="366">
      <c r="A366" s="491" t="s">
        <v>2019</v>
      </c>
      <c r="B366" s="491" t="s">
        <v>163</v>
      </c>
      <c r="C366" s="491" t="s">
        <v>71</v>
      </c>
      <c r="D366" s="491" t="s">
        <v>565</v>
      </c>
      <c r="E366" s="492" t="s">
        <v>49</v>
      </c>
      <c r="F366" s="493">
        <v>140881.0</v>
      </c>
      <c r="G366" s="493">
        <v>23780.0</v>
      </c>
      <c r="H366" s="493">
        <v>16.88</v>
      </c>
      <c r="I366" s="493">
        <v>6.52</v>
      </c>
      <c r="J366" s="493">
        <v>5.38</v>
      </c>
      <c r="K366" s="493">
        <v>33022.0</v>
      </c>
      <c r="L366" s="493">
        <v>506414.0</v>
      </c>
      <c r="M366" s="493">
        <v>0.2344</v>
      </c>
      <c r="N366" s="6">
        <v>1.3886</v>
      </c>
    </row>
    <row r="367">
      <c r="A367" s="491" t="s">
        <v>2019</v>
      </c>
      <c r="B367" s="491" t="s">
        <v>163</v>
      </c>
      <c r="C367" s="491" t="s">
        <v>71</v>
      </c>
      <c r="D367" s="491" t="s">
        <v>565</v>
      </c>
      <c r="E367" s="492" t="s">
        <v>366</v>
      </c>
      <c r="F367" s="493">
        <v>140881.0</v>
      </c>
      <c r="G367" s="493">
        <v>12021.0</v>
      </c>
      <c r="H367" s="493">
        <v>8.53</v>
      </c>
      <c r="I367" s="493">
        <v>2.45</v>
      </c>
      <c r="J367" s="493">
        <v>2.59</v>
      </c>
      <c r="K367" s="493">
        <v>12410.0</v>
      </c>
      <c r="L367" s="493">
        <v>506414.0</v>
      </c>
      <c r="M367" s="493">
        <v>0.0881</v>
      </c>
      <c r="N367" s="6">
        <v>1.0324</v>
      </c>
    </row>
    <row r="368">
      <c r="A368" s="491" t="s">
        <v>2019</v>
      </c>
      <c r="B368" s="491" t="s">
        <v>163</v>
      </c>
      <c r="C368" s="491" t="s">
        <v>71</v>
      </c>
      <c r="D368" s="491" t="s">
        <v>565</v>
      </c>
      <c r="E368" s="492" t="s">
        <v>50</v>
      </c>
      <c r="F368" s="493">
        <v>140881.0</v>
      </c>
      <c r="G368" s="493">
        <v>9767.0</v>
      </c>
      <c r="H368" s="493">
        <v>6.93</v>
      </c>
      <c r="I368" s="493">
        <v>2.19</v>
      </c>
      <c r="J368" s="493">
        <v>1.58</v>
      </c>
      <c r="K368" s="493">
        <v>11090.0</v>
      </c>
      <c r="L368" s="493">
        <v>506414.0</v>
      </c>
      <c r="M368" s="493">
        <v>0.0787</v>
      </c>
      <c r="N368" s="6">
        <v>1.1355</v>
      </c>
    </row>
    <row r="369">
      <c r="A369" s="491" t="s">
        <v>2019</v>
      </c>
      <c r="B369" s="491" t="s">
        <v>163</v>
      </c>
      <c r="C369" s="491" t="s">
        <v>71</v>
      </c>
      <c r="D369" s="491" t="s">
        <v>565</v>
      </c>
      <c r="E369" s="492" t="s">
        <v>134</v>
      </c>
      <c r="F369" s="493">
        <v>140881.0</v>
      </c>
      <c r="G369" s="493">
        <v>5725.0</v>
      </c>
      <c r="H369" s="493">
        <v>4.06</v>
      </c>
      <c r="I369" s="493">
        <v>1.33</v>
      </c>
      <c r="J369" s="493">
        <v>1.26</v>
      </c>
      <c r="K369" s="493">
        <v>6726.0</v>
      </c>
      <c r="L369" s="493">
        <v>506414.0</v>
      </c>
      <c r="M369" s="493">
        <v>0.0477</v>
      </c>
      <c r="N369" s="6">
        <v>1.1748</v>
      </c>
    </row>
    <row r="370">
      <c r="A370" s="491" t="s">
        <v>2019</v>
      </c>
      <c r="B370" s="491" t="s">
        <v>163</v>
      </c>
      <c r="C370" s="491" t="s">
        <v>71</v>
      </c>
      <c r="D370" s="491" t="s">
        <v>565</v>
      </c>
      <c r="E370" s="492" t="s">
        <v>44</v>
      </c>
      <c r="F370" s="493">
        <v>140881.0</v>
      </c>
      <c r="G370" s="493">
        <v>5073.0</v>
      </c>
      <c r="H370" s="493">
        <v>3.6</v>
      </c>
      <c r="I370" s="493">
        <v>1.14</v>
      </c>
      <c r="J370" s="493">
        <v>1.12</v>
      </c>
      <c r="K370" s="493">
        <v>5791.0</v>
      </c>
      <c r="L370" s="493">
        <v>506414.0</v>
      </c>
      <c r="M370" s="493">
        <v>0.0411</v>
      </c>
      <c r="N370" s="6">
        <v>1.1415</v>
      </c>
    </row>
    <row r="371">
      <c r="A371" s="491" t="s">
        <v>2019</v>
      </c>
      <c r="B371" s="491" t="s">
        <v>163</v>
      </c>
      <c r="C371" s="491" t="s">
        <v>71</v>
      </c>
      <c r="D371" s="491" t="s">
        <v>565</v>
      </c>
      <c r="E371" s="492" t="s">
        <v>43</v>
      </c>
      <c r="F371" s="493">
        <v>140881.0</v>
      </c>
      <c r="G371" s="493">
        <v>623.0</v>
      </c>
      <c r="H371" s="493">
        <v>0.44</v>
      </c>
      <c r="I371" s="493">
        <v>0.13</v>
      </c>
      <c r="J371" s="493">
        <v>0.12</v>
      </c>
      <c r="K371" s="493">
        <v>644.0</v>
      </c>
      <c r="L371" s="493">
        <v>506414.0</v>
      </c>
      <c r="M371" s="493">
        <v>0.0046</v>
      </c>
      <c r="N371" s="6">
        <v>1.0337</v>
      </c>
    </row>
    <row r="372">
      <c r="A372" s="491" t="s">
        <v>2019</v>
      </c>
      <c r="B372" s="491" t="s">
        <v>163</v>
      </c>
      <c r="C372" s="491" t="s">
        <v>71</v>
      </c>
      <c r="D372" s="491" t="s">
        <v>565</v>
      </c>
      <c r="E372" s="492" t="s">
        <v>35</v>
      </c>
      <c r="F372" s="493">
        <v>140881.0</v>
      </c>
      <c r="G372" s="493">
        <v>2.0</v>
      </c>
      <c r="H372" s="493">
        <v>0.0</v>
      </c>
      <c r="I372" s="493">
        <v>0.0</v>
      </c>
      <c r="J372" s="493">
        <v>0.0</v>
      </c>
      <c r="K372" s="493">
        <v>2.0</v>
      </c>
      <c r="L372" s="493">
        <v>506414.0</v>
      </c>
      <c r="M372" s="493">
        <v>0.0</v>
      </c>
      <c r="N372" s="6">
        <v>1.0</v>
      </c>
    </row>
    <row r="373">
      <c r="A373" s="491" t="s">
        <v>2019</v>
      </c>
      <c r="B373" s="491" t="s">
        <v>163</v>
      </c>
      <c r="C373" s="491" t="s">
        <v>71</v>
      </c>
      <c r="D373" s="491" t="s">
        <v>565</v>
      </c>
      <c r="E373" s="492" t="s">
        <v>368</v>
      </c>
      <c r="F373" s="493">
        <v>140881.0</v>
      </c>
      <c r="G373" s="493">
        <v>7.0</v>
      </c>
      <c r="H373" s="493">
        <v>0.0</v>
      </c>
      <c r="I373" s="493">
        <v>0.0</v>
      </c>
      <c r="J373" s="493">
        <v>0.0</v>
      </c>
      <c r="K373" s="493">
        <v>15.0</v>
      </c>
      <c r="L373" s="493">
        <v>506414.0</v>
      </c>
      <c r="M373" s="493">
        <v>1.0E-4</v>
      </c>
      <c r="N373" s="6">
        <v>2.1429</v>
      </c>
    </row>
    <row r="374">
      <c r="A374" s="491" t="s">
        <v>2019</v>
      </c>
      <c r="B374" s="491" t="s">
        <v>163</v>
      </c>
      <c r="C374" s="491" t="s">
        <v>71</v>
      </c>
      <c r="D374" s="491" t="s">
        <v>565</v>
      </c>
      <c r="E374" s="492" t="s">
        <v>32</v>
      </c>
      <c r="F374" s="493">
        <v>140881.0</v>
      </c>
      <c r="G374" s="493">
        <v>12.0</v>
      </c>
      <c r="H374" s="493">
        <v>0.01</v>
      </c>
      <c r="I374" s="493">
        <v>0.0</v>
      </c>
      <c r="J374" s="493">
        <v>0.01</v>
      </c>
      <c r="K374" s="493">
        <v>15.0</v>
      </c>
      <c r="L374" s="493">
        <v>506414.0</v>
      </c>
      <c r="M374" s="493">
        <v>1.0E-4</v>
      </c>
      <c r="N374" s="6">
        <v>1.25</v>
      </c>
    </row>
    <row r="375">
      <c r="A375" s="491" t="s">
        <v>2019</v>
      </c>
      <c r="B375" s="491" t="s">
        <v>163</v>
      </c>
      <c r="C375" s="491" t="s">
        <v>71</v>
      </c>
      <c r="D375" s="491" t="s">
        <v>565</v>
      </c>
      <c r="E375" s="492" t="s">
        <v>369</v>
      </c>
      <c r="F375" s="493">
        <v>140881.0</v>
      </c>
      <c r="G375" s="493">
        <v>4.0</v>
      </c>
      <c r="H375" s="493">
        <v>0.0</v>
      </c>
      <c r="I375" s="493">
        <v>0.0</v>
      </c>
      <c r="J375" s="493">
        <v>0.0</v>
      </c>
      <c r="K375" s="493">
        <v>4.0</v>
      </c>
      <c r="L375" s="493">
        <v>506414.0</v>
      </c>
      <c r="M375" s="493">
        <v>0.0</v>
      </c>
      <c r="N375" s="6">
        <v>1.0</v>
      </c>
    </row>
    <row r="376">
      <c r="A376" s="491" t="s">
        <v>2019</v>
      </c>
      <c r="B376" s="491" t="s">
        <v>163</v>
      </c>
      <c r="C376" s="491" t="s">
        <v>71</v>
      </c>
      <c r="D376" s="491" t="s">
        <v>565</v>
      </c>
      <c r="E376" s="492" t="s">
        <v>189</v>
      </c>
      <c r="F376" s="493">
        <v>140881.0</v>
      </c>
      <c r="G376" s="493">
        <v>1.0</v>
      </c>
      <c r="H376" s="493">
        <v>0.0</v>
      </c>
      <c r="I376" s="493">
        <v>0.0</v>
      </c>
      <c r="J376" s="493">
        <v>0.0</v>
      </c>
      <c r="K376" s="493">
        <v>1.0</v>
      </c>
      <c r="L376" s="493">
        <v>506414.0</v>
      </c>
      <c r="M376" s="493">
        <v>0.0</v>
      </c>
      <c r="N376" s="6">
        <v>1.0</v>
      </c>
    </row>
    <row r="377">
      <c r="A377" s="491" t="s">
        <v>2019</v>
      </c>
      <c r="B377" s="491" t="s">
        <v>163</v>
      </c>
      <c r="C377" s="491" t="s">
        <v>71</v>
      </c>
      <c r="D377" s="491" t="s">
        <v>565</v>
      </c>
      <c r="E377" s="492" t="s">
        <v>373</v>
      </c>
      <c r="F377" s="493">
        <v>140881.0</v>
      </c>
      <c r="G377" s="493">
        <v>2.0</v>
      </c>
      <c r="H377" s="493">
        <v>0.0</v>
      </c>
      <c r="I377" s="493">
        <v>0.0</v>
      </c>
      <c r="J377" s="493">
        <v>0.0</v>
      </c>
      <c r="K377" s="493">
        <v>4.0</v>
      </c>
      <c r="L377" s="493">
        <v>506414.0</v>
      </c>
      <c r="M377" s="493">
        <v>0.0</v>
      </c>
      <c r="N377" s="6">
        <v>2.0</v>
      </c>
    </row>
    <row r="378">
      <c r="A378" s="491" t="s">
        <v>2019</v>
      </c>
      <c r="B378" s="491" t="s">
        <v>163</v>
      </c>
      <c r="C378" s="491" t="s">
        <v>71</v>
      </c>
      <c r="D378" s="491" t="s">
        <v>565</v>
      </c>
      <c r="E378" s="492" t="s">
        <v>312</v>
      </c>
      <c r="F378" s="493">
        <v>140881.0</v>
      </c>
      <c r="G378" s="493">
        <v>3.0</v>
      </c>
      <c r="H378" s="493">
        <v>0.0</v>
      </c>
      <c r="I378" s="493">
        <v>0.0</v>
      </c>
      <c r="J378" s="493">
        <v>0.0</v>
      </c>
      <c r="K378" s="493">
        <v>5.0</v>
      </c>
      <c r="L378" s="493">
        <v>506414.0</v>
      </c>
      <c r="M378" s="493">
        <v>0.0</v>
      </c>
      <c r="N378" s="6">
        <v>1.6667</v>
      </c>
    </row>
    <row r="379">
      <c r="A379" s="491" t="s">
        <v>2019</v>
      </c>
      <c r="B379" s="491" t="s">
        <v>163</v>
      </c>
      <c r="C379" s="491" t="s">
        <v>70</v>
      </c>
      <c r="D379" s="491" t="s">
        <v>565</v>
      </c>
      <c r="E379" s="492" t="s">
        <v>372</v>
      </c>
      <c r="F379" s="493">
        <v>167112.0</v>
      </c>
      <c r="G379" s="493">
        <v>111600.0</v>
      </c>
      <c r="H379" s="493">
        <v>66.78</v>
      </c>
      <c r="I379" s="493">
        <v>25.97</v>
      </c>
      <c r="J379" s="493">
        <v>28.01</v>
      </c>
      <c r="K379" s="493">
        <v>270980.0</v>
      </c>
      <c r="L379" s="493">
        <v>1043351.0</v>
      </c>
      <c r="M379" s="493">
        <v>1.6215</v>
      </c>
      <c r="N379" s="6">
        <v>2.4281</v>
      </c>
    </row>
    <row r="380">
      <c r="A380" s="491" t="s">
        <v>2019</v>
      </c>
      <c r="B380" s="491" t="s">
        <v>163</v>
      </c>
      <c r="C380" s="491" t="s">
        <v>70</v>
      </c>
      <c r="D380" s="491" t="s">
        <v>565</v>
      </c>
      <c r="E380" s="492" t="s">
        <v>371</v>
      </c>
      <c r="F380" s="493">
        <v>167112.0</v>
      </c>
      <c r="G380" s="493">
        <v>102851.0</v>
      </c>
      <c r="H380" s="493">
        <v>61.55</v>
      </c>
      <c r="I380" s="493">
        <v>23.59</v>
      </c>
      <c r="J380" s="493">
        <v>21.68</v>
      </c>
      <c r="K380" s="493">
        <v>246102.0</v>
      </c>
      <c r="L380" s="493">
        <v>1043351.0</v>
      </c>
      <c r="M380" s="493">
        <v>1.4727</v>
      </c>
      <c r="N380" s="6">
        <v>2.3928</v>
      </c>
    </row>
    <row r="381">
      <c r="A381" s="491" t="s">
        <v>2019</v>
      </c>
      <c r="B381" s="491" t="s">
        <v>163</v>
      </c>
      <c r="C381" s="491" t="s">
        <v>70</v>
      </c>
      <c r="D381" s="491" t="s">
        <v>565</v>
      </c>
      <c r="E381" s="492" t="s">
        <v>370</v>
      </c>
      <c r="F381" s="493">
        <v>167112.0</v>
      </c>
      <c r="G381" s="493">
        <v>102847.0</v>
      </c>
      <c r="H381" s="493">
        <v>61.54</v>
      </c>
      <c r="I381" s="493">
        <v>19.18</v>
      </c>
      <c r="J381" s="493">
        <v>23.43</v>
      </c>
      <c r="K381" s="493">
        <v>200069.0</v>
      </c>
      <c r="L381" s="493">
        <v>1043351.0</v>
      </c>
      <c r="M381" s="493">
        <v>1.1972</v>
      </c>
      <c r="N381" s="6">
        <v>1.9453</v>
      </c>
    </row>
    <row r="382">
      <c r="A382" s="491" t="s">
        <v>2019</v>
      </c>
      <c r="B382" s="491" t="s">
        <v>163</v>
      </c>
      <c r="C382" s="491" t="s">
        <v>70</v>
      </c>
      <c r="D382" s="491" t="s">
        <v>565</v>
      </c>
      <c r="E382" s="492" t="s">
        <v>369</v>
      </c>
      <c r="F382" s="493">
        <v>167112.0</v>
      </c>
      <c r="G382" s="493">
        <v>69927.0</v>
      </c>
      <c r="H382" s="493">
        <v>41.84</v>
      </c>
      <c r="I382" s="493">
        <v>10.15</v>
      </c>
      <c r="J382" s="493">
        <v>9.58</v>
      </c>
      <c r="K382" s="493">
        <v>105859.0</v>
      </c>
      <c r="L382" s="493">
        <v>1043351.0</v>
      </c>
      <c r="M382" s="493">
        <v>0.6335</v>
      </c>
      <c r="N382" s="6">
        <v>1.5139</v>
      </c>
    </row>
    <row r="383">
      <c r="A383" s="491" t="s">
        <v>2019</v>
      </c>
      <c r="B383" s="491" t="s">
        <v>163</v>
      </c>
      <c r="C383" s="491" t="s">
        <v>70</v>
      </c>
      <c r="D383" s="491" t="s">
        <v>565</v>
      </c>
      <c r="E383" s="492" t="s">
        <v>368</v>
      </c>
      <c r="F383" s="493">
        <v>167112.0</v>
      </c>
      <c r="G383" s="493">
        <v>19608.0</v>
      </c>
      <c r="H383" s="493">
        <v>11.73</v>
      </c>
      <c r="I383" s="493">
        <v>3.89</v>
      </c>
      <c r="J383" s="493">
        <v>2.25</v>
      </c>
      <c r="K383" s="493">
        <v>40562.0</v>
      </c>
      <c r="L383" s="493">
        <v>1043351.0</v>
      </c>
      <c r="M383" s="493">
        <v>0.2427</v>
      </c>
      <c r="N383" s="6">
        <v>2.0686</v>
      </c>
    </row>
    <row r="384">
      <c r="A384" s="491" t="s">
        <v>2019</v>
      </c>
      <c r="B384" s="491" t="s">
        <v>163</v>
      </c>
      <c r="C384" s="491" t="s">
        <v>70</v>
      </c>
      <c r="D384" s="491" t="s">
        <v>565</v>
      </c>
      <c r="E384" s="492" t="s">
        <v>189</v>
      </c>
      <c r="F384" s="493">
        <v>167112.0</v>
      </c>
      <c r="G384" s="493">
        <v>36809.0</v>
      </c>
      <c r="H384" s="493">
        <v>22.03</v>
      </c>
      <c r="I384" s="493">
        <v>3.64</v>
      </c>
      <c r="J384" s="493">
        <v>3.52</v>
      </c>
      <c r="K384" s="493">
        <v>37976.0</v>
      </c>
      <c r="L384" s="493">
        <v>1043351.0</v>
      </c>
      <c r="M384" s="493">
        <v>0.2272</v>
      </c>
      <c r="N384" s="6">
        <v>1.0317</v>
      </c>
    </row>
    <row r="385">
      <c r="A385" s="491" t="s">
        <v>2019</v>
      </c>
      <c r="B385" s="491" t="s">
        <v>163</v>
      </c>
      <c r="C385" s="491" t="s">
        <v>70</v>
      </c>
      <c r="D385" s="491" t="s">
        <v>565</v>
      </c>
      <c r="E385" s="492" t="s">
        <v>44</v>
      </c>
      <c r="F385" s="493">
        <v>167112.0</v>
      </c>
      <c r="G385" s="493">
        <v>27483.0</v>
      </c>
      <c r="H385" s="493">
        <v>16.45</v>
      </c>
      <c r="I385" s="493">
        <v>3.56</v>
      </c>
      <c r="J385" s="493">
        <v>2.94</v>
      </c>
      <c r="K385" s="493">
        <v>37164.0</v>
      </c>
      <c r="L385" s="493">
        <v>1043351.0</v>
      </c>
      <c r="M385" s="493">
        <v>0.2224</v>
      </c>
      <c r="N385" s="6">
        <v>1.3523</v>
      </c>
    </row>
    <row r="386">
      <c r="A386" s="491" t="s">
        <v>2019</v>
      </c>
      <c r="B386" s="491" t="s">
        <v>163</v>
      </c>
      <c r="C386" s="491" t="s">
        <v>70</v>
      </c>
      <c r="D386" s="491" t="s">
        <v>565</v>
      </c>
      <c r="E386" s="492" t="s">
        <v>49</v>
      </c>
      <c r="F386" s="493">
        <v>167112.0</v>
      </c>
      <c r="G386" s="493">
        <v>23780.0</v>
      </c>
      <c r="H386" s="493">
        <v>14.23</v>
      </c>
      <c r="I386" s="493">
        <v>3.16</v>
      </c>
      <c r="J386" s="493">
        <v>2.62</v>
      </c>
      <c r="K386" s="493">
        <v>33022.0</v>
      </c>
      <c r="L386" s="493">
        <v>1043351.0</v>
      </c>
      <c r="M386" s="493">
        <v>0.1976</v>
      </c>
      <c r="N386" s="6">
        <v>1.3886</v>
      </c>
    </row>
    <row r="387">
      <c r="A387" s="491" t="s">
        <v>2019</v>
      </c>
      <c r="B387" s="491" t="s">
        <v>163</v>
      </c>
      <c r="C387" s="491" t="s">
        <v>70</v>
      </c>
      <c r="D387" s="491" t="s">
        <v>565</v>
      </c>
      <c r="E387" s="492" t="s">
        <v>42</v>
      </c>
      <c r="F387" s="493">
        <v>167112.0</v>
      </c>
      <c r="G387" s="493">
        <v>16985.0</v>
      </c>
      <c r="H387" s="493">
        <v>10.16</v>
      </c>
      <c r="I387" s="493">
        <v>2.33</v>
      </c>
      <c r="J387" s="493">
        <v>2.27</v>
      </c>
      <c r="K387" s="493">
        <v>24304.0</v>
      </c>
      <c r="L387" s="493">
        <v>1043351.0</v>
      </c>
      <c r="M387" s="493">
        <v>0.1454</v>
      </c>
      <c r="N387" s="6">
        <v>1.4309</v>
      </c>
    </row>
    <row r="388">
      <c r="A388" s="491" t="s">
        <v>2019</v>
      </c>
      <c r="B388" s="491" t="s">
        <v>163</v>
      </c>
      <c r="C388" s="491" t="s">
        <v>70</v>
      </c>
      <c r="D388" s="491" t="s">
        <v>565</v>
      </c>
      <c r="E388" s="492" t="s">
        <v>35</v>
      </c>
      <c r="F388" s="493">
        <v>167112.0</v>
      </c>
      <c r="G388" s="493">
        <v>15636.0</v>
      </c>
      <c r="H388" s="493">
        <v>9.36</v>
      </c>
      <c r="I388" s="493">
        <v>1.72</v>
      </c>
      <c r="J388" s="493">
        <v>1.41</v>
      </c>
      <c r="K388" s="493">
        <v>17935.0</v>
      </c>
      <c r="L388" s="493">
        <v>1043351.0</v>
      </c>
      <c r="M388" s="493">
        <v>0.1073</v>
      </c>
      <c r="N388" s="6">
        <v>1.147</v>
      </c>
    </row>
    <row r="389">
      <c r="A389" s="491" t="s">
        <v>2019</v>
      </c>
      <c r="B389" s="491" t="s">
        <v>163</v>
      </c>
      <c r="C389" s="491" t="s">
        <v>70</v>
      </c>
      <c r="D389" s="491" t="s">
        <v>565</v>
      </c>
      <c r="E389" s="492" t="s">
        <v>366</v>
      </c>
      <c r="F389" s="493">
        <v>167112.0</v>
      </c>
      <c r="G389" s="493">
        <v>14704.0</v>
      </c>
      <c r="H389" s="493">
        <v>8.8</v>
      </c>
      <c r="I389" s="493">
        <v>1.53</v>
      </c>
      <c r="J389" s="493">
        <v>1.43</v>
      </c>
      <c r="K389" s="493">
        <v>15962.0</v>
      </c>
      <c r="L389" s="493">
        <v>1043351.0</v>
      </c>
      <c r="M389" s="493">
        <v>0.0955</v>
      </c>
      <c r="N389" s="6">
        <v>1.0856</v>
      </c>
    </row>
    <row r="390">
      <c r="A390" s="491" t="s">
        <v>2019</v>
      </c>
      <c r="B390" s="491" t="s">
        <v>163</v>
      </c>
      <c r="C390" s="491" t="s">
        <v>70</v>
      </c>
      <c r="D390" s="491" t="s">
        <v>565</v>
      </c>
      <c r="E390" s="492" t="s">
        <v>50</v>
      </c>
      <c r="F390" s="493">
        <v>167112.0</v>
      </c>
      <c r="G390" s="493">
        <v>5893.0</v>
      </c>
      <c r="H390" s="493">
        <v>3.53</v>
      </c>
      <c r="I390" s="493">
        <v>0.62</v>
      </c>
      <c r="J390" s="493">
        <v>0.39</v>
      </c>
      <c r="K390" s="493">
        <v>6451.0</v>
      </c>
      <c r="L390" s="493">
        <v>1043351.0</v>
      </c>
      <c r="M390" s="493">
        <v>0.0386</v>
      </c>
      <c r="N390" s="6">
        <v>1.0947</v>
      </c>
    </row>
    <row r="391">
      <c r="A391" s="491" t="s">
        <v>2019</v>
      </c>
      <c r="B391" s="491" t="s">
        <v>163</v>
      </c>
      <c r="C391" s="491" t="s">
        <v>70</v>
      </c>
      <c r="D391" s="491" t="s">
        <v>565</v>
      </c>
      <c r="E391" s="492" t="s">
        <v>134</v>
      </c>
      <c r="F391" s="493">
        <v>167112.0</v>
      </c>
      <c r="G391" s="493">
        <v>4876.0</v>
      </c>
      <c r="H391" s="493">
        <v>2.92</v>
      </c>
      <c r="I391" s="493">
        <v>0.58</v>
      </c>
      <c r="J391" s="493">
        <v>0.37</v>
      </c>
      <c r="K391" s="493">
        <v>6101.0</v>
      </c>
      <c r="L391" s="493">
        <v>1043351.0</v>
      </c>
      <c r="M391" s="493">
        <v>0.0365</v>
      </c>
      <c r="N391" s="6">
        <v>1.2512</v>
      </c>
    </row>
    <row r="392">
      <c r="A392" s="491" t="s">
        <v>2019</v>
      </c>
      <c r="B392" s="491" t="s">
        <v>163</v>
      </c>
      <c r="C392" s="491" t="s">
        <v>70</v>
      </c>
      <c r="D392" s="491" t="s">
        <v>565</v>
      </c>
      <c r="E392" s="492" t="s">
        <v>43</v>
      </c>
      <c r="F392" s="493">
        <v>167112.0</v>
      </c>
      <c r="G392" s="493">
        <v>776.0</v>
      </c>
      <c r="H392" s="493">
        <v>0.46</v>
      </c>
      <c r="I392" s="493">
        <v>0.08</v>
      </c>
      <c r="J392" s="493">
        <v>0.08</v>
      </c>
      <c r="K392" s="493">
        <v>812.0</v>
      </c>
      <c r="L392" s="493">
        <v>1043351.0</v>
      </c>
      <c r="M392" s="493">
        <v>0.0049</v>
      </c>
      <c r="N392" s="6">
        <v>1.0464</v>
      </c>
    </row>
    <row r="393">
      <c r="A393" s="491" t="s">
        <v>2019</v>
      </c>
      <c r="B393" s="491" t="s">
        <v>163</v>
      </c>
      <c r="C393" s="491" t="s">
        <v>70</v>
      </c>
      <c r="D393" s="491" t="s">
        <v>565</v>
      </c>
      <c r="E393" s="492" t="s">
        <v>32</v>
      </c>
      <c r="F393" s="493">
        <v>167112.0</v>
      </c>
      <c r="G393" s="493">
        <v>44.0</v>
      </c>
      <c r="H393" s="493">
        <v>0.03</v>
      </c>
      <c r="I393" s="493">
        <v>0.0</v>
      </c>
      <c r="J393" s="493">
        <v>0.01</v>
      </c>
      <c r="K393" s="493">
        <v>48.0</v>
      </c>
      <c r="L393" s="493">
        <v>1043351.0</v>
      </c>
      <c r="M393" s="493">
        <v>3.0E-4</v>
      </c>
      <c r="N393" s="6">
        <v>1.0909</v>
      </c>
    </row>
    <row r="394">
      <c r="A394" s="491" t="s">
        <v>2019</v>
      </c>
      <c r="B394" s="491" t="s">
        <v>163</v>
      </c>
      <c r="C394" s="491" t="s">
        <v>70</v>
      </c>
      <c r="D394" s="491" t="s">
        <v>565</v>
      </c>
      <c r="E394" s="492" t="s">
        <v>311</v>
      </c>
      <c r="F394" s="493">
        <v>167112.0</v>
      </c>
      <c r="G394" s="493">
        <v>3.0</v>
      </c>
      <c r="H394" s="493">
        <v>0.0</v>
      </c>
      <c r="I394" s="493">
        <v>0.0</v>
      </c>
      <c r="J394" s="493">
        <v>0.0</v>
      </c>
      <c r="K394" s="493">
        <v>4.0</v>
      </c>
      <c r="L394" s="493">
        <v>1043351.0</v>
      </c>
      <c r="M394" s="493">
        <v>0.0</v>
      </c>
      <c r="N394" s="6">
        <v>1.3333</v>
      </c>
    </row>
    <row r="395">
      <c r="A395" s="491" t="s">
        <v>2019</v>
      </c>
      <c r="B395" s="491" t="s">
        <v>163</v>
      </c>
      <c r="C395" s="491" t="s">
        <v>74</v>
      </c>
      <c r="D395" s="491" t="s">
        <v>565</v>
      </c>
      <c r="E395" s="492" t="s">
        <v>42</v>
      </c>
      <c r="F395" s="493">
        <v>107774.0</v>
      </c>
      <c r="G395" s="493">
        <v>56894.0</v>
      </c>
      <c r="H395" s="493">
        <v>52.79</v>
      </c>
      <c r="I395" s="493">
        <v>33.41</v>
      </c>
      <c r="J395" s="493">
        <v>33.19</v>
      </c>
      <c r="K395" s="493">
        <v>111288.0</v>
      </c>
      <c r="L395" s="493">
        <v>333139.0</v>
      </c>
      <c r="M395" s="493">
        <v>1.0326</v>
      </c>
      <c r="N395" s="6">
        <v>1.9561</v>
      </c>
    </row>
    <row r="396">
      <c r="A396" s="491" t="s">
        <v>2019</v>
      </c>
      <c r="B396" s="491" t="s">
        <v>163</v>
      </c>
      <c r="C396" s="491" t="s">
        <v>74</v>
      </c>
      <c r="D396" s="491" t="s">
        <v>565</v>
      </c>
      <c r="E396" s="492" t="s">
        <v>371</v>
      </c>
      <c r="F396" s="493">
        <v>107774.0</v>
      </c>
      <c r="G396" s="493">
        <v>70732.0</v>
      </c>
      <c r="H396" s="493">
        <v>65.63</v>
      </c>
      <c r="I396" s="493">
        <v>30.68</v>
      </c>
      <c r="J396" s="493">
        <v>36.27</v>
      </c>
      <c r="K396" s="493">
        <v>102200.0</v>
      </c>
      <c r="L396" s="493">
        <v>333139.0</v>
      </c>
      <c r="M396" s="493">
        <v>0.9483</v>
      </c>
      <c r="N396" s="6">
        <v>1.4449</v>
      </c>
    </row>
    <row r="397">
      <c r="A397" s="491" t="s">
        <v>2019</v>
      </c>
      <c r="B397" s="491" t="s">
        <v>163</v>
      </c>
      <c r="C397" s="491" t="s">
        <v>74</v>
      </c>
      <c r="D397" s="491" t="s">
        <v>565</v>
      </c>
      <c r="E397" s="492" t="s">
        <v>365</v>
      </c>
      <c r="F397" s="493">
        <v>107774.0</v>
      </c>
      <c r="G397" s="493">
        <v>18562.0</v>
      </c>
      <c r="H397" s="493">
        <v>17.22</v>
      </c>
      <c r="I397" s="493">
        <v>11.23</v>
      </c>
      <c r="J397" s="493">
        <v>7.34</v>
      </c>
      <c r="K397" s="493">
        <v>37423.0</v>
      </c>
      <c r="L397" s="493">
        <v>333139.0</v>
      </c>
      <c r="M397" s="493">
        <v>0.3472</v>
      </c>
      <c r="N397" s="6">
        <v>2.0161</v>
      </c>
    </row>
    <row r="398">
      <c r="A398" s="491" t="s">
        <v>2019</v>
      </c>
      <c r="B398" s="491" t="s">
        <v>163</v>
      </c>
      <c r="C398" s="491" t="s">
        <v>74</v>
      </c>
      <c r="D398" s="491" t="s">
        <v>565</v>
      </c>
      <c r="E398" s="492" t="s">
        <v>367</v>
      </c>
      <c r="F398" s="493">
        <v>107774.0</v>
      </c>
      <c r="G398" s="493">
        <v>20131.0</v>
      </c>
      <c r="H398" s="493">
        <v>18.68</v>
      </c>
      <c r="I398" s="493">
        <v>6.39</v>
      </c>
      <c r="J398" s="493">
        <v>5.41</v>
      </c>
      <c r="K398" s="493">
        <v>21282.0</v>
      </c>
      <c r="L398" s="493">
        <v>333139.0</v>
      </c>
      <c r="M398" s="493">
        <v>0.1975</v>
      </c>
      <c r="N398" s="6">
        <v>1.0572</v>
      </c>
    </row>
    <row r="399">
      <c r="A399" s="491" t="s">
        <v>2019</v>
      </c>
      <c r="B399" s="491" t="s">
        <v>163</v>
      </c>
      <c r="C399" s="491" t="s">
        <v>74</v>
      </c>
      <c r="D399" s="491" t="s">
        <v>565</v>
      </c>
      <c r="E399" s="492" t="s">
        <v>366</v>
      </c>
      <c r="F399" s="493">
        <v>107774.0</v>
      </c>
      <c r="G399" s="493">
        <v>17864.0</v>
      </c>
      <c r="H399" s="493">
        <v>16.58</v>
      </c>
      <c r="I399" s="493">
        <v>5.52</v>
      </c>
      <c r="J399" s="493">
        <v>7.09</v>
      </c>
      <c r="K399" s="493">
        <v>18404.0</v>
      </c>
      <c r="L399" s="493">
        <v>333139.0</v>
      </c>
      <c r="M399" s="493">
        <v>0.1708</v>
      </c>
      <c r="N399" s="6">
        <v>1.0302</v>
      </c>
    </row>
    <row r="400">
      <c r="A400" s="491" t="s">
        <v>2019</v>
      </c>
      <c r="B400" s="491" t="s">
        <v>163</v>
      </c>
      <c r="C400" s="491" t="s">
        <v>74</v>
      </c>
      <c r="D400" s="491" t="s">
        <v>565</v>
      </c>
      <c r="E400" s="492" t="s">
        <v>40</v>
      </c>
      <c r="F400" s="493">
        <v>107774.0</v>
      </c>
      <c r="G400" s="493">
        <v>4791.0</v>
      </c>
      <c r="H400" s="493">
        <v>4.45</v>
      </c>
      <c r="I400" s="493">
        <v>3.57</v>
      </c>
      <c r="J400" s="493">
        <v>2.15</v>
      </c>
      <c r="K400" s="493">
        <v>11904.0</v>
      </c>
      <c r="L400" s="493">
        <v>333139.0</v>
      </c>
      <c r="M400" s="493">
        <v>0.1105</v>
      </c>
      <c r="N400" s="6">
        <v>2.4847</v>
      </c>
    </row>
    <row r="401">
      <c r="A401" s="491" t="s">
        <v>2019</v>
      </c>
      <c r="B401" s="491" t="s">
        <v>163</v>
      </c>
      <c r="C401" s="491" t="s">
        <v>74</v>
      </c>
      <c r="D401" s="491" t="s">
        <v>565</v>
      </c>
      <c r="E401" s="492" t="s">
        <v>134</v>
      </c>
      <c r="F401" s="493">
        <v>107774.0</v>
      </c>
      <c r="G401" s="493">
        <v>9075.0</v>
      </c>
      <c r="H401" s="493">
        <v>8.42</v>
      </c>
      <c r="I401" s="493">
        <v>3.48</v>
      </c>
      <c r="J401" s="493">
        <v>3.02</v>
      </c>
      <c r="K401" s="493">
        <v>11605.0</v>
      </c>
      <c r="L401" s="493">
        <v>333139.0</v>
      </c>
      <c r="M401" s="493">
        <v>0.1077</v>
      </c>
      <c r="N401" s="6">
        <v>1.2788</v>
      </c>
    </row>
    <row r="402">
      <c r="A402" s="491" t="s">
        <v>2019</v>
      </c>
      <c r="B402" s="491" t="s">
        <v>163</v>
      </c>
      <c r="C402" s="491" t="s">
        <v>74</v>
      </c>
      <c r="D402" s="491" t="s">
        <v>565</v>
      </c>
      <c r="E402" s="492" t="s">
        <v>50</v>
      </c>
      <c r="F402" s="493">
        <v>107774.0</v>
      </c>
      <c r="G402" s="493">
        <v>7395.0</v>
      </c>
      <c r="H402" s="493">
        <v>6.86</v>
      </c>
      <c r="I402" s="493">
        <v>2.64</v>
      </c>
      <c r="J402" s="493">
        <v>2.65</v>
      </c>
      <c r="K402" s="493">
        <v>8779.0</v>
      </c>
      <c r="L402" s="493">
        <v>333139.0</v>
      </c>
      <c r="M402" s="493">
        <v>0.0815</v>
      </c>
      <c r="N402" s="6">
        <v>1.1872</v>
      </c>
    </row>
    <row r="403">
      <c r="A403" s="491" t="s">
        <v>2019</v>
      </c>
      <c r="B403" s="491" t="s">
        <v>163</v>
      </c>
      <c r="C403" s="491" t="s">
        <v>74</v>
      </c>
      <c r="D403" s="491" t="s">
        <v>565</v>
      </c>
      <c r="E403" s="492" t="s">
        <v>370</v>
      </c>
      <c r="F403" s="493">
        <v>107774.0</v>
      </c>
      <c r="G403" s="493">
        <v>7327.0</v>
      </c>
      <c r="H403" s="493">
        <v>6.8</v>
      </c>
      <c r="I403" s="493">
        <v>2.38</v>
      </c>
      <c r="J403" s="493">
        <v>2.02</v>
      </c>
      <c r="K403" s="493">
        <v>7935.0</v>
      </c>
      <c r="L403" s="493">
        <v>333139.0</v>
      </c>
      <c r="M403" s="493">
        <v>0.0736</v>
      </c>
      <c r="N403" s="6">
        <v>1.083</v>
      </c>
    </row>
    <row r="404">
      <c r="A404" s="491" t="s">
        <v>2019</v>
      </c>
      <c r="B404" s="491" t="s">
        <v>163</v>
      </c>
      <c r="C404" s="491" t="s">
        <v>74</v>
      </c>
      <c r="D404" s="491" t="s">
        <v>565</v>
      </c>
      <c r="E404" s="492" t="s">
        <v>44</v>
      </c>
      <c r="F404" s="493">
        <v>107774.0</v>
      </c>
      <c r="G404" s="493">
        <v>841.0</v>
      </c>
      <c r="H404" s="493">
        <v>0.78</v>
      </c>
      <c r="I404" s="493">
        <v>0.28</v>
      </c>
      <c r="J404" s="493">
        <v>0.25</v>
      </c>
      <c r="K404" s="493">
        <v>930.0</v>
      </c>
      <c r="L404" s="493">
        <v>333139.0</v>
      </c>
      <c r="M404" s="493">
        <v>0.0086</v>
      </c>
      <c r="N404" s="6">
        <v>1.1058</v>
      </c>
    </row>
    <row r="405">
      <c r="A405" s="491" t="s">
        <v>2019</v>
      </c>
      <c r="B405" s="491" t="s">
        <v>163</v>
      </c>
      <c r="C405" s="491" t="s">
        <v>74</v>
      </c>
      <c r="D405" s="491" t="s">
        <v>565</v>
      </c>
      <c r="E405" s="492" t="s">
        <v>312</v>
      </c>
      <c r="F405" s="493">
        <v>107774.0</v>
      </c>
      <c r="G405" s="493">
        <v>415.0</v>
      </c>
      <c r="H405" s="493">
        <v>0.39</v>
      </c>
      <c r="I405" s="493">
        <v>0.13</v>
      </c>
      <c r="J405" s="493">
        <v>0.17</v>
      </c>
      <c r="K405" s="493">
        <v>445.0</v>
      </c>
      <c r="L405" s="493">
        <v>333139.0</v>
      </c>
      <c r="M405" s="493">
        <v>0.0041</v>
      </c>
      <c r="N405" s="6">
        <v>1.0723</v>
      </c>
    </row>
    <row r="406">
      <c r="A406" s="491" t="s">
        <v>2019</v>
      </c>
      <c r="B406" s="491" t="s">
        <v>163</v>
      </c>
      <c r="C406" s="491" t="s">
        <v>74</v>
      </c>
      <c r="D406" s="491" t="s">
        <v>565</v>
      </c>
      <c r="E406" s="492" t="s">
        <v>32</v>
      </c>
      <c r="F406" s="493">
        <v>107774.0</v>
      </c>
      <c r="G406" s="493">
        <v>372.0</v>
      </c>
      <c r="H406" s="493">
        <v>0.35</v>
      </c>
      <c r="I406" s="493">
        <v>0.11</v>
      </c>
      <c r="J406" s="493">
        <v>0.18</v>
      </c>
      <c r="K406" s="493">
        <v>380.0</v>
      </c>
      <c r="L406" s="493">
        <v>333139.0</v>
      </c>
      <c r="M406" s="493">
        <v>0.0035</v>
      </c>
      <c r="N406" s="6">
        <v>1.0215</v>
      </c>
    </row>
    <row r="407">
      <c r="A407" s="491" t="s">
        <v>2019</v>
      </c>
      <c r="B407" s="491" t="s">
        <v>163</v>
      </c>
      <c r="C407" s="491" t="s">
        <v>74</v>
      </c>
      <c r="D407" s="491" t="s">
        <v>565</v>
      </c>
      <c r="E407" s="492" t="s">
        <v>310</v>
      </c>
      <c r="F407" s="493">
        <v>107774.0</v>
      </c>
      <c r="G407" s="493">
        <v>348.0</v>
      </c>
      <c r="H407" s="493">
        <v>0.32</v>
      </c>
      <c r="I407" s="493">
        <v>0.11</v>
      </c>
      <c r="J407" s="493">
        <v>0.17</v>
      </c>
      <c r="K407" s="493">
        <v>366.0</v>
      </c>
      <c r="L407" s="493">
        <v>333139.0</v>
      </c>
      <c r="M407" s="493">
        <v>0.0034</v>
      </c>
      <c r="N407" s="6">
        <v>1.0517</v>
      </c>
    </row>
    <row r="408">
      <c r="A408" s="491" t="s">
        <v>2019</v>
      </c>
      <c r="B408" s="491" t="s">
        <v>163</v>
      </c>
      <c r="C408" s="491" t="s">
        <v>74</v>
      </c>
      <c r="D408" s="491" t="s">
        <v>565</v>
      </c>
      <c r="E408" s="492" t="s">
        <v>311</v>
      </c>
      <c r="F408" s="493">
        <v>107774.0</v>
      </c>
      <c r="G408" s="493">
        <v>119.0</v>
      </c>
      <c r="H408" s="493">
        <v>0.11</v>
      </c>
      <c r="I408" s="493">
        <v>0.04</v>
      </c>
      <c r="J408" s="493">
        <v>0.08</v>
      </c>
      <c r="K408" s="493">
        <v>123.0</v>
      </c>
      <c r="L408" s="493">
        <v>333139.0</v>
      </c>
      <c r="M408" s="493">
        <v>0.0011</v>
      </c>
      <c r="N408" s="6">
        <v>1.0336</v>
      </c>
    </row>
    <row r="409">
      <c r="A409" s="491" t="s">
        <v>2019</v>
      </c>
      <c r="B409" s="491" t="s">
        <v>163</v>
      </c>
      <c r="C409" s="491" t="s">
        <v>74</v>
      </c>
      <c r="D409" s="491" t="s">
        <v>565</v>
      </c>
      <c r="E409" s="492" t="s">
        <v>43</v>
      </c>
      <c r="F409" s="493">
        <v>107774.0</v>
      </c>
      <c r="G409" s="493">
        <v>24.0</v>
      </c>
      <c r="H409" s="493">
        <v>0.02</v>
      </c>
      <c r="I409" s="493">
        <v>0.01</v>
      </c>
      <c r="J409" s="493">
        <v>0.01</v>
      </c>
      <c r="K409" s="493">
        <v>25.0</v>
      </c>
      <c r="L409" s="493">
        <v>333139.0</v>
      </c>
      <c r="M409" s="493">
        <v>2.0E-4</v>
      </c>
      <c r="N409" s="6">
        <v>1.0417</v>
      </c>
    </row>
    <row r="410">
      <c r="A410" s="491" t="s">
        <v>2019</v>
      </c>
      <c r="B410" s="491" t="s">
        <v>163</v>
      </c>
      <c r="C410" s="491" t="s">
        <v>74</v>
      </c>
      <c r="D410" s="491" t="s">
        <v>565</v>
      </c>
      <c r="E410" s="492" t="s">
        <v>368</v>
      </c>
      <c r="F410" s="493">
        <v>107774.0</v>
      </c>
      <c r="G410" s="493">
        <v>26.0</v>
      </c>
      <c r="H410" s="493">
        <v>0.02</v>
      </c>
      <c r="I410" s="493">
        <v>0.01</v>
      </c>
      <c r="J410" s="493">
        <v>0.01</v>
      </c>
      <c r="K410" s="493">
        <v>43.0</v>
      </c>
      <c r="L410" s="493">
        <v>333139.0</v>
      </c>
      <c r="M410" s="493">
        <v>4.0E-4</v>
      </c>
      <c r="N410" s="6">
        <v>1.6538</v>
      </c>
    </row>
    <row r="411">
      <c r="A411" s="491" t="s">
        <v>2019</v>
      </c>
      <c r="B411" s="491" t="s">
        <v>163</v>
      </c>
      <c r="C411" s="491" t="s">
        <v>74</v>
      </c>
      <c r="D411" s="491" t="s">
        <v>565</v>
      </c>
      <c r="E411" s="492" t="s">
        <v>372</v>
      </c>
      <c r="F411" s="493">
        <v>107774.0</v>
      </c>
      <c r="G411" s="493">
        <v>2.0</v>
      </c>
      <c r="H411" s="493">
        <v>0.0</v>
      </c>
      <c r="I411" s="493">
        <v>0.0</v>
      </c>
      <c r="J411" s="493">
        <v>0.0</v>
      </c>
      <c r="K411" s="493">
        <v>2.0</v>
      </c>
      <c r="L411" s="493">
        <v>333139.0</v>
      </c>
      <c r="M411" s="493">
        <v>0.0</v>
      </c>
      <c r="N411" s="6">
        <v>1.0</v>
      </c>
    </row>
    <row r="412">
      <c r="A412" s="491" t="s">
        <v>2019</v>
      </c>
      <c r="B412" s="491" t="s">
        <v>163</v>
      </c>
      <c r="C412" s="491" t="s">
        <v>74</v>
      </c>
      <c r="D412" s="491" t="s">
        <v>565</v>
      </c>
      <c r="E412" s="492" t="s">
        <v>189</v>
      </c>
      <c r="F412" s="493">
        <v>107774.0</v>
      </c>
      <c r="G412" s="493">
        <v>1.0</v>
      </c>
      <c r="H412" s="493">
        <v>0.0</v>
      </c>
      <c r="I412" s="493">
        <v>0.0</v>
      </c>
      <c r="J412" s="493">
        <v>0.0</v>
      </c>
      <c r="K412" s="493">
        <v>1.0</v>
      </c>
      <c r="L412" s="493">
        <v>333139.0</v>
      </c>
      <c r="M412" s="493">
        <v>0.0</v>
      </c>
      <c r="N412" s="6">
        <v>1.0</v>
      </c>
    </row>
    <row r="413">
      <c r="A413" s="491" t="s">
        <v>2019</v>
      </c>
      <c r="B413" s="491" t="s">
        <v>163</v>
      </c>
      <c r="C413" s="491" t="s">
        <v>74</v>
      </c>
      <c r="D413" s="491" t="s">
        <v>565</v>
      </c>
      <c r="E413" s="492" t="s">
        <v>369</v>
      </c>
      <c r="F413" s="493">
        <v>107774.0</v>
      </c>
      <c r="G413" s="493">
        <v>4.0</v>
      </c>
      <c r="H413" s="493">
        <v>0.0</v>
      </c>
      <c r="I413" s="493">
        <v>0.0</v>
      </c>
      <c r="J413" s="493">
        <v>0.0</v>
      </c>
      <c r="K413" s="493">
        <v>4.0</v>
      </c>
      <c r="L413" s="493">
        <v>333139.0</v>
      </c>
      <c r="M413" s="493">
        <v>0.0</v>
      </c>
      <c r="N413" s="6">
        <v>1.0</v>
      </c>
    </row>
    <row r="414">
      <c r="A414" s="491" t="s">
        <v>2019</v>
      </c>
      <c r="B414" s="491" t="s">
        <v>163</v>
      </c>
      <c r="C414" s="491" t="s">
        <v>1872</v>
      </c>
      <c r="D414" s="491" t="s">
        <v>1872</v>
      </c>
      <c r="E414" s="492" t="s">
        <v>367</v>
      </c>
      <c r="F414" s="493">
        <v>188523.0</v>
      </c>
      <c r="G414" s="493">
        <v>165736.0</v>
      </c>
      <c r="H414" s="493">
        <v>87.91</v>
      </c>
      <c r="I414" s="493">
        <v>34.17</v>
      </c>
      <c r="J414" s="493">
        <v>36.1</v>
      </c>
      <c r="K414" s="493">
        <v>2.2746755E7</v>
      </c>
      <c r="L414" s="493">
        <v>6.6563747E7</v>
      </c>
      <c r="M414" s="493">
        <v>120.6577</v>
      </c>
      <c r="N414" s="6">
        <v>137.2469</v>
      </c>
    </row>
    <row r="415">
      <c r="A415" s="491" t="s">
        <v>2019</v>
      </c>
      <c r="B415" s="491" t="s">
        <v>163</v>
      </c>
      <c r="C415" s="491" t="s">
        <v>1872</v>
      </c>
      <c r="D415" s="491" t="s">
        <v>1872</v>
      </c>
      <c r="E415" s="492" t="s">
        <v>371</v>
      </c>
      <c r="F415" s="493">
        <v>188523.0</v>
      </c>
      <c r="G415" s="493">
        <v>144116.0</v>
      </c>
      <c r="H415" s="493">
        <v>76.44</v>
      </c>
      <c r="I415" s="493">
        <v>15.6</v>
      </c>
      <c r="J415" s="493">
        <v>17.83</v>
      </c>
      <c r="K415" s="493">
        <v>1.038472E7</v>
      </c>
      <c r="L415" s="493">
        <v>6.6563747E7</v>
      </c>
      <c r="M415" s="493">
        <v>55.0846</v>
      </c>
      <c r="N415" s="6">
        <v>72.0581</v>
      </c>
    </row>
    <row r="416">
      <c r="A416" s="491" t="s">
        <v>2019</v>
      </c>
      <c r="B416" s="491" t="s">
        <v>163</v>
      </c>
      <c r="C416" s="491" t="s">
        <v>1872</v>
      </c>
      <c r="D416" s="491" t="s">
        <v>1872</v>
      </c>
      <c r="E416" s="492" t="s">
        <v>42</v>
      </c>
      <c r="F416" s="493">
        <v>188523.0</v>
      </c>
      <c r="G416" s="493">
        <v>61019.0</v>
      </c>
      <c r="H416" s="493">
        <v>32.37</v>
      </c>
      <c r="I416" s="493">
        <v>11.99</v>
      </c>
      <c r="J416" s="493">
        <v>9.68</v>
      </c>
      <c r="K416" s="493">
        <v>7981245.0</v>
      </c>
      <c r="L416" s="493">
        <v>6.6563747E7</v>
      </c>
      <c r="M416" s="493">
        <v>42.3357</v>
      </c>
      <c r="N416" s="6">
        <v>130.7993</v>
      </c>
    </row>
    <row r="417">
      <c r="A417" s="491" t="s">
        <v>2019</v>
      </c>
      <c r="B417" s="491" t="s">
        <v>163</v>
      </c>
      <c r="C417" s="491" t="s">
        <v>1872</v>
      </c>
      <c r="D417" s="491" t="s">
        <v>1872</v>
      </c>
      <c r="E417" s="492" t="s">
        <v>40</v>
      </c>
      <c r="F417" s="493">
        <v>188523.0</v>
      </c>
      <c r="G417" s="493">
        <v>33465.0</v>
      </c>
      <c r="H417" s="493">
        <v>17.75</v>
      </c>
      <c r="I417" s="493">
        <v>7.54</v>
      </c>
      <c r="J417" s="493">
        <v>4.74</v>
      </c>
      <c r="K417" s="493">
        <v>5018320.0</v>
      </c>
      <c r="L417" s="493">
        <v>6.6563747E7</v>
      </c>
      <c r="M417" s="493">
        <v>26.6191</v>
      </c>
      <c r="N417" s="6">
        <v>149.9573</v>
      </c>
    </row>
    <row r="418">
      <c r="A418" s="491" t="s">
        <v>2019</v>
      </c>
      <c r="B418" s="491" t="s">
        <v>163</v>
      </c>
      <c r="C418" s="491" t="s">
        <v>1872</v>
      </c>
      <c r="D418" s="491" t="s">
        <v>1872</v>
      </c>
      <c r="E418" s="492" t="s">
        <v>372</v>
      </c>
      <c r="F418" s="493">
        <v>188523.0</v>
      </c>
      <c r="G418" s="493">
        <v>116989.0</v>
      </c>
      <c r="H418" s="493">
        <v>62.06</v>
      </c>
      <c r="I418" s="493">
        <v>6.83</v>
      </c>
      <c r="J418" s="493">
        <v>10.83</v>
      </c>
      <c r="K418" s="493">
        <v>4547090.0</v>
      </c>
      <c r="L418" s="493">
        <v>6.6563747E7</v>
      </c>
      <c r="M418" s="493">
        <v>24.1196</v>
      </c>
      <c r="N418" s="6">
        <v>38.8677</v>
      </c>
    </row>
    <row r="419">
      <c r="A419" s="491" t="s">
        <v>2019</v>
      </c>
      <c r="B419" s="491" t="s">
        <v>163</v>
      </c>
      <c r="C419" s="491" t="s">
        <v>1872</v>
      </c>
      <c r="D419" s="491" t="s">
        <v>1872</v>
      </c>
      <c r="E419" s="492" t="s">
        <v>366</v>
      </c>
      <c r="F419" s="493">
        <v>188523.0</v>
      </c>
      <c r="G419" s="493">
        <v>76649.0</v>
      </c>
      <c r="H419" s="493">
        <v>40.66</v>
      </c>
      <c r="I419" s="493">
        <v>5.72</v>
      </c>
      <c r="J419" s="493">
        <v>6.52</v>
      </c>
      <c r="K419" s="493">
        <v>3805710.0</v>
      </c>
      <c r="L419" s="493">
        <v>6.6563747E7</v>
      </c>
      <c r="M419" s="493">
        <v>20.187</v>
      </c>
      <c r="N419" s="6">
        <v>49.6511</v>
      </c>
    </row>
    <row r="420">
      <c r="A420" s="491" t="s">
        <v>2019</v>
      </c>
      <c r="B420" s="491" t="s">
        <v>163</v>
      </c>
      <c r="C420" s="491" t="s">
        <v>1872</v>
      </c>
      <c r="D420" s="491" t="s">
        <v>1872</v>
      </c>
      <c r="E420" s="492" t="s">
        <v>365</v>
      </c>
      <c r="F420" s="493">
        <v>188523.0</v>
      </c>
      <c r="G420" s="493">
        <v>41661.0</v>
      </c>
      <c r="H420" s="493">
        <v>22.1</v>
      </c>
      <c r="I420" s="493">
        <v>5.43</v>
      </c>
      <c r="J420" s="493">
        <v>3.26</v>
      </c>
      <c r="K420" s="493">
        <v>3613370.0</v>
      </c>
      <c r="L420" s="493">
        <v>6.6563747E7</v>
      </c>
      <c r="M420" s="493">
        <v>19.1667</v>
      </c>
      <c r="N420" s="6">
        <v>86.7327</v>
      </c>
    </row>
    <row r="421">
      <c r="A421" s="491" t="s">
        <v>2019</v>
      </c>
      <c r="B421" s="491" t="s">
        <v>163</v>
      </c>
      <c r="C421" s="491" t="s">
        <v>1872</v>
      </c>
      <c r="D421" s="491" t="s">
        <v>1872</v>
      </c>
      <c r="E421" s="492" t="s">
        <v>368</v>
      </c>
      <c r="F421" s="493">
        <v>188523.0</v>
      </c>
      <c r="G421" s="493">
        <v>52398.0</v>
      </c>
      <c r="H421" s="493">
        <v>27.79</v>
      </c>
      <c r="I421" s="493">
        <v>3.99</v>
      </c>
      <c r="J421" s="493">
        <v>3.95</v>
      </c>
      <c r="K421" s="493">
        <v>2653165.0</v>
      </c>
      <c r="L421" s="493">
        <v>6.6563747E7</v>
      </c>
      <c r="M421" s="493">
        <v>14.0734</v>
      </c>
      <c r="N421" s="6">
        <v>50.6349</v>
      </c>
    </row>
    <row r="422">
      <c r="A422" s="491" t="s">
        <v>2019</v>
      </c>
      <c r="B422" s="491" t="s">
        <v>163</v>
      </c>
      <c r="C422" s="491" t="s">
        <v>1872</v>
      </c>
      <c r="D422" s="491" t="s">
        <v>1872</v>
      </c>
      <c r="E422" s="492" t="s">
        <v>50</v>
      </c>
      <c r="F422" s="493">
        <v>188523.0</v>
      </c>
      <c r="G422" s="493">
        <v>26555.0</v>
      </c>
      <c r="H422" s="493">
        <v>14.09</v>
      </c>
      <c r="I422" s="493">
        <v>2.85</v>
      </c>
      <c r="J422" s="493">
        <v>2.11</v>
      </c>
      <c r="K422" s="493">
        <v>1900275.0</v>
      </c>
      <c r="L422" s="493">
        <v>6.6563747E7</v>
      </c>
      <c r="M422" s="493">
        <v>10.0798</v>
      </c>
      <c r="N422" s="6">
        <v>71.56</v>
      </c>
    </row>
    <row r="423">
      <c r="A423" s="491" t="s">
        <v>2019</v>
      </c>
      <c r="B423" s="491" t="s">
        <v>163</v>
      </c>
      <c r="C423" s="491" t="s">
        <v>1872</v>
      </c>
      <c r="D423" s="491" t="s">
        <v>1872</v>
      </c>
      <c r="E423" s="492" t="s">
        <v>370</v>
      </c>
      <c r="F423" s="493">
        <v>188523.0</v>
      </c>
      <c r="G423" s="493">
        <v>30470.0</v>
      </c>
      <c r="H423" s="493">
        <v>16.16</v>
      </c>
      <c r="I423" s="493">
        <v>2.52</v>
      </c>
      <c r="J423" s="493">
        <v>1.73</v>
      </c>
      <c r="K423" s="493">
        <v>1675617.0</v>
      </c>
      <c r="L423" s="493">
        <v>6.6563747E7</v>
      </c>
      <c r="M423" s="493">
        <v>8.8881</v>
      </c>
      <c r="N423" s="6">
        <v>54.9924</v>
      </c>
    </row>
    <row r="424">
      <c r="A424" s="491" t="s">
        <v>2019</v>
      </c>
      <c r="B424" s="491" t="s">
        <v>163</v>
      </c>
      <c r="C424" s="491" t="s">
        <v>1872</v>
      </c>
      <c r="D424" s="491" t="s">
        <v>1872</v>
      </c>
      <c r="E424" s="492" t="s">
        <v>134</v>
      </c>
      <c r="F424" s="493">
        <v>188523.0</v>
      </c>
      <c r="G424" s="493">
        <v>16171.0</v>
      </c>
      <c r="H424" s="493">
        <v>8.58</v>
      </c>
      <c r="I424" s="493">
        <v>1.04</v>
      </c>
      <c r="J424" s="493">
        <v>0.99</v>
      </c>
      <c r="K424" s="493">
        <v>689430.0</v>
      </c>
      <c r="L424" s="493">
        <v>6.6563747E7</v>
      </c>
      <c r="M424" s="493">
        <v>3.657</v>
      </c>
      <c r="N424" s="6">
        <v>42.6337</v>
      </c>
    </row>
    <row r="425">
      <c r="A425" s="491" t="s">
        <v>2019</v>
      </c>
      <c r="B425" s="491" t="s">
        <v>163</v>
      </c>
      <c r="C425" s="491" t="s">
        <v>1872</v>
      </c>
      <c r="D425" s="491" t="s">
        <v>1872</v>
      </c>
      <c r="E425" s="492" t="s">
        <v>44</v>
      </c>
      <c r="F425" s="493">
        <v>188523.0</v>
      </c>
      <c r="G425" s="493">
        <v>27862.0</v>
      </c>
      <c r="H425" s="493">
        <v>14.78</v>
      </c>
      <c r="I425" s="493">
        <v>0.65</v>
      </c>
      <c r="J425" s="493">
        <v>0.65</v>
      </c>
      <c r="K425" s="493">
        <v>435495.0</v>
      </c>
      <c r="L425" s="493">
        <v>6.6563747E7</v>
      </c>
      <c r="M425" s="493">
        <v>2.31</v>
      </c>
      <c r="N425" s="6">
        <v>15.6304</v>
      </c>
    </row>
    <row r="426">
      <c r="A426" s="491" t="s">
        <v>2019</v>
      </c>
      <c r="B426" s="491" t="s">
        <v>163</v>
      </c>
      <c r="C426" s="491" t="s">
        <v>1872</v>
      </c>
      <c r="D426" s="491" t="s">
        <v>1872</v>
      </c>
      <c r="E426" s="492" t="s">
        <v>32</v>
      </c>
      <c r="F426" s="493">
        <v>188523.0</v>
      </c>
      <c r="G426" s="493">
        <v>3516.0</v>
      </c>
      <c r="H426" s="493">
        <v>1.87</v>
      </c>
      <c r="I426" s="493">
        <v>0.44</v>
      </c>
      <c r="J426" s="493">
        <v>0.4</v>
      </c>
      <c r="K426" s="493">
        <v>293080.0</v>
      </c>
      <c r="L426" s="493">
        <v>6.6563747E7</v>
      </c>
      <c r="M426" s="493">
        <v>1.5546</v>
      </c>
      <c r="N426" s="6">
        <v>83.3561</v>
      </c>
    </row>
    <row r="427">
      <c r="A427" s="491" t="s">
        <v>2019</v>
      </c>
      <c r="B427" s="491" t="s">
        <v>163</v>
      </c>
      <c r="C427" s="491" t="s">
        <v>1872</v>
      </c>
      <c r="D427" s="491" t="s">
        <v>1872</v>
      </c>
      <c r="E427" s="492" t="s">
        <v>312</v>
      </c>
      <c r="F427" s="493">
        <v>188523.0</v>
      </c>
      <c r="G427" s="493">
        <v>2764.0</v>
      </c>
      <c r="H427" s="493">
        <v>1.47</v>
      </c>
      <c r="I427" s="493">
        <v>0.4</v>
      </c>
      <c r="J427" s="493">
        <v>0.34</v>
      </c>
      <c r="K427" s="493">
        <v>263675.0</v>
      </c>
      <c r="L427" s="493">
        <v>6.6563747E7</v>
      </c>
      <c r="M427" s="493">
        <v>1.3986</v>
      </c>
      <c r="N427" s="6">
        <v>95.3962</v>
      </c>
    </row>
    <row r="428">
      <c r="A428" s="491" t="s">
        <v>2019</v>
      </c>
      <c r="B428" s="491" t="s">
        <v>163</v>
      </c>
      <c r="C428" s="491" t="s">
        <v>1872</v>
      </c>
      <c r="D428" s="491" t="s">
        <v>1872</v>
      </c>
      <c r="E428" s="492" t="s">
        <v>310</v>
      </c>
      <c r="F428" s="493">
        <v>188523.0</v>
      </c>
      <c r="G428" s="493">
        <v>2639.0</v>
      </c>
      <c r="H428" s="493">
        <v>1.4</v>
      </c>
      <c r="I428" s="493">
        <v>0.36</v>
      </c>
      <c r="J428" s="493">
        <v>0.35</v>
      </c>
      <c r="K428" s="493">
        <v>239175.0</v>
      </c>
      <c r="L428" s="493">
        <v>6.6563747E7</v>
      </c>
      <c r="M428" s="493">
        <v>1.2687</v>
      </c>
      <c r="N428" s="6">
        <v>90.6309</v>
      </c>
    </row>
    <row r="429">
      <c r="A429" s="491" t="s">
        <v>2019</v>
      </c>
      <c r="B429" s="491" t="s">
        <v>163</v>
      </c>
      <c r="C429" s="491" t="s">
        <v>1872</v>
      </c>
      <c r="D429" s="491" t="s">
        <v>1872</v>
      </c>
      <c r="E429" s="492" t="s">
        <v>369</v>
      </c>
      <c r="F429" s="493">
        <v>188523.0</v>
      </c>
      <c r="G429" s="493">
        <v>2736.0</v>
      </c>
      <c r="H429" s="493">
        <v>1.45</v>
      </c>
      <c r="I429" s="493">
        <v>0.13</v>
      </c>
      <c r="J429" s="493">
        <v>0.16</v>
      </c>
      <c r="K429" s="493">
        <v>83585.0</v>
      </c>
      <c r="L429" s="493">
        <v>6.6563747E7</v>
      </c>
      <c r="M429" s="493">
        <v>0.4434</v>
      </c>
      <c r="N429" s="6">
        <v>30.5501</v>
      </c>
    </row>
    <row r="430">
      <c r="A430" s="491" t="s">
        <v>2019</v>
      </c>
      <c r="B430" s="491" t="s">
        <v>163</v>
      </c>
      <c r="C430" s="491" t="s">
        <v>1872</v>
      </c>
      <c r="D430" s="491" t="s">
        <v>1872</v>
      </c>
      <c r="E430" s="492" t="s">
        <v>35</v>
      </c>
      <c r="F430" s="493">
        <v>188523.0</v>
      </c>
      <c r="G430" s="493">
        <v>2630.0</v>
      </c>
      <c r="H430" s="493">
        <v>1.4</v>
      </c>
      <c r="I430" s="493">
        <v>0.11</v>
      </c>
      <c r="J430" s="493">
        <v>0.08</v>
      </c>
      <c r="K430" s="493">
        <v>72720.0</v>
      </c>
      <c r="L430" s="493">
        <v>6.6563747E7</v>
      </c>
      <c r="M430" s="493">
        <v>0.3857</v>
      </c>
      <c r="N430" s="6">
        <v>27.6502</v>
      </c>
    </row>
    <row r="431">
      <c r="A431" s="491" t="s">
        <v>2019</v>
      </c>
      <c r="B431" s="491" t="s">
        <v>163</v>
      </c>
      <c r="C431" s="491" t="s">
        <v>1872</v>
      </c>
      <c r="D431" s="491" t="s">
        <v>1872</v>
      </c>
      <c r="E431" s="492" t="s">
        <v>311</v>
      </c>
      <c r="F431" s="493">
        <v>188523.0</v>
      </c>
      <c r="G431" s="493">
        <v>764.0</v>
      </c>
      <c r="H431" s="493">
        <v>0.41</v>
      </c>
      <c r="I431" s="493">
        <v>0.11</v>
      </c>
      <c r="J431" s="493">
        <v>0.14</v>
      </c>
      <c r="K431" s="493">
        <v>70100.0</v>
      </c>
      <c r="L431" s="493">
        <v>6.6563747E7</v>
      </c>
      <c r="M431" s="493">
        <v>0.3718</v>
      </c>
      <c r="N431" s="6">
        <v>91.7539</v>
      </c>
    </row>
    <row r="432">
      <c r="A432" s="491" t="s">
        <v>2019</v>
      </c>
      <c r="B432" s="491" t="s">
        <v>163</v>
      </c>
      <c r="C432" s="491" t="s">
        <v>1872</v>
      </c>
      <c r="D432" s="491" t="s">
        <v>1872</v>
      </c>
      <c r="E432" s="492" t="s">
        <v>43</v>
      </c>
      <c r="F432" s="493">
        <v>188523.0</v>
      </c>
      <c r="G432" s="493">
        <v>331.0</v>
      </c>
      <c r="H432" s="493">
        <v>0.18</v>
      </c>
      <c r="I432" s="493">
        <v>0.08</v>
      </c>
      <c r="J432" s="493">
        <v>0.06</v>
      </c>
      <c r="K432" s="493">
        <v>51000.0</v>
      </c>
      <c r="L432" s="493">
        <v>6.6563747E7</v>
      </c>
      <c r="M432" s="493">
        <v>0.2705</v>
      </c>
      <c r="N432" s="6">
        <v>154.0785</v>
      </c>
    </row>
    <row r="433">
      <c r="A433" s="491" t="s">
        <v>2019</v>
      </c>
      <c r="B433" s="491" t="s">
        <v>163</v>
      </c>
      <c r="C433" s="491" t="s">
        <v>1872</v>
      </c>
      <c r="D433" s="491" t="s">
        <v>1872</v>
      </c>
      <c r="E433" s="492" t="s">
        <v>189</v>
      </c>
      <c r="F433" s="493">
        <v>188523.0</v>
      </c>
      <c r="G433" s="493">
        <v>1510.0</v>
      </c>
      <c r="H433" s="493">
        <v>0.8</v>
      </c>
      <c r="I433" s="493">
        <v>0.06</v>
      </c>
      <c r="J433" s="493">
        <v>0.06</v>
      </c>
      <c r="K433" s="493">
        <v>39200.0</v>
      </c>
      <c r="L433" s="493">
        <v>6.6563747E7</v>
      </c>
      <c r="M433" s="493">
        <v>0.2079</v>
      </c>
      <c r="N433" s="6">
        <v>25.9603</v>
      </c>
    </row>
    <row r="434">
      <c r="A434" s="491" t="s">
        <v>2019</v>
      </c>
      <c r="B434" s="491" t="s">
        <v>163</v>
      </c>
      <c r="C434" s="491" t="s">
        <v>1872</v>
      </c>
      <c r="D434" s="491" t="s">
        <v>1872</v>
      </c>
      <c r="E434" s="492" t="s">
        <v>374</v>
      </c>
      <c r="F434" s="493">
        <v>188523.0</v>
      </c>
      <c r="G434" s="493">
        <v>1.0</v>
      </c>
      <c r="H434" s="493">
        <v>0.0</v>
      </c>
      <c r="I434" s="493">
        <v>0.0</v>
      </c>
      <c r="J434" s="493">
        <v>0.0</v>
      </c>
      <c r="K434" s="493">
        <v>20.0</v>
      </c>
      <c r="L434" s="493">
        <v>6.6563747E7</v>
      </c>
      <c r="M434" s="493">
        <v>1.0E-4</v>
      </c>
      <c r="N434" s="6">
        <v>20.0</v>
      </c>
    </row>
    <row r="435">
      <c r="A435" s="491" t="s">
        <v>2019</v>
      </c>
      <c r="B435" s="491" t="s">
        <v>163</v>
      </c>
      <c r="C435" s="491" t="s">
        <v>69</v>
      </c>
      <c r="D435" s="491" t="s">
        <v>565</v>
      </c>
      <c r="E435" s="492" t="s">
        <v>371</v>
      </c>
      <c r="F435" s="493">
        <v>161519.0</v>
      </c>
      <c r="G435" s="493">
        <v>99796.0</v>
      </c>
      <c r="H435" s="493">
        <v>61.79</v>
      </c>
      <c r="I435" s="493">
        <v>23.74</v>
      </c>
      <c r="J435" s="493">
        <v>23.12</v>
      </c>
      <c r="K435" s="493">
        <v>246603.0</v>
      </c>
      <c r="L435" s="493">
        <v>1038883.0</v>
      </c>
      <c r="M435" s="493">
        <v>1.5268</v>
      </c>
      <c r="N435" s="6">
        <v>2.4711</v>
      </c>
    </row>
    <row r="436">
      <c r="A436" s="491" t="s">
        <v>2019</v>
      </c>
      <c r="B436" s="491" t="s">
        <v>163</v>
      </c>
      <c r="C436" s="491" t="s">
        <v>69</v>
      </c>
      <c r="D436" s="491" t="s">
        <v>565</v>
      </c>
      <c r="E436" s="492" t="s">
        <v>372</v>
      </c>
      <c r="F436" s="493">
        <v>161519.0</v>
      </c>
      <c r="G436" s="493">
        <v>90146.0</v>
      </c>
      <c r="H436" s="493">
        <v>55.81</v>
      </c>
      <c r="I436" s="493">
        <v>22.06</v>
      </c>
      <c r="J436" s="493">
        <v>19.78</v>
      </c>
      <c r="K436" s="493">
        <v>229206.0</v>
      </c>
      <c r="L436" s="493">
        <v>1038883.0</v>
      </c>
      <c r="M436" s="493">
        <v>1.4191</v>
      </c>
      <c r="N436" s="6">
        <v>2.5426</v>
      </c>
    </row>
    <row r="437">
      <c r="A437" s="491" t="s">
        <v>2019</v>
      </c>
      <c r="B437" s="491" t="s">
        <v>163</v>
      </c>
      <c r="C437" s="491" t="s">
        <v>69</v>
      </c>
      <c r="D437" s="491" t="s">
        <v>565</v>
      </c>
      <c r="E437" s="492" t="s">
        <v>370</v>
      </c>
      <c r="F437" s="493">
        <v>161519.0</v>
      </c>
      <c r="G437" s="493">
        <v>103730.0</v>
      </c>
      <c r="H437" s="493">
        <v>64.22</v>
      </c>
      <c r="I437" s="493">
        <v>19.45</v>
      </c>
      <c r="J437" s="493">
        <v>27.22</v>
      </c>
      <c r="K437" s="493">
        <v>202011.0</v>
      </c>
      <c r="L437" s="493">
        <v>1038883.0</v>
      </c>
      <c r="M437" s="493">
        <v>1.2507</v>
      </c>
      <c r="N437" s="6">
        <v>1.9475</v>
      </c>
    </row>
    <row r="438">
      <c r="A438" s="491" t="s">
        <v>2019</v>
      </c>
      <c r="B438" s="491" t="s">
        <v>163</v>
      </c>
      <c r="C438" s="491" t="s">
        <v>69</v>
      </c>
      <c r="D438" s="491" t="s">
        <v>565</v>
      </c>
      <c r="E438" s="492" t="s">
        <v>44</v>
      </c>
      <c r="F438" s="493">
        <v>161519.0</v>
      </c>
      <c r="G438" s="493">
        <v>81416.0</v>
      </c>
      <c r="H438" s="493">
        <v>50.41</v>
      </c>
      <c r="I438" s="493">
        <v>15.05</v>
      </c>
      <c r="J438" s="493">
        <v>15.43</v>
      </c>
      <c r="K438" s="493">
        <v>156315.0</v>
      </c>
      <c r="L438" s="493">
        <v>1038883.0</v>
      </c>
      <c r="M438" s="493">
        <v>0.9678</v>
      </c>
      <c r="N438" s="6">
        <v>1.92</v>
      </c>
    </row>
    <row r="439">
      <c r="A439" s="491" t="s">
        <v>2019</v>
      </c>
      <c r="B439" s="491" t="s">
        <v>163</v>
      </c>
      <c r="C439" s="491" t="s">
        <v>69</v>
      </c>
      <c r="D439" s="491" t="s">
        <v>565</v>
      </c>
      <c r="E439" s="492" t="s">
        <v>368</v>
      </c>
      <c r="F439" s="493">
        <v>161519.0</v>
      </c>
      <c r="G439" s="493">
        <v>39005.0</v>
      </c>
      <c r="H439" s="493">
        <v>24.15</v>
      </c>
      <c r="I439" s="493">
        <v>13.35</v>
      </c>
      <c r="J439" s="493">
        <v>8.28</v>
      </c>
      <c r="K439" s="493">
        <v>138663.0</v>
      </c>
      <c r="L439" s="493">
        <v>1038883.0</v>
      </c>
      <c r="M439" s="493">
        <v>0.8585</v>
      </c>
      <c r="N439" s="6">
        <v>3.555</v>
      </c>
    </row>
    <row r="440">
      <c r="A440" s="491" t="s">
        <v>2019</v>
      </c>
      <c r="B440" s="491" t="s">
        <v>163</v>
      </c>
      <c r="C440" s="491" t="s">
        <v>69</v>
      </c>
      <c r="D440" s="491" t="s">
        <v>565</v>
      </c>
      <c r="E440" s="492" t="s">
        <v>49</v>
      </c>
      <c r="F440" s="493">
        <v>161519.0</v>
      </c>
      <c r="G440" s="493">
        <v>23780.0</v>
      </c>
      <c r="H440" s="493">
        <v>14.72</v>
      </c>
      <c r="I440" s="493">
        <v>3.18</v>
      </c>
      <c r="J440" s="493">
        <v>2.85</v>
      </c>
      <c r="K440" s="493">
        <v>33022.0</v>
      </c>
      <c r="L440" s="493">
        <v>1038883.0</v>
      </c>
      <c r="M440" s="493">
        <v>0.2044</v>
      </c>
      <c r="N440" s="6">
        <v>1.3886</v>
      </c>
    </row>
    <row r="441">
      <c r="A441" s="491" t="s">
        <v>2019</v>
      </c>
      <c r="B441" s="491" t="s">
        <v>163</v>
      </c>
      <c r="C441" s="491" t="s">
        <v>69</v>
      </c>
      <c r="D441" s="491" t="s">
        <v>565</v>
      </c>
      <c r="E441" s="492" t="s">
        <v>366</v>
      </c>
      <c r="F441" s="493">
        <v>161519.0</v>
      </c>
      <c r="G441" s="493">
        <v>12977.0</v>
      </c>
      <c r="H441" s="493">
        <v>8.03</v>
      </c>
      <c r="I441" s="493">
        <v>1.29</v>
      </c>
      <c r="J441" s="493">
        <v>1.47</v>
      </c>
      <c r="K441" s="493">
        <v>13438.0</v>
      </c>
      <c r="L441" s="493">
        <v>1038883.0</v>
      </c>
      <c r="M441" s="493">
        <v>0.0832</v>
      </c>
      <c r="N441" s="6">
        <v>1.0355</v>
      </c>
    </row>
    <row r="442">
      <c r="A442" s="491" t="s">
        <v>2019</v>
      </c>
      <c r="B442" s="491" t="s">
        <v>163</v>
      </c>
      <c r="C442" s="491" t="s">
        <v>69</v>
      </c>
      <c r="D442" s="491" t="s">
        <v>565</v>
      </c>
      <c r="E442" s="492" t="s">
        <v>42</v>
      </c>
      <c r="F442" s="493">
        <v>161519.0</v>
      </c>
      <c r="G442" s="493">
        <v>9596.0</v>
      </c>
      <c r="H442" s="493">
        <v>5.94</v>
      </c>
      <c r="I442" s="493">
        <v>1.19</v>
      </c>
      <c r="J442" s="493">
        <v>1.22</v>
      </c>
      <c r="K442" s="493">
        <v>12395.0</v>
      </c>
      <c r="L442" s="493">
        <v>1038883.0</v>
      </c>
      <c r="M442" s="493">
        <v>0.0767</v>
      </c>
      <c r="N442" s="6">
        <v>1.2917</v>
      </c>
    </row>
    <row r="443">
      <c r="A443" s="491" t="s">
        <v>2019</v>
      </c>
      <c r="B443" s="491" t="s">
        <v>163</v>
      </c>
      <c r="C443" s="491" t="s">
        <v>69</v>
      </c>
      <c r="D443" s="491" t="s">
        <v>565</v>
      </c>
      <c r="E443" s="492" t="s">
        <v>50</v>
      </c>
      <c r="F443" s="493">
        <v>161519.0</v>
      </c>
      <c r="G443" s="493">
        <v>2785.0</v>
      </c>
      <c r="H443" s="493">
        <v>1.72</v>
      </c>
      <c r="I443" s="493">
        <v>0.29</v>
      </c>
      <c r="J443" s="493">
        <v>0.19</v>
      </c>
      <c r="K443" s="493">
        <v>2978.0</v>
      </c>
      <c r="L443" s="493">
        <v>1038883.0</v>
      </c>
      <c r="M443" s="493">
        <v>0.0184</v>
      </c>
      <c r="N443" s="6">
        <v>1.0693</v>
      </c>
    </row>
    <row r="444">
      <c r="A444" s="491" t="s">
        <v>2019</v>
      </c>
      <c r="B444" s="491" t="s">
        <v>163</v>
      </c>
      <c r="C444" s="491" t="s">
        <v>69</v>
      </c>
      <c r="D444" s="491" t="s">
        <v>565</v>
      </c>
      <c r="E444" s="492" t="s">
        <v>134</v>
      </c>
      <c r="F444" s="493">
        <v>161519.0</v>
      </c>
      <c r="G444" s="493">
        <v>1858.0</v>
      </c>
      <c r="H444" s="493">
        <v>1.15</v>
      </c>
      <c r="I444" s="493">
        <v>0.22</v>
      </c>
      <c r="J444" s="493">
        <v>0.14</v>
      </c>
      <c r="K444" s="493">
        <v>2301.0</v>
      </c>
      <c r="L444" s="493">
        <v>1038883.0</v>
      </c>
      <c r="M444" s="493">
        <v>0.0142</v>
      </c>
      <c r="N444" s="6">
        <v>1.2384</v>
      </c>
    </row>
    <row r="445">
      <c r="A445" s="491" t="s">
        <v>2019</v>
      </c>
      <c r="B445" s="491" t="s">
        <v>163</v>
      </c>
      <c r="C445" s="491" t="s">
        <v>69</v>
      </c>
      <c r="D445" s="491" t="s">
        <v>565</v>
      </c>
      <c r="E445" s="492" t="s">
        <v>43</v>
      </c>
      <c r="F445" s="493">
        <v>161519.0</v>
      </c>
      <c r="G445" s="493">
        <v>922.0</v>
      </c>
      <c r="H445" s="493">
        <v>0.57</v>
      </c>
      <c r="I445" s="493">
        <v>0.09</v>
      </c>
      <c r="J445" s="493">
        <v>0.11</v>
      </c>
      <c r="K445" s="493">
        <v>958.0</v>
      </c>
      <c r="L445" s="493">
        <v>1038883.0</v>
      </c>
      <c r="M445" s="493">
        <v>0.0059</v>
      </c>
      <c r="N445" s="6">
        <v>1.039</v>
      </c>
    </row>
    <row r="446">
      <c r="A446" s="491" t="s">
        <v>2019</v>
      </c>
      <c r="B446" s="491" t="s">
        <v>163</v>
      </c>
      <c r="C446" s="491" t="s">
        <v>69</v>
      </c>
      <c r="D446" s="491" t="s">
        <v>565</v>
      </c>
      <c r="E446" s="492" t="s">
        <v>369</v>
      </c>
      <c r="F446" s="493">
        <v>161519.0</v>
      </c>
      <c r="G446" s="493">
        <v>515.0</v>
      </c>
      <c r="H446" s="493">
        <v>0.32</v>
      </c>
      <c r="I446" s="493">
        <v>0.06</v>
      </c>
      <c r="J446" s="493">
        <v>0.11</v>
      </c>
      <c r="K446" s="493">
        <v>590.0</v>
      </c>
      <c r="L446" s="493">
        <v>1038883.0</v>
      </c>
      <c r="M446" s="493">
        <v>0.0037</v>
      </c>
      <c r="N446" s="6">
        <v>1.1456</v>
      </c>
    </row>
    <row r="447">
      <c r="A447" s="491" t="s">
        <v>2019</v>
      </c>
      <c r="B447" s="491" t="s">
        <v>163</v>
      </c>
      <c r="C447" s="491" t="s">
        <v>69</v>
      </c>
      <c r="D447" s="491" t="s">
        <v>565</v>
      </c>
      <c r="E447" s="492" t="s">
        <v>32</v>
      </c>
      <c r="F447" s="493">
        <v>161519.0</v>
      </c>
      <c r="G447" s="493">
        <v>88.0</v>
      </c>
      <c r="H447" s="493">
        <v>0.05</v>
      </c>
      <c r="I447" s="493">
        <v>0.01</v>
      </c>
      <c r="J447" s="493">
        <v>0.03</v>
      </c>
      <c r="K447" s="493">
        <v>104.0</v>
      </c>
      <c r="L447" s="493">
        <v>1038883.0</v>
      </c>
      <c r="M447" s="493">
        <v>6.0E-4</v>
      </c>
      <c r="N447" s="6">
        <v>1.1818</v>
      </c>
    </row>
    <row r="448">
      <c r="A448" s="491" t="s">
        <v>2019</v>
      </c>
      <c r="B448" s="491" t="s">
        <v>163</v>
      </c>
      <c r="C448" s="491" t="s">
        <v>69</v>
      </c>
      <c r="D448" s="491" t="s">
        <v>565</v>
      </c>
      <c r="E448" s="492" t="s">
        <v>35</v>
      </c>
      <c r="F448" s="493">
        <v>161519.0</v>
      </c>
      <c r="G448" s="493">
        <v>147.0</v>
      </c>
      <c r="H448" s="493">
        <v>0.09</v>
      </c>
      <c r="I448" s="493">
        <v>0.01</v>
      </c>
      <c r="J448" s="493">
        <v>0.02</v>
      </c>
      <c r="K448" s="493">
        <v>150.0</v>
      </c>
      <c r="L448" s="493">
        <v>1038883.0</v>
      </c>
      <c r="M448" s="493">
        <v>9.0E-4</v>
      </c>
      <c r="N448" s="6">
        <v>1.0204</v>
      </c>
    </row>
    <row r="449">
      <c r="A449" s="491" t="s">
        <v>2019</v>
      </c>
      <c r="B449" s="491" t="s">
        <v>163</v>
      </c>
      <c r="C449" s="491" t="s">
        <v>69</v>
      </c>
      <c r="D449" s="491" t="s">
        <v>565</v>
      </c>
      <c r="E449" s="492" t="s">
        <v>189</v>
      </c>
      <c r="F449" s="493">
        <v>161519.0</v>
      </c>
      <c r="G449" s="493">
        <v>121.0</v>
      </c>
      <c r="H449" s="493">
        <v>0.07</v>
      </c>
      <c r="I449" s="493">
        <v>0.01</v>
      </c>
      <c r="J449" s="493">
        <v>0.02</v>
      </c>
      <c r="K449" s="493">
        <v>127.0</v>
      </c>
      <c r="L449" s="493">
        <v>1038883.0</v>
      </c>
      <c r="M449" s="493">
        <v>8.0E-4</v>
      </c>
      <c r="N449" s="6">
        <v>1.0496</v>
      </c>
    </row>
    <row r="450">
      <c r="A450" s="491" t="s">
        <v>2019</v>
      </c>
      <c r="B450" s="491" t="s">
        <v>163</v>
      </c>
      <c r="C450" s="491" t="s">
        <v>69</v>
      </c>
      <c r="D450" s="491" t="s">
        <v>565</v>
      </c>
      <c r="E450" s="492" t="s">
        <v>311</v>
      </c>
      <c r="F450" s="493">
        <v>161519.0</v>
      </c>
      <c r="G450" s="493">
        <v>4.0</v>
      </c>
      <c r="H450" s="493">
        <v>0.0</v>
      </c>
      <c r="I450" s="493">
        <v>0.0</v>
      </c>
      <c r="J450" s="493">
        <v>0.0</v>
      </c>
      <c r="K450" s="493">
        <v>4.0</v>
      </c>
      <c r="L450" s="493">
        <v>1038883.0</v>
      </c>
      <c r="M450" s="493">
        <v>0.0</v>
      </c>
      <c r="N450" s="6">
        <v>1.0</v>
      </c>
    </row>
    <row r="451">
      <c r="A451" s="491" t="s">
        <v>2019</v>
      </c>
      <c r="B451" s="491" t="s">
        <v>163</v>
      </c>
      <c r="C451" s="491" t="s">
        <v>69</v>
      </c>
      <c r="D451" s="491" t="s">
        <v>565</v>
      </c>
      <c r="E451" s="492" t="s">
        <v>312</v>
      </c>
      <c r="F451" s="493">
        <v>161519.0</v>
      </c>
      <c r="G451" s="493">
        <v>4.0</v>
      </c>
      <c r="H451" s="493">
        <v>0.0</v>
      </c>
      <c r="I451" s="493">
        <v>0.0</v>
      </c>
      <c r="J451" s="493">
        <v>0.0</v>
      </c>
      <c r="K451" s="493">
        <v>4.0</v>
      </c>
      <c r="L451" s="493">
        <v>1038883.0</v>
      </c>
      <c r="M451" s="493">
        <v>0.0</v>
      </c>
      <c r="N451" s="6">
        <v>1.0</v>
      </c>
    </row>
    <row r="452">
      <c r="A452" s="491" t="s">
        <v>2019</v>
      </c>
      <c r="B452" s="491" t="s">
        <v>163</v>
      </c>
      <c r="C452" s="491" t="s">
        <v>69</v>
      </c>
      <c r="D452" s="491" t="s">
        <v>565</v>
      </c>
      <c r="E452" s="492" t="s">
        <v>310</v>
      </c>
      <c r="F452" s="493">
        <v>161519.0</v>
      </c>
      <c r="G452" s="493">
        <v>7.0</v>
      </c>
      <c r="H452" s="493">
        <v>0.0</v>
      </c>
      <c r="I452" s="493">
        <v>0.0</v>
      </c>
      <c r="J452" s="493">
        <v>0.0</v>
      </c>
      <c r="K452" s="493">
        <v>10.0</v>
      </c>
      <c r="L452" s="493">
        <v>1038883.0</v>
      </c>
      <c r="M452" s="493">
        <v>1.0E-4</v>
      </c>
      <c r="N452" s="6">
        <v>1.4286</v>
      </c>
    </row>
    <row r="453">
      <c r="A453" s="491" t="s">
        <v>2019</v>
      </c>
      <c r="B453" s="491" t="s">
        <v>163</v>
      </c>
      <c r="C453" s="491" t="s">
        <v>69</v>
      </c>
      <c r="D453" s="491" t="s">
        <v>565</v>
      </c>
      <c r="E453" s="492" t="s">
        <v>46</v>
      </c>
      <c r="F453" s="493">
        <v>161519.0</v>
      </c>
      <c r="G453" s="493">
        <v>2.0</v>
      </c>
      <c r="H453" s="493">
        <v>0.0</v>
      </c>
      <c r="I453" s="493">
        <v>0.0</v>
      </c>
      <c r="J453" s="493">
        <v>0.0</v>
      </c>
      <c r="K453" s="493">
        <v>2.0</v>
      </c>
      <c r="L453" s="493">
        <v>1038883.0</v>
      </c>
      <c r="M453" s="493">
        <v>0.0</v>
      </c>
      <c r="N453" s="6">
        <v>1.0</v>
      </c>
    </row>
    <row r="454">
      <c r="A454" s="491" t="s">
        <v>2019</v>
      </c>
      <c r="B454" s="491" t="s">
        <v>163</v>
      </c>
      <c r="C454" s="491" t="s">
        <v>69</v>
      </c>
      <c r="D454" s="491" t="s">
        <v>565</v>
      </c>
      <c r="E454" s="492" t="s">
        <v>374</v>
      </c>
      <c r="F454" s="493">
        <v>161519.0</v>
      </c>
      <c r="G454" s="493">
        <v>1.0</v>
      </c>
      <c r="H454" s="493">
        <v>0.0</v>
      </c>
      <c r="I454" s="493">
        <v>0.0</v>
      </c>
      <c r="J454" s="493">
        <v>0.0</v>
      </c>
      <c r="K454" s="493">
        <v>2.0</v>
      </c>
      <c r="L454" s="493">
        <v>1038883.0</v>
      </c>
      <c r="M454" s="493">
        <v>0.0</v>
      </c>
      <c r="N454" s="6">
        <v>2.0</v>
      </c>
    </row>
    <row r="455">
      <c r="A455" s="491" t="s">
        <v>2019</v>
      </c>
      <c r="B455" s="491" t="s">
        <v>163</v>
      </c>
      <c r="C455" s="491" t="s">
        <v>73</v>
      </c>
      <c r="D455" s="491" t="s">
        <v>565</v>
      </c>
      <c r="E455" s="492" t="s">
        <v>371</v>
      </c>
      <c r="F455" s="493">
        <v>130141.0</v>
      </c>
      <c r="G455" s="493">
        <v>83508.0</v>
      </c>
      <c r="H455" s="493">
        <v>64.17</v>
      </c>
      <c r="I455" s="493">
        <v>21.71</v>
      </c>
      <c r="J455" s="493">
        <v>25.96</v>
      </c>
      <c r="K455" s="493">
        <v>141130.0</v>
      </c>
      <c r="L455" s="493">
        <v>650181.0</v>
      </c>
      <c r="M455" s="493">
        <v>1.0844</v>
      </c>
      <c r="N455" s="6">
        <v>1.69</v>
      </c>
    </row>
    <row r="456">
      <c r="A456" s="491" t="s">
        <v>2019</v>
      </c>
      <c r="B456" s="491" t="s">
        <v>163</v>
      </c>
      <c r="C456" s="491" t="s">
        <v>73</v>
      </c>
      <c r="D456" s="491" t="s">
        <v>565</v>
      </c>
      <c r="E456" s="492" t="s">
        <v>367</v>
      </c>
      <c r="F456" s="493">
        <v>130141.0</v>
      </c>
      <c r="G456" s="493">
        <v>66272.0</v>
      </c>
      <c r="H456" s="493">
        <v>50.92</v>
      </c>
      <c r="I456" s="493">
        <v>21.12</v>
      </c>
      <c r="J456" s="493">
        <v>18.5</v>
      </c>
      <c r="K456" s="493">
        <v>137346.0</v>
      </c>
      <c r="L456" s="493">
        <v>650181.0</v>
      </c>
      <c r="M456" s="493">
        <v>1.0554</v>
      </c>
      <c r="N456" s="6">
        <v>2.0725</v>
      </c>
    </row>
    <row r="457">
      <c r="A457" s="491" t="s">
        <v>2019</v>
      </c>
      <c r="B457" s="491" t="s">
        <v>163</v>
      </c>
      <c r="C457" s="491" t="s">
        <v>73</v>
      </c>
      <c r="D457" s="491" t="s">
        <v>565</v>
      </c>
      <c r="E457" s="492" t="s">
        <v>365</v>
      </c>
      <c r="F457" s="493">
        <v>130141.0</v>
      </c>
      <c r="G457" s="493">
        <v>27086.0</v>
      </c>
      <c r="H457" s="493">
        <v>20.81</v>
      </c>
      <c r="I457" s="493">
        <v>12.37</v>
      </c>
      <c r="J457" s="493">
        <v>7.63</v>
      </c>
      <c r="K457" s="493">
        <v>80405.0</v>
      </c>
      <c r="L457" s="493">
        <v>650181.0</v>
      </c>
      <c r="M457" s="493">
        <v>0.6178</v>
      </c>
      <c r="N457" s="6">
        <v>2.9685</v>
      </c>
    </row>
    <row r="458">
      <c r="A458" s="491" t="s">
        <v>2019</v>
      </c>
      <c r="B458" s="491" t="s">
        <v>163</v>
      </c>
      <c r="C458" s="491" t="s">
        <v>73</v>
      </c>
      <c r="D458" s="491" t="s">
        <v>565</v>
      </c>
      <c r="E458" s="492" t="s">
        <v>42</v>
      </c>
      <c r="F458" s="493">
        <v>130141.0</v>
      </c>
      <c r="G458" s="493">
        <v>40047.0</v>
      </c>
      <c r="H458" s="493">
        <v>30.77</v>
      </c>
      <c r="I458" s="493">
        <v>10.78</v>
      </c>
      <c r="J458" s="493">
        <v>11.71</v>
      </c>
      <c r="K458" s="493">
        <v>70084.0</v>
      </c>
      <c r="L458" s="493">
        <v>650181.0</v>
      </c>
      <c r="M458" s="493">
        <v>0.5385</v>
      </c>
      <c r="N458" s="6">
        <v>1.75</v>
      </c>
    </row>
    <row r="459">
      <c r="A459" s="491" t="s">
        <v>2019</v>
      </c>
      <c r="B459" s="491" t="s">
        <v>163</v>
      </c>
      <c r="C459" s="491" t="s">
        <v>73</v>
      </c>
      <c r="D459" s="491" t="s">
        <v>565</v>
      </c>
      <c r="E459" s="492" t="s">
        <v>372</v>
      </c>
      <c r="F459" s="493">
        <v>130141.0</v>
      </c>
      <c r="G459" s="493">
        <v>43517.0</v>
      </c>
      <c r="H459" s="493">
        <v>33.44</v>
      </c>
      <c r="I459" s="493">
        <v>9.07</v>
      </c>
      <c r="J459" s="493">
        <v>8.63</v>
      </c>
      <c r="K459" s="493">
        <v>58999.0</v>
      </c>
      <c r="L459" s="493">
        <v>650181.0</v>
      </c>
      <c r="M459" s="493">
        <v>0.4533</v>
      </c>
      <c r="N459" s="6">
        <v>1.3558</v>
      </c>
    </row>
    <row r="460">
      <c r="A460" s="491" t="s">
        <v>2019</v>
      </c>
      <c r="B460" s="491" t="s">
        <v>163</v>
      </c>
      <c r="C460" s="491" t="s">
        <v>73</v>
      </c>
      <c r="D460" s="491" t="s">
        <v>565</v>
      </c>
      <c r="E460" s="492" t="s">
        <v>366</v>
      </c>
      <c r="F460" s="493">
        <v>130141.0</v>
      </c>
      <c r="G460" s="493">
        <v>38775.0</v>
      </c>
      <c r="H460" s="493">
        <v>29.79</v>
      </c>
      <c r="I460" s="493">
        <v>6.5</v>
      </c>
      <c r="J460" s="493">
        <v>8.79</v>
      </c>
      <c r="K460" s="493">
        <v>42246.0</v>
      </c>
      <c r="L460" s="493">
        <v>650181.0</v>
      </c>
      <c r="M460" s="493">
        <v>0.3246</v>
      </c>
      <c r="N460" s="6">
        <v>1.0895</v>
      </c>
    </row>
    <row r="461">
      <c r="A461" s="491" t="s">
        <v>2019</v>
      </c>
      <c r="B461" s="491" t="s">
        <v>163</v>
      </c>
      <c r="C461" s="491" t="s">
        <v>73</v>
      </c>
      <c r="D461" s="491" t="s">
        <v>565</v>
      </c>
      <c r="E461" s="492" t="s">
        <v>40</v>
      </c>
      <c r="F461" s="493">
        <v>130141.0</v>
      </c>
      <c r="G461" s="493">
        <v>8845.0</v>
      </c>
      <c r="H461" s="493">
        <v>6.8</v>
      </c>
      <c r="I461" s="493">
        <v>5.27</v>
      </c>
      <c r="J461" s="493">
        <v>3.27</v>
      </c>
      <c r="K461" s="493">
        <v>34258.0</v>
      </c>
      <c r="L461" s="493">
        <v>650181.0</v>
      </c>
      <c r="M461" s="493">
        <v>0.2632</v>
      </c>
      <c r="N461" s="6">
        <v>3.8731</v>
      </c>
    </row>
    <row r="462">
      <c r="A462" s="491" t="s">
        <v>2019</v>
      </c>
      <c r="B462" s="491" t="s">
        <v>163</v>
      </c>
      <c r="C462" s="491" t="s">
        <v>73</v>
      </c>
      <c r="D462" s="491" t="s">
        <v>565</v>
      </c>
      <c r="E462" s="492" t="s">
        <v>370</v>
      </c>
      <c r="F462" s="493">
        <v>130141.0</v>
      </c>
      <c r="G462" s="493">
        <v>15181.0</v>
      </c>
      <c r="H462" s="493">
        <v>11.67</v>
      </c>
      <c r="I462" s="493">
        <v>3.12</v>
      </c>
      <c r="J462" s="493">
        <v>3.52</v>
      </c>
      <c r="K462" s="493">
        <v>20262.0</v>
      </c>
      <c r="L462" s="493">
        <v>650181.0</v>
      </c>
      <c r="M462" s="493">
        <v>0.1557</v>
      </c>
      <c r="N462" s="6">
        <v>1.3347</v>
      </c>
    </row>
    <row r="463">
      <c r="A463" s="491" t="s">
        <v>2019</v>
      </c>
      <c r="B463" s="491" t="s">
        <v>163</v>
      </c>
      <c r="C463" s="491" t="s">
        <v>73</v>
      </c>
      <c r="D463" s="491" t="s">
        <v>565</v>
      </c>
      <c r="E463" s="492" t="s">
        <v>134</v>
      </c>
      <c r="F463" s="493">
        <v>130141.0</v>
      </c>
      <c r="G463" s="493">
        <v>11558.0</v>
      </c>
      <c r="H463" s="493">
        <v>8.88</v>
      </c>
      <c r="I463" s="493">
        <v>2.56</v>
      </c>
      <c r="J463" s="493">
        <v>2.89</v>
      </c>
      <c r="K463" s="493">
        <v>16615.0</v>
      </c>
      <c r="L463" s="493">
        <v>650181.0</v>
      </c>
      <c r="M463" s="493">
        <v>0.1277</v>
      </c>
      <c r="N463" s="6">
        <v>1.4375</v>
      </c>
    </row>
    <row r="464">
      <c r="A464" s="491" t="s">
        <v>2019</v>
      </c>
      <c r="B464" s="491" t="s">
        <v>163</v>
      </c>
      <c r="C464" s="491" t="s">
        <v>73</v>
      </c>
      <c r="D464" s="491" t="s">
        <v>565</v>
      </c>
      <c r="E464" s="492" t="s">
        <v>50</v>
      </c>
      <c r="F464" s="493">
        <v>130141.0</v>
      </c>
      <c r="G464" s="493">
        <v>11474.0</v>
      </c>
      <c r="H464" s="493">
        <v>8.82</v>
      </c>
      <c r="I464" s="493">
        <v>2.06</v>
      </c>
      <c r="J464" s="493">
        <v>1.98</v>
      </c>
      <c r="K464" s="493">
        <v>13365.0</v>
      </c>
      <c r="L464" s="493">
        <v>650181.0</v>
      </c>
      <c r="M464" s="493">
        <v>0.1027</v>
      </c>
      <c r="N464" s="6">
        <v>1.1648</v>
      </c>
    </row>
    <row r="465">
      <c r="A465" s="491" t="s">
        <v>2019</v>
      </c>
      <c r="B465" s="491" t="s">
        <v>163</v>
      </c>
      <c r="C465" s="491" t="s">
        <v>73</v>
      </c>
      <c r="D465" s="491" t="s">
        <v>565</v>
      </c>
      <c r="E465" s="492" t="s">
        <v>32</v>
      </c>
      <c r="F465" s="493">
        <v>130141.0</v>
      </c>
      <c r="G465" s="493">
        <v>10344.0</v>
      </c>
      <c r="H465" s="493">
        <v>7.95</v>
      </c>
      <c r="I465" s="493">
        <v>1.72</v>
      </c>
      <c r="J465" s="493">
        <v>2.21</v>
      </c>
      <c r="K465" s="493">
        <v>11170.0</v>
      </c>
      <c r="L465" s="493">
        <v>650181.0</v>
      </c>
      <c r="M465" s="493">
        <v>0.0858</v>
      </c>
      <c r="N465" s="6">
        <v>1.0799</v>
      </c>
    </row>
    <row r="466">
      <c r="A466" s="491" t="s">
        <v>2019</v>
      </c>
      <c r="B466" s="491" t="s">
        <v>163</v>
      </c>
      <c r="C466" s="491" t="s">
        <v>73</v>
      </c>
      <c r="D466" s="491" t="s">
        <v>565</v>
      </c>
      <c r="E466" s="492" t="s">
        <v>312</v>
      </c>
      <c r="F466" s="493">
        <v>130141.0</v>
      </c>
      <c r="G466" s="493">
        <v>7275.0</v>
      </c>
      <c r="H466" s="493">
        <v>5.59</v>
      </c>
      <c r="I466" s="493">
        <v>1.25</v>
      </c>
      <c r="J466" s="493">
        <v>1.65</v>
      </c>
      <c r="K466" s="493">
        <v>8146.0</v>
      </c>
      <c r="L466" s="493">
        <v>650181.0</v>
      </c>
      <c r="M466" s="493">
        <v>0.0626</v>
      </c>
      <c r="N466" s="6">
        <v>1.1197</v>
      </c>
    </row>
    <row r="467">
      <c r="A467" s="491" t="s">
        <v>2019</v>
      </c>
      <c r="B467" s="491" t="s">
        <v>163</v>
      </c>
      <c r="C467" s="491" t="s">
        <v>73</v>
      </c>
      <c r="D467" s="491" t="s">
        <v>565</v>
      </c>
      <c r="E467" s="492" t="s">
        <v>310</v>
      </c>
      <c r="F467" s="493">
        <v>130141.0</v>
      </c>
      <c r="G467" s="493">
        <v>7418.0</v>
      </c>
      <c r="H467" s="493">
        <v>5.7</v>
      </c>
      <c r="I467" s="493">
        <v>1.23</v>
      </c>
      <c r="J467" s="493">
        <v>1.67</v>
      </c>
      <c r="K467" s="493">
        <v>7984.0</v>
      </c>
      <c r="L467" s="493">
        <v>650181.0</v>
      </c>
      <c r="M467" s="493">
        <v>0.0613</v>
      </c>
      <c r="N467" s="6">
        <v>1.0763</v>
      </c>
    </row>
    <row r="468">
      <c r="A468" s="491" t="s">
        <v>2019</v>
      </c>
      <c r="B468" s="491" t="s">
        <v>163</v>
      </c>
      <c r="C468" s="491" t="s">
        <v>73</v>
      </c>
      <c r="D468" s="491" t="s">
        <v>565</v>
      </c>
      <c r="E468" s="492" t="s">
        <v>44</v>
      </c>
      <c r="F468" s="493">
        <v>130141.0</v>
      </c>
      <c r="G468" s="493">
        <v>5073.0</v>
      </c>
      <c r="H468" s="493">
        <v>3.9</v>
      </c>
      <c r="I468" s="493">
        <v>0.89</v>
      </c>
      <c r="J468" s="493">
        <v>0.92</v>
      </c>
      <c r="K468" s="493">
        <v>5791.0</v>
      </c>
      <c r="L468" s="493">
        <v>650181.0</v>
      </c>
      <c r="M468" s="493">
        <v>0.0445</v>
      </c>
      <c r="N468" s="6">
        <v>1.1415</v>
      </c>
    </row>
    <row r="469">
      <c r="A469" s="491" t="s">
        <v>2019</v>
      </c>
      <c r="B469" s="491" t="s">
        <v>163</v>
      </c>
      <c r="C469" s="491" t="s">
        <v>73</v>
      </c>
      <c r="D469" s="491" t="s">
        <v>565</v>
      </c>
      <c r="E469" s="492" t="s">
        <v>311</v>
      </c>
      <c r="F469" s="493">
        <v>130141.0</v>
      </c>
      <c r="G469" s="493">
        <v>1931.0</v>
      </c>
      <c r="H469" s="493">
        <v>1.48</v>
      </c>
      <c r="I469" s="493">
        <v>0.31</v>
      </c>
      <c r="J469" s="493">
        <v>0.57</v>
      </c>
      <c r="K469" s="493">
        <v>1999.0</v>
      </c>
      <c r="L469" s="493">
        <v>650181.0</v>
      </c>
      <c r="M469" s="493">
        <v>0.0154</v>
      </c>
      <c r="N469" s="6">
        <v>1.0352</v>
      </c>
    </row>
    <row r="470">
      <c r="A470" s="491" t="s">
        <v>2019</v>
      </c>
      <c r="B470" s="491" t="s">
        <v>163</v>
      </c>
      <c r="C470" s="491" t="s">
        <v>73</v>
      </c>
      <c r="D470" s="491" t="s">
        <v>565</v>
      </c>
      <c r="E470" s="492" t="s">
        <v>43</v>
      </c>
      <c r="F470" s="493">
        <v>130141.0</v>
      </c>
      <c r="G470" s="493">
        <v>327.0</v>
      </c>
      <c r="H470" s="493">
        <v>0.25</v>
      </c>
      <c r="I470" s="493">
        <v>0.05</v>
      </c>
      <c r="J470" s="493">
        <v>0.09</v>
      </c>
      <c r="K470" s="493">
        <v>341.0</v>
      </c>
      <c r="L470" s="493">
        <v>650181.0</v>
      </c>
      <c r="M470" s="493">
        <v>0.0026</v>
      </c>
      <c r="N470" s="6">
        <v>1.0428</v>
      </c>
    </row>
    <row r="471">
      <c r="A471" s="491" t="s">
        <v>2019</v>
      </c>
      <c r="B471" s="491" t="s">
        <v>163</v>
      </c>
      <c r="C471" s="491" t="s">
        <v>73</v>
      </c>
      <c r="D471" s="491" t="s">
        <v>565</v>
      </c>
      <c r="E471" s="492" t="s">
        <v>46</v>
      </c>
      <c r="F471" s="493">
        <v>130141.0</v>
      </c>
      <c r="G471" s="493">
        <v>1.0</v>
      </c>
      <c r="H471" s="493">
        <v>0.0</v>
      </c>
      <c r="I471" s="493">
        <v>0.0</v>
      </c>
      <c r="J471" s="493">
        <v>0.0</v>
      </c>
      <c r="K471" s="493">
        <v>1.0</v>
      </c>
      <c r="L471" s="493">
        <v>650181.0</v>
      </c>
      <c r="M471" s="493">
        <v>0.0</v>
      </c>
      <c r="N471" s="6">
        <v>1.0</v>
      </c>
    </row>
    <row r="472">
      <c r="A472" s="491" t="s">
        <v>2019</v>
      </c>
      <c r="B472" s="491" t="s">
        <v>163</v>
      </c>
      <c r="C472" s="491" t="s">
        <v>73</v>
      </c>
      <c r="D472" s="491" t="s">
        <v>565</v>
      </c>
      <c r="E472" s="492" t="s">
        <v>35</v>
      </c>
      <c r="F472" s="493">
        <v>130141.0</v>
      </c>
      <c r="G472" s="493">
        <v>5.0</v>
      </c>
      <c r="H472" s="493">
        <v>0.0</v>
      </c>
      <c r="I472" s="493">
        <v>0.0</v>
      </c>
      <c r="J472" s="493">
        <v>0.0</v>
      </c>
      <c r="K472" s="493">
        <v>5.0</v>
      </c>
      <c r="L472" s="493">
        <v>650181.0</v>
      </c>
      <c r="M472" s="493">
        <v>0.0</v>
      </c>
      <c r="N472" s="6">
        <v>1.0</v>
      </c>
    </row>
    <row r="473">
      <c r="A473" s="491" t="s">
        <v>2019</v>
      </c>
      <c r="B473" s="491" t="s">
        <v>163</v>
      </c>
      <c r="C473" s="491" t="s">
        <v>73</v>
      </c>
      <c r="D473" s="491" t="s">
        <v>565</v>
      </c>
      <c r="E473" s="492" t="s">
        <v>368</v>
      </c>
      <c r="F473" s="493">
        <v>130141.0</v>
      </c>
      <c r="G473" s="493">
        <v>13.0</v>
      </c>
      <c r="H473" s="493">
        <v>0.01</v>
      </c>
      <c r="I473" s="493">
        <v>0.0</v>
      </c>
      <c r="J473" s="493">
        <v>0.01</v>
      </c>
      <c r="K473" s="493">
        <v>29.0</v>
      </c>
      <c r="L473" s="493">
        <v>650181.0</v>
      </c>
      <c r="M473" s="493">
        <v>2.0E-4</v>
      </c>
      <c r="N473" s="6">
        <v>2.2308</v>
      </c>
    </row>
    <row r="474">
      <c r="A474" s="491" t="s">
        <v>2019</v>
      </c>
      <c r="B474" s="491" t="s">
        <v>163</v>
      </c>
      <c r="C474" s="491" t="s">
        <v>73</v>
      </c>
      <c r="D474" s="491" t="s">
        <v>565</v>
      </c>
      <c r="E474" s="492" t="s">
        <v>369</v>
      </c>
      <c r="F474" s="493">
        <v>130141.0</v>
      </c>
      <c r="G474" s="493">
        <v>1.0</v>
      </c>
      <c r="H474" s="493">
        <v>0.0</v>
      </c>
      <c r="I474" s="493">
        <v>0.0</v>
      </c>
      <c r="J474" s="493">
        <v>0.0</v>
      </c>
      <c r="K474" s="493">
        <v>1.0</v>
      </c>
      <c r="L474" s="493">
        <v>650181.0</v>
      </c>
      <c r="M474" s="493">
        <v>0.0</v>
      </c>
      <c r="N474" s="6">
        <v>1.0</v>
      </c>
    </row>
    <row r="475">
      <c r="A475" s="491" t="s">
        <v>2019</v>
      </c>
      <c r="B475" s="491" t="s">
        <v>163</v>
      </c>
      <c r="C475" s="491" t="s">
        <v>73</v>
      </c>
      <c r="D475" s="491" t="s">
        <v>565</v>
      </c>
      <c r="E475" s="492" t="s">
        <v>189</v>
      </c>
      <c r="F475" s="493">
        <v>130141.0</v>
      </c>
      <c r="G475" s="493">
        <v>4.0</v>
      </c>
      <c r="H475" s="493">
        <v>0.0</v>
      </c>
      <c r="I475" s="493">
        <v>0.0</v>
      </c>
      <c r="J475" s="493">
        <v>0.0</v>
      </c>
      <c r="K475" s="493">
        <v>4.0</v>
      </c>
      <c r="L475" s="493">
        <v>650181.0</v>
      </c>
      <c r="M475" s="493">
        <v>0.0</v>
      </c>
      <c r="N475" s="6">
        <v>1.0</v>
      </c>
    </row>
    <row r="476">
      <c r="A476" s="491" t="s">
        <v>2019</v>
      </c>
      <c r="B476" s="491" t="s">
        <v>163</v>
      </c>
      <c r="C476" s="491" t="s">
        <v>72</v>
      </c>
      <c r="D476" s="491" t="s">
        <v>565</v>
      </c>
      <c r="E476" s="492" t="s">
        <v>367</v>
      </c>
      <c r="F476" s="493">
        <v>134956.0</v>
      </c>
      <c r="G476" s="493">
        <v>81301.0</v>
      </c>
      <c r="H476" s="493">
        <v>60.24</v>
      </c>
      <c r="I476" s="493">
        <v>26.7</v>
      </c>
      <c r="J476" s="493">
        <v>24.85</v>
      </c>
      <c r="K476" s="493">
        <v>210544.0</v>
      </c>
      <c r="L476" s="493">
        <v>788436.0</v>
      </c>
      <c r="M476" s="493">
        <v>1.5601</v>
      </c>
      <c r="N476" s="6">
        <v>2.5897</v>
      </c>
    </row>
    <row r="477">
      <c r="A477" s="491" t="s">
        <v>2019</v>
      </c>
      <c r="B477" s="491" t="s">
        <v>163</v>
      </c>
      <c r="C477" s="491" t="s">
        <v>72</v>
      </c>
      <c r="D477" s="491" t="s">
        <v>565</v>
      </c>
      <c r="E477" s="492" t="s">
        <v>371</v>
      </c>
      <c r="F477" s="493">
        <v>134956.0</v>
      </c>
      <c r="G477" s="493">
        <v>69699.0</v>
      </c>
      <c r="H477" s="493">
        <v>51.65</v>
      </c>
      <c r="I477" s="493">
        <v>13.73</v>
      </c>
      <c r="J477" s="493">
        <v>15.98</v>
      </c>
      <c r="K477" s="493">
        <v>108278.0</v>
      </c>
      <c r="L477" s="493">
        <v>788436.0</v>
      </c>
      <c r="M477" s="493">
        <v>0.8023</v>
      </c>
      <c r="N477" s="6">
        <v>1.5535</v>
      </c>
    </row>
    <row r="478">
      <c r="A478" s="491" t="s">
        <v>2019</v>
      </c>
      <c r="B478" s="491" t="s">
        <v>163</v>
      </c>
      <c r="C478" s="491" t="s">
        <v>72</v>
      </c>
      <c r="D478" s="491" t="s">
        <v>565</v>
      </c>
      <c r="E478" s="492" t="s">
        <v>365</v>
      </c>
      <c r="F478" s="493">
        <v>134956.0</v>
      </c>
      <c r="G478" s="493">
        <v>27255.0</v>
      </c>
      <c r="H478" s="493">
        <v>20.2</v>
      </c>
      <c r="I478" s="493">
        <v>10.12</v>
      </c>
      <c r="J478" s="493">
        <v>6.46</v>
      </c>
      <c r="K478" s="493">
        <v>79801.0</v>
      </c>
      <c r="L478" s="493">
        <v>788436.0</v>
      </c>
      <c r="M478" s="493">
        <v>0.5913</v>
      </c>
      <c r="N478" s="6">
        <v>2.9279</v>
      </c>
    </row>
    <row r="479">
      <c r="A479" s="491" t="s">
        <v>2019</v>
      </c>
      <c r="B479" s="491" t="s">
        <v>163</v>
      </c>
      <c r="C479" s="491" t="s">
        <v>72</v>
      </c>
      <c r="D479" s="491" t="s">
        <v>565</v>
      </c>
      <c r="E479" s="492" t="s">
        <v>40</v>
      </c>
      <c r="F479" s="493">
        <v>134956.0</v>
      </c>
      <c r="G479" s="493">
        <v>28385.0</v>
      </c>
      <c r="H479" s="493">
        <v>21.03</v>
      </c>
      <c r="I479" s="493">
        <v>8.38</v>
      </c>
      <c r="J479" s="493">
        <v>7.83</v>
      </c>
      <c r="K479" s="493">
        <v>66047.0</v>
      </c>
      <c r="L479" s="493">
        <v>788436.0</v>
      </c>
      <c r="M479" s="493">
        <v>0.4894</v>
      </c>
      <c r="N479" s="6">
        <v>2.3268</v>
      </c>
    </row>
    <row r="480">
      <c r="A480" s="491" t="s">
        <v>2019</v>
      </c>
      <c r="B480" s="491" t="s">
        <v>163</v>
      </c>
      <c r="C480" s="491" t="s">
        <v>72</v>
      </c>
      <c r="D480" s="491" t="s">
        <v>565</v>
      </c>
      <c r="E480" s="492" t="s">
        <v>42</v>
      </c>
      <c r="F480" s="493">
        <v>134956.0</v>
      </c>
      <c r="G480" s="493">
        <v>33313.0</v>
      </c>
      <c r="H480" s="493">
        <v>24.68</v>
      </c>
      <c r="I480" s="493">
        <v>6.66</v>
      </c>
      <c r="J480" s="493">
        <v>7.31</v>
      </c>
      <c r="K480" s="493">
        <v>52533.0</v>
      </c>
      <c r="L480" s="493">
        <v>788436.0</v>
      </c>
      <c r="M480" s="493">
        <v>0.3893</v>
      </c>
      <c r="N480" s="6">
        <v>1.577</v>
      </c>
    </row>
    <row r="481">
      <c r="A481" s="491" t="s">
        <v>2019</v>
      </c>
      <c r="B481" s="491" t="s">
        <v>163</v>
      </c>
      <c r="C481" s="491" t="s">
        <v>72</v>
      </c>
      <c r="D481" s="491" t="s">
        <v>565</v>
      </c>
      <c r="E481" s="492" t="s">
        <v>370</v>
      </c>
      <c r="F481" s="493">
        <v>134956.0</v>
      </c>
      <c r="G481" s="493">
        <v>32968.0</v>
      </c>
      <c r="H481" s="493">
        <v>24.43</v>
      </c>
      <c r="I481" s="493">
        <v>5.31</v>
      </c>
      <c r="J481" s="493">
        <v>6.47</v>
      </c>
      <c r="K481" s="493">
        <v>41873.0</v>
      </c>
      <c r="L481" s="493">
        <v>788436.0</v>
      </c>
      <c r="M481" s="493">
        <v>0.3103</v>
      </c>
      <c r="N481" s="6">
        <v>1.2701</v>
      </c>
    </row>
    <row r="482">
      <c r="A482" s="491" t="s">
        <v>2019</v>
      </c>
      <c r="B482" s="491" t="s">
        <v>163</v>
      </c>
      <c r="C482" s="491" t="s">
        <v>72</v>
      </c>
      <c r="D482" s="491" t="s">
        <v>565</v>
      </c>
      <c r="E482" s="492" t="s">
        <v>368</v>
      </c>
      <c r="F482" s="493">
        <v>134956.0</v>
      </c>
      <c r="G482" s="493">
        <v>19632.0</v>
      </c>
      <c r="H482" s="493">
        <v>14.55</v>
      </c>
      <c r="I482" s="493">
        <v>5.15</v>
      </c>
      <c r="J482" s="493">
        <v>3.69</v>
      </c>
      <c r="K482" s="493">
        <v>40605.0</v>
      </c>
      <c r="L482" s="493">
        <v>788436.0</v>
      </c>
      <c r="M482" s="493">
        <v>0.3009</v>
      </c>
      <c r="N482" s="6">
        <v>2.0683</v>
      </c>
    </row>
    <row r="483">
      <c r="A483" s="491" t="s">
        <v>2019</v>
      </c>
      <c r="B483" s="491" t="s">
        <v>163</v>
      </c>
      <c r="C483" s="491" t="s">
        <v>72</v>
      </c>
      <c r="D483" s="491" t="s">
        <v>565</v>
      </c>
      <c r="E483" s="492" t="s">
        <v>32</v>
      </c>
      <c r="F483" s="493">
        <v>134956.0</v>
      </c>
      <c r="G483" s="493">
        <v>30555.0</v>
      </c>
      <c r="H483" s="493">
        <v>22.64</v>
      </c>
      <c r="I483" s="493">
        <v>4.7</v>
      </c>
      <c r="J483" s="493">
        <v>5.1</v>
      </c>
      <c r="K483" s="493">
        <v>37074.0</v>
      </c>
      <c r="L483" s="493">
        <v>788436.0</v>
      </c>
      <c r="M483" s="493">
        <v>0.2747</v>
      </c>
      <c r="N483" s="6">
        <v>1.2134</v>
      </c>
    </row>
    <row r="484">
      <c r="A484" s="491" t="s">
        <v>2019</v>
      </c>
      <c r="B484" s="491" t="s">
        <v>163</v>
      </c>
      <c r="C484" s="491" t="s">
        <v>72</v>
      </c>
      <c r="D484" s="491" t="s">
        <v>565</v>
      </c>
      <c r="E484" s="492" t="s">
        <v>49</v>
      </c>
      <c r="F484" s="493">
        <v>134956.0</v>
      </c>
      <c r="G484" s="493">
        <v>23780.0</v>
      </c>
      <c r="H484" s="493">
        <v>17.62</v>
      </c>
      <c r="I484" s="493">
        <v>4.19</v>
      </c>
      <c r="J484" s="493">
        <v>4.22</v>
      </c>
      <c r="K484" s="493">
        <v>33022.0</v>
      </c>
      <c r="L484" s="493">
        <v>788436.0</v>
      </c>
      <c r="M484" s="493">
        <v>0.2447</v>
      </c>
      <c r="N484" s="6">
        <v>1.3886</v>
      </c>
    </row>
    <row r="485">
      <c r="A485" s="491" t="s">
        <v>2019</v>
      </c>
      <c r="B485" s="491" t="s">
        <v>163</v>
      </c>
      <c r="C485" s="491" t="s">
        <v>72</v>
      </c>
      <c r="D485" s="491" t="s">
        <v>565</v>
      </c>
      <c r="E485" s="492" t="s">
        <v>310</v>
      </c>
      <c r="F485" s="493">
        <v>134956.0</v>
      </c>
      <c r="G485" s="493">
        <v>24736.0</v>
      </c>
      <c r="H485" s="493">
        <v>18.33</v>
      </c>
      <c r="I485" s="493">
        <v>3.67</v>
      </c>
      <c r="J485" s="493">
        <v>4.41</v>
      </c>
      <c r="K485" s="493">
        <v>28901.0</v>
      </c>
      <c r="L485" s="493">
        <v>788436.0</v>
      </c>
      <c r="M485" s="493">
        <v>0.2142</v>
      </c>
      <c r="N485" s="6">
        <v>1.1684</v>
      </c>
    </row>
    <row r="486">
      <c r="A486" s="491" t="s">
        <v>2019</v>
      </c>
      <c r="B486" s="491" t="s">
        <v>163</v>
      </c>
      <c r="C486" s="491" t="s">
        <v>72</v>
      </c>
      <c r="D486" s="491" t="s">
        <v>565</v>
      </c>
      <c r="E486" s="492" t="s">
        <v>366</v>
      </c>
      <c r="F486" s="493">
        <v>134956.0</v>
      </c>
      <c r="G486" s="493">
        <v>26087.0</v>
      </c>
      <c r="H486" s="493">
        <v>19.33</v>
      </c>
      <c r="I486" s="493">
        <v>3.51</v>
      </c>
      <c r="J486" s="493">
        <v>4.55</v>
      </c>
      <c r="K486" s="493">
        <v>27675.0</v>
      </c>
      <c r="L486" s="493">
        <v>788436.0</v>
      </c>
      <c r="M486" s="493">
        <v>0.2051</v>
      </c>
      <c r="N486" s="6">
        <v>1.0609</v>
      </c>
    </row>
    <row r="487">
      <c r="A487" s="491" t="s">
        <v>2019</v>
      </c>
      <c r="B487" s="491" t="s">
        <v>163</v>
      </c>
      <c r="C487" s="491" t="s">
        <v>72</v>
      </c>
      <c r="D487" s="491" t="s">
        <v>565</v>
      </c>
      <c r="E487" s="492" t="s">
        <v>312</v>
      </c>
      <c r="F487" s="493">
        <v>134956.0</v>
      </c>
      <c r="G487" s="493">
        <v>22407.0</v>
      </c>
      <c r="H487" s="493">
        <v>16.6</v>
      </c>
      <c r="I487" s="493">
        <v>3.48</v>
      </c>
      <c r="J487" s="493">
        <v>4.27</v>
      </c>
      <c r="K487" s="493">
        <v>27428.0</v>
      </c>
      <c r="L487" s="493">
        <v>788436.0</v>
      </c>
      <c r="M487" s="493">
        <v>0.2032</v>
      </c>
      <c r="N487" s="6">
        <v>1.2241</v>
      </c>
    </row>
    <row r="488">
      <c r="A488" s="491" t="s">
        <v>2019</v>
      </c>
      <c r="B488" s="491" t="s">
        <v>163</v>
      </c>
      <c r="C488" s="491" t="s">
        <v>72</v>
      </c>
      <c r="D488" s="491" t="s">
        <v>565</v>
      </c>
      <c r="E488" s="492" t="s">
        <v>50</v>
      </c>
      <c r="F488" s="493">
        <v>134956.0</v>
      </c>
      <c r="G488" s="493">
        <v>12225.0</v>
      </c>
      <c r="H488" s="493">
        <v>9.06</v>
      </c>
      <c r="I488" s="493">
        <v>1.8</v>
      </c>
      <c r="J488" s="493">
        <v>1.62</v>
      </c>
      <c r="K488" s="493">
        <v>14165.0</v>
      </c>
      <c r="L488" s="493">
        <v>788436.0</v>
      </c>
      <c r="M488" s="493">
        <v>0.105</v>
      </c>
      <c r="N488" s="6">
        <v>1.1587</v>
      </c>
    </row>
    <row r="489">
      <c r="A489" s="491" t="s">
        <v>2019</v>
      </c>
      <c r="B489" s="491" t="s">
        <v>163</v>
      </c>
      <c r="C489" s="491" t="s">
        <v>72</v>
      </c>
      <c r="D489" s="491" t="s">
        <v>565</v>
      </c>
      <c r="E489" s="492" t="s">
        <v>372</v>
      </c>
      <c r="F489" s="493">
        <v>134956.0</v>
      </c>
      <c r="G489" s="493">
        <v>8358.0</v>
      </c>
      <c r="H489" s="493">
        <v>6.19</v>
      </c>
      <c r="I489" s="493">
        <v>1.33</v>
      </c>
      <c r="J489" s="493">
        <v>1.34</v>
      </c>
      <c r="K489" s="493">
        <v>10509.0</v>
      </c>
      <c r="L489" s="493">
        <v>788436.0</v>
      </c>
      <c r="M489" s="493">
        <v>0.0779</v>
      </c>
      <c r="N489" s="6">
        <v>1.2574</v>
      </c>
    </row>
    <row r="490">
      <c r="A490" s="491" t="s">
        <v>2019</v>
      </c>
      <c r="B490" s="491" t="s">
        <v>163</v>
      </c>
      <c r="C490" s="491" t="s">
        <v>72</v>
      </c>
      <c r="D490" s="491" t="s">
        <v>565</v>
      </c>
      <c r="E490" s="492" t="s">
        <v>311</v>
      </c>
      <c r="F490" s="493">
        <v>134956.0</v>
      </c>
      <c r="G490" s="493">
        <v>6631.0</v>
      </c>
      <c r="H490" s="493">
        <v>4.91</v>
      </c>
      <c r="I490" s="493">
        <v>0.87</v>
      </c>
      <c r="J490" s="493">
        <v>1.32</v>
      </c>
      <c r="K490" s="493">
        <v>6840.0</v>
      </c>
      <c r="L490" s="493">
        <v>788436.0</v>
      </c>
      <c r="M490" s="493">
        <v>0.0507</v>
      </c>
      <c r="N490" s="6">
        <v>1.0315</v>
      </c>
    </row>
    <row r="491">
      <c r="A491" s="491" t="s">
        <v>2019</v>
      </c>
      <c r="B491" s="491" t="s">
        <v>163</v>
      </c>
      <c r="C491" s="491" t="s">
        <v>72</v>
      </c>
      <c r="D491" s="491" t="s">
        <v>565</v>
      </c>
      <c r="E491" s="492" t="s">
        <v>44</v>
      </c>
      <c r="F491" s="493">
        <v>134956.0</v>
      </c>
      <c r="G491" s="493">
        <v>1530.0</v>
      </c>
      <c r="H491" s="493">
        <v>1.13</v>
      </c>
      <c r="I491" s="493">
        <v>0.23</v>
      </c>
      <c r="J491" s="493">
        <v>0.32</v>
      </c>
      <c r="K491" s="493">
        <v>1777.0</v>
      </c>
      <c r="L491" s="493">
        <v>788436.0</v>
      </c>
      <c r="M491" s="493">
        <v>0.0132</v>
      </c>
      <c r="N491" s="6">
        <v>1.1614</v>
      </c>
    </row>
    <row r="492">
      <c r="A492" s="491" t="s">
        <v>2019</v>
      </c>
      <c r="B492" s="491" t="s">
        <v>163</v>
      </c>
      <c r="C492" s="491" t="s">
        <v>72</v>
      </c>
      <c r="D492" s="491" t="s">
        <v>565</v>
      </c>
      <c r="E492" s="492" t="s">
        <v>43</v>
      </c>
      <c r="F492" s="493">
        <v>134956.0</v>
      </c>
      <c r="G492" s="493">
        <v>1040.0</v>
      </c>
      <c r="H492" s="493">
        <v>0.77</v>
      </c>
      <c r="I492" s="493">
        <v>0.14</v>
      </c>
      <c r="J492" s="493">
        <v>0.22</v>
      </c>
      <c r="K492" s="493">
        <v>1089.0</v>
      </c>
      <c r="L492" s="493">
        <v>788436.0</v>
      </c>
      <c r="M492" s="493">
        <v>0.0081</v>
      </c>
      <c r="N492" s="6">
        <v>1.0471</v>
      </c>
    </row>
    <row r="493">
      <c r="A493" s="491" t="s">
        <v>2019</v>
      </c>
      <c r="B493" s="491" t="s">
        <v>163</v>
      </c>
      <c r="C493" s="491" t="s">
        <v>72</v>
      </c>
      <c r="D493" s="491" t="s">
        <v>565</v>
      </c>
      <c r="E493" s="492" t="s">
        <v>134</v>
      </c>
      <c r="F493" s="493">
        <v>134956.0</v>
      </c>
      <c r="G493" s="493">
        <v>214.0</v>
      </c>
      <c r="H493" s="493">
        <v>0.16</v>
      </c>
      <c r="I493" s="493">
        <v>0.03</v>
      </c>
      <c r="J493" s="493">
        <v>0.03</v>
      </c>
      <c r="K493" s="493">
        <v>255.0</v>
      </c>
      <c r="L493" s="493">
        <v>788436.0</v>
      </c>
      <c r="M493" s="493">
        <v>0.0019</v>
      </c>
      <c r="N493" s="6">
        <v>1.1916</v>
      </c>
    </row>
    <row r="494">
      <c r="A494" s="491" t="s">
        <v>2019</v>
      </c>
      <c r="B494" s="491" t="s">
        <v>163</v>
      </c>
      <c r="C494" s="491" t="s">
        <v>72</v>
      </c>
      <c r="D494" s="491" t="s">
        <v>565</v>
      </c>
      <c r="E494" s="492" t="s">
        <v>369</v>
      </c>
      <c r="F494" s="493">
        <v>134956.0</v>
      </c>
      <c r="G494" s="493">
        <v>14.0</v>
      </c>
      <c r="H494" s="493">
        <v>0.01</v>
      </c>
      <c r="I494" s="493">
        <v>0.0</v>
      </c>
      <c r="J494" s="493">
        <v>0.01</v>
      </c>
      <c r="K494" s="493">
        <v>16.0</v>
      </c>
      <c r="L494" s="493">
        <v>788436.0</v>
      </c>
      <c r="M494" s="493">
        <v>1.0E-4</v>
      </c>
      <c r="N494" s="6">
        <v>1.1429</v>
      </c>
    </row>
    <row r="495">
      <c r="A495" s="491" t="s">
        <v>2019</v>
      </c>
      <c r="B495" s="491" t="s">
        <v>163</v>
      </c>
      <c r="C495" s="491" t="s">
        <v>72</v>
      </c>
      <c r="D495" s="491" t="s">
        <v>565</v>
      </c>
      <c r="E495" s="492" t="s">
        <v>189</v>
      </c>
      <c r="F495" s="493">
        <v>134956.0</v>
      </c>
      <c r="G495" s="493">
        <v>4.0</v>
      </c>
      <c r="H495" s="493">
        <v>0.0</v>
      </c>
      <c r="I495" s="493">
        <v>0.0</v>
      </c>
      <c r="J495" s="493">
        <v>0.0</v>
      </c>
      <c r="K495" s="493">
        <v>4.0</v>
      </c>
      <c r="L495" s="493">
        <v>788436.0</v>
      </c>
      <c r="M495" s="493">
        <v>0.0</v>
      </c>
      <c r="N495" s="6">
        <v>1.0</v>
      </c>
    </row>
    <row r="496">
      <c r="A496" s="491" t="s">
        <v>2019</v>
      </c>
      <c r="B496" s="491" t="s">
        <v>163</v>
      </c>
      <c r="C496" s="491" t="s">
        <v>1873</v>
      </c>
      <c r="D496" s="491" t="s">
        <v>2018</v>
      </c>
      <c r="E496" s="492" t="s">
        <v>367</v>
      </c>
      <c r="F496" s="493">
        <v>22657.0</v>
      </c>
      <c r="G496" s="493">
        <v>19826.0</v>
      </c>
      <c r="H496" s="493">
        <v>87.5</v>
      </c>
      <c r="I496" s="493">
        <v>89.2</v>
      </c>
      <c r="J496" s="493">
        <v>86.16</v>
      </c>
      <c r="K496" s="493">
        <v>617490.0</v>
      </c>
      <c r="L496" s="493">
        <v>692235.0</v>
      </c>
      <c r="M496" s="493">
        <v>27.2538</v>
      </c>
      <c r="N496" s="6">
        <v>31.1455</v>
      </c>
    </row>
    <row r="497">
      <c r="A497" s="491" t="s">
        <v>2019</v>
      </c>
      <c r="B497" s="491" t="s">
        <v>163</v>
      </c>
      <c r="C497" s="491" t="s">
        <v>1873</v>
      </c>
      <c r="D497" s="491" t="s">
        <v>2018</v>
      </c>
      <c r="E497" s="492" t="s">
        <v>134</v>
      </c>
      <c r="F497" s="493">
        <v>22657.0</v>
      </c>
      <c r="G497" s="493">
        <v>2016.0</v>
      </c>
      <c r="H497" s="493">
        <v>8.9</v>
      </c>
      <c r="I497" s="493">
        <v>6.45</v>
      </c>
      <c r="J497" s="493">
        <v>7.18</v>
      </c>
      <c r="K497" s="493">
        <v>44655.0</v>
      </c>
      <c r="L497" s="493">
        <v>692235.0</v>
      </c>
      <c r="M497" s="493">
        <v>1.9709</v>
      </c>
      <c r="N497" s="6">
        <v>22.1503</v>
      </c>
    </row>
    <row r="498">
      <c r="A498" s="491" t="s">
        <v>2019</v>
      </c>
      <c r="B498" s="491" t="s">
        <v>163</v>
      </c>
      <c r="C498" s="491" t="s">
        <v>1873</v>
      </c>
      <c r="D498" s="491" t="s">
        <v>2018</v>
      </c>
      <c r="E498" s="492" t="s">
        <v>370</v>
      </c>
      <c r="F498" s="493">
        <v>22657.0</v>
      </c>
      <c r="G498" s="493">
        <v>573.0</v>
      </c>
      <c r="H498" s="493">
        <v>2.53</v>
      </c>
      <c r="I498" s="493">
        <v>2.64</v>
      </c>
      <c r="J498" s="493">
        <v>2.51</v>
      </c>
      <c r="K498" s="493">
        <v>18280.0</v>
      </c>
      <c r="L498" s="493">
        <v>692235.0</v>
      </c>
      <c r="M498" s="493">
        <v>0.8068</v>
      </c>
      <c r="N498" s="6">
        <v>31.9023</v>
      </c>
    </row>
    <row r="499">
      <c r="A499" s="491" t="s">
        <v>2019</v>
      </c>
      <c r="B499" s="491" t="s">
        <v>163</v>
      </c>
      <c r="C499" s="491" t="s">
        <v>1873</v>
      </c>
      <c r="D499" s="491" t="s">
        <v>2018</v>
      </c>
      <c r="E499" s="492" t="s">
        <v>369</v>
      </c>
      <c r="F499" s="493">
        <v>22657.0</v>
      </c>
      <c r="G499" s="493">
        <v>519.0</v>
      </c>
      <c r="H499" s="493">
        <v>2.29</v>
      </c>
      <c r="I499" s="493">
        <v>0.85</v>
      </c>
      <c r="J499" s="493">
        <v>2.01</v>
      </c>
      <c r="K499" s="493">
        <v>5885.0</v>
      </c>
      <c r="L499" s="493">
        <v>692235.0</v>
      </c>
      <c r="M499" s="493">
        <v>0.2597</v>
      </c>
      <c r="N499" s="6">
        <v>11.3391</v>
      </c>
    </row>
    <row r="500">
      <c r="A500" s="491" t="s">
        <v>2019</v>
      </c>
      <c r="B500" s="491" t="s">
        <v>163</v>
      </c>
      <c r="C500" s="491" t="s">
        <v>1873</v>
      </c>
      <c r="D500" s="491" t="s">
        <v>2018</v>
      </c>
      <c r="E500" s="492" t="s">
        <v>189</v>
      </c>
      <c r="F500" s="493">
        <v>22657.0</v>
      </c>
      <c r="G500" s="493">
        <v>321.0</v>
      </c>
      <c r="H500" s="493">
        <v>1.42</v>
      </c>
      <c r="I500" s="493">
        <v>0.48</v>
      </c>
      <c r="J500" s="493">
        <v>1.16</v>
      </c>
      <c r="K500" s="493">
        <v>3320.0</v>
      </c>
      <c r="L500" s="493">
        <v>692235.0</v>
      </c>
      <c r="M500" s="493">
        <v>0.1465</v>
      </c>
      <c r="N500" s="6">
        <v>10.3427</v>
      </c>
    </row>
    <row r="501">
      <c r="A501" s="491" t="s">
        <v>2019</v>
      </c>
      <c r="B501" s="491" t="s">
        <v>163</v>
      </c>
      <c r="C501" s="491" t="s">
        <v>1873</v>
      </c>
      <c r="D501" s="491" t="s">
        <v>2018</v>
      </c>
      <c r="E501" s="492" t="s">
        <v>372</v>
      </c>
      <c r="F501" s="493">
        <v>22657.0</v>
      </c>
      <c r="G501" s="493">
        <v>220.0</v>
      </c>
      <c r="H501" s="493">
        <v>0.97</v>
      </c>
      <c r="I501" s="493">
        <v>0.36</v>
      </c>
      <c r="J501" s="493">
        <v>0.96</v>
      </c>
      <c r="K501" s="493">
        <v>2500.0</v>
      </c>
      <c r="L501" s="493">
        <v>692235.0</v>
      </c>
      <c r="M501" s="493">
        <v>0.1103</v>
      </c>
      <c r="N501" s="6">
        <v>11.3636</v>
      </c>
    </row>
    <row r="502">
      <c r="A502" s="491" t="s">
        <v>2019</v>
      </c>
      <c r="B502" s="491" t="s">
        <v>163</v>
      </c>
      <c r="C502" s="491" t="s">
        <v>1873</v>
      </c>
      <c r="D502" s="491" t="s">
        <v>2018</v>
      </c>
      <c r="E502" s="492" t="s">
        <v>35</v>
      </c>
      <c r="F502" s="493">
        <v>22657.0</v>
      </c>
      <c r="G502" s="493">
        <v>7.0</v>
      </c>
      <c r="H502" s="493">
        <v>0.03</v>
      </c>
      <c r="I502" s="493">
        <v>0.02</v>
      </c>
      <c r="J502" s="493">
        <v>0.03</v>
      </c>
      <c r="K502" s="493">
        <v>105.0</v>
      </c>
      <c r="L502" s="493">
        <v>692235.0</v>
      </c>
      <c r="M502" s="493">
        <v>0.0046</v>
      </c>
      <c r="N502" s="6">
        <v>15.0</v>
      </c>
    </row>
    <row r="503">
      <c r="A503" s="491" t="s">
        <v>2019</v>
      </c>
      <c r="B503" s="491" t="s">
        <v>163</v>
      </c>
      <c r="C503" s="491" t="s">
        <v>1874</v>
      </c>
      <c r="D503" s="491" t="s">
        <v>2018</v>
      </c>
      <c r="E503" s="492" t="s">
        <v>372</v>
      </c>
      <c r="F503" s="493">
        <v>103180.0</v>
      </c>
      <c r="G503" s="493">
        <v>83012.0</v>
      </c>
      <c r="H503" s="493">
        <v>80.45</v>
      </c>
      <c r="I503" s="493">
        <v>46.0</v>
      </c>
      <c r="J503" s="493">
        <v>63.29</v>
      </c>
      <c r="K503" s="493">
        <v>1571245.0</v>
      </c>
      <c r="L503" s="493">
        <v>3416115.0</v>
      </c>
      <c r="M503" s="493">
        <v>15.2282</v>
      </c>
      <c r="N503" s="6">
        <v>18.9279</v>
      </c>
    </row>
    <row r="504">
      <c r="A504" s="491" t="s">
        <v>2019</v>
      </c>
      <c r="B504" s="491" t="s">
        <v>163</v>
      </c>
      <c r="C504" s="491" t="s">
        <v>1874</v>
      </c>
      <c r="D504" s="491" t="s">
        <v>2018</v>
      </c>
      <c r="E504" s="492" t="s">
        <v>367</v>
      </c>
      <c r="F504" s="493">
        <v>103180.0</v>
      </c>
      <c r="G504" s="493">
        <v>19987.0</v>
      </c>
      <c r="H504" s="493">
        <v>19.37</v>
      </c>
      <c r="I504" s="493">
        <v>36.56</v>
      </c>
      <c r="J504" s="493">
        <v>14.69</v>
      </c>
      <c r="K504" s="493">
        <v>1248900.0</v>
      </c>
      <c r="L504" s="493">
        <v>3416115.0</v>
      </c>
      <c r="M504" s="493">
        <v>12.1041</v>
      </c>
      <c r="N504" s="6">
        <v>62.4856</v>
      </c>
    </row>
    <row r="505">
      <c r="A505" s="491" t="s">
        <v>2019</v>
      </c>
      <c r="B505" s="491" t="s">
        <v>163</v>
      </c>
      <c r="C505" s="491" t="s">
        <v>1874</v>
      </c>
      <c r="D505" s="491" t="s">
        <v>2018</v>
      </c>
      <c r="E505" s="492" t="s">
        <v>369</v>
      </c>
      <c r="F505" s="493">
        <v>103180.0</v>
      </c>
      <c r="G505" s="493">
        <v>28259.0</v>
      </c>
      <c r="H505" s="493">
        <v>27.39</v>
      </c>
      <c r="I505" s="493">
        <v>10.78</v>
      </c>
      <c r="J505" s="493">
        <v>13.02</v>
      </c>
      <c r="K505" s="493">
        <v>368375.0</v>
      </c>
      <c r="L505" s="493">
        <v>3416115.0</v>
      </c>
      <c r="M505" s="493">
        <v>3.5702</v>
      </c>
      <c r="N505" s="6">
        <v>13.0357</v>
      </c>
    </row>
    <row r="506">
      <c r="A506" s="491" t="s">
        <v>2019</v>
      </c>
      <c r="B506" s="491" t="s">
        <v>163</v>
      </c>
      <c r="C506" s="491" t="s">
        <v>1874</v>
      </c>
      <c r="D506" s="491" t="s">
        <v>2018</v>
      </c>
      <c r="E506" s="492" t="s">
        <v>189</v>
      </c>
      <c r="F506" s="493">
        <v>103180.0</v>
      </c>
      <c r="G506" s="493">
        <v>11453.0</v>
      </c>
      <c r="H506" s="493">
        <v>11.1</v>
      </c>
      <c r="I506" s="493">
        <v>3.4</v>
      </c>
      <c r="J506" s="493">
        <v>4.6</v>
      </c>
      <c r="K506" s="493">
        <v>116195.0</v>
      </c>
      <c r="L506" s="493">
        <v>3416115.0</v>
      </c>
      <c r="M506" s="493">
        <v>1.1261</v>
      </c>
      <c r="N506" s="6">
        <v>10.1454</v>
      </c>
    </row>
    <row r="507">
      <c r="A507" s="491" t="s">
        <v>2019</v>
      </c>
      <c r="B507" s="491" t="s">
        <v>163</v>
      </c>
      <c r="C507" s="491" t="s">
        <v>1874</v>
      </c>
      <c r="D507" s="491" t="s">
        <v>2018</v>
      </c>
      <c r="E507" s="492" t="s">
        <v>134</v>
      </c>
      <c r="F507" s="493">
        <v>103180.0</v>
      </c>
      <c r="G507" s="493">
        <v>6870.0</v>
      </c>
      <c r="H507" s="493">
        <v>6.66</v>
      </c>
      <c r="I507" s="493">
        <v>2.42</v>
      </c>
      <c r="J507" s="493">
        <v>3.4</v>
      </c>
      <c r="K507" s="493">
        <v>82780.0</v>
      </c>
      <c r="L507" s="493">
        <v>3416115.0</v>
      </c>
      <c r="M507" s="493">
        <v>0.8023</v>
      </c>
      <c r="N507" s="6">
        <v>12.0495</v>
      </c>
    </row>
    <row r="508">
      <c r="A508" s="491" t="s">
        <v>2019</v>
      </c>
      <c r="B508" s="491" t="s">
        <v>163</v>
      </c>
      <c r="C508" s="491" t="s">
        <v>1874</v>
      </c>
      <c r="D508" s="491" t="s">
        <v>2018</v>
      </c>
      <c r="E508" s="492" t="s">
        <v>370</v>
      </c>
      <c r="F508" s="493">
        <v>103180.0</v>
      </c>
      <c r="G508" s="493">
        <v>581.0</v>
      </c>
      <c r="H508" s="493">
        <v>0.56</v>
      </c>
      <c r="I508" s="493">
        <v>0.54</v>
      </c>
      <c r="J508" s="493">
        <v>0.46</v>
      </c>
      <c r="K508" s="493">
        <v>18375.0</v>
      </c>
      <c r="L508" s="493">
        <v>3416115.0</v>
      </c>
      <c r="M508" s="493">
        <v>0.1781</v>
      </c>
      <c r="N508" s="6">
        <v>31.6265</v>
      </c>
    </row>
    <row r="509">
      <c r="A509" s="491" t="s">
        <v>2019</v>
      </c>
      <c r="B509" s="491" t="s">
        <v>163</v>
      </c>
      <c r="C509" s="491" t="s">
        <v>1874</v>
      </c>
      <c r="D509" s="491" t="s">
        <v>2018</v>
      </c>
      <c r="E509" s="492" t="s">
        <v>44</v>
      </c>
      <c r="F509" s="493">
        <v>103180.0</v>
      </c>
      <c r="G509" s="493">
        <v>841.0</v>
      </c>
      <c r="H509" s="493">
        <v>0.82</v>
      </c>
      <c r="I509" s="493">
        <v>0.27</v>
      </c>
      <c r="J509" s="493">
        <v>0.5</v>
      </c>
      <c r="K509" s="493">
        <v>9280.0</v>
      </c>
      <c r="L509" s="493">
        <v>3416115.0</v>
      </c>
      <c r="M509" s="493">
        <v>0.0899</v>
      </c>
      <c r="N509" s="6">
        <v>11.0345</v>
      </c>
    </row>
    <row r="510">
      <c r="A510" s="491" t="s">
        <v>2019</v>
      </c>
      <c r="B510" s="491" t="s">
        <v>163</v>
      </c>
      <c r="C510" s="491" t="s">
        <v>1874</v>
      </c>
      <c r="D510" s="491" t="s">
        <v>2018</v>
      </c>
      <c r="E510" s="492" t="s">
        <v>35</v>
      </c>
      <c r="F510" s="493">
        <v>103180.0</v>
      </c>
      <c r="G510" s="493">
        <v>52.0</v>
      </c>
      <c r="H510" s="493">
        <v>0.05</v>
      </c>
      <c r="I510" s="493">
        <v>0.02</v>
      </c>
      <c r="J510" s="493">
        <v>0.03</v>
      </c>
      <c r="K510" s="493">
        <v>780.0</v>
      </c>
      <c r="L510" s="493">
        <v>3416115.0</v>
      </c>
      <c r="M510" s="493">
        <v>0.0076</v>
      </c>
      <c r="N510" s="6">
        <v>15.0</v>
      </c>
    </row>
    <row r="511">
      <c r="A511" s="491" t="s">
        <v>2019</v>
      </c>
      <c r="B511" s="491" t="s">
        <v>163</v>
      </c>
      <c r="C511" s="491" t="s">
        <v>1874</v>
      </c>
      <c r="D511" s="491" t="s">
        <v>2018</v>
      </c>
      <c r="E511" s="492" t="s">
        <v>46</v>
      </c>
      <c r="F511" s="493">
        <v>103180.0</v>
      </c>
      <c r="G511" s="493">
        <v>6.0</v>
      </c>
      <c r="H511" s="493">
        <v>0.01</v>
      </c>
      <c r="I511" s="493">
        <v>0.0</v>
      </c>
      <c r="J511" s="493">
        <v>0.01</v>
      </c>
      <c r="K511" s="493">
        <v>90.0</v>
      </c>
      <c r="L511" s="493">
        <v>3416115.0</v>
      </c>
      <c r="M511" s="493">
        <v>9.0E-4</v>
      </c>
      <c r="N511" s="6">
        <v>15.0</v>
      </c>
    </row>
    <row r="512">
      <c r="A512" s="491" t="s">
        <v>2019</v>
      </c>
      <c r="B512" s="491" t="s">
        <v>163</v>
      </c>
      <c r="C512" s="491" t="s">
        <v>1874</v>
      </c>
      <c r="D512" s="491" t="s">
        <v>2018</v>
      </c>
      <c r="E512" s="492" t="s">
        <v>42</v>
      </c>
      <c r="F512" s="493">
        <v>103180.0</v>
      </c>
      <c r="G512" s="493">
        <v>2.0</v>
      </c>
      <c r="H512" s="493">
        <v>0.0</v>
      </c>
      <c r="I512" s="493">
        <v>0.0</v>
      </c>
      <c r="J512" s="493">
        <v>0.0</v>
      </c>
      <c r="K512" s="493">
        <v>30.0</v>
      </c>
      <c r="L512" s="493">
        <v>3416115.0</v>
      </c>
      <c r="M512" s="493">
        <v>3.0E-4</v>
      </c>
      <c r="N512" s="6">
        <v>15.0</v>
      </c>
    </row>
    <row r="513">
      <c r="A513" s="491" t="s">
        <v>2019</v>
      </c>
      <c r="B513" s="491" t="s">
        <v>163</v>
      </c>
      <c r="C513" s="491" t="s">
        <v>1874</v>
      </c>
      <c r="D513" s="491" t="s">
        <v>2018</v>
      </c>
      <c r="E513" s="492" t="s">
        <v>40</v>
      </c>
      <c r="F513" s="493">
        <v>103180.0</v>
      </c>
      <c r="G513" s="493">
        <v>1.0</v>
      </c>
      <c r="H513" s="493">
        <v>0.0</v>
      </c>
      <c r="I513" s="493">
        <v>0.0</v>
      </c>
      <c r="J513" s="493">
        <v>0.0</v>
      </c>
      <c r="K513" s="493">
        <v>15.0</v>
      </c>
      <c r="L513" s="493">
        <v>3416115.0</v>
      </c>
      <c r="M513" s="493">
        <v>1.0E-4</v>
      </c>
      <c r="N513" s="6">
        <v>15.0</v>
      </c>
    </row>
    <row r="514">
      <c r="A514" s="491" t="s">
        <v>2019</v>
      </c>
      <c r="B514" s="491" t="s">
        <v>163</v>
      </c>
      <c r="C514" s="491" t="s">
        <v>1874</v>
      </c>
      <c r="D514" s="491" t="s">
        <v>2018</v>
      </c>
      <c r="E514" s="492" t="s">
        <v>368</v>
      </c>
      <c r="F514" s="493">
        <v>103180.0</v>
      </c>
      <c r="G514" s="493">
        <v>4.0</v>
      </c>
      <c r="H514" s="493">
        <v>0.0</v>
      </c>
      <c r="I514" s="493">
        <v>0.0</v>
      </c>
      <c r="J514" s="493">
        <v>0.0</v>
      </c>
      <c r="K514" s="493">
        <v>50.0</v>
      </c>
      <c r="L514" s="493">
        <v>3416115.0</v>
      </c>
      <c r="M514" s="493">
        <v>5.0E-4</v>
      </c>
      <c r="N514" s="6">
        <v>12.5</v>
      </c>
    </row>
    <row r="515">
      <c r="A515" s="491" t="s">
        <v>2019</v>
      </c>
      <c r="B515" s="491" t="s">
        <v>163</v>
      </c>
      <c r="C515" s="491" t="s">
        <v>1875</v>
      </c>
      <c r="D515" s="491" t="s">
        <v>2018</v>
      </c>
      <c r="E515" s="492" t="s">
        <v>372</v>
      </c>
      <c r="F515" s="493">
        <v>123718.0</v>
      </c>
      <c r="G515" s="493">
        <v>104838.0</v>
      </c>
      <c r="H515" s="493">
        <v>84.74</v>
      </c>
      <c r="I515" s="493">
        <v>46.97</v>
      </c>
      <c r="J515" s="493">
        <v>63.81</v>
      </c>
      <c r="K515" s="493">
        <v>1971640.0</v>
      </c>
      <c r="L515" s="493">
        <v>4198075.0</v>
      </c>
      <c r="M515" s="493">
        <v>15.9366</v>
      </c>
      <c r="N515" s="6">
        <v>18.8065</v>
      </c>
    </row>
    <row r="516">
      <c r="A516" s="491" t="s">
        <v>2019</v>
      </c>
      <c r="B516" s="491" t="s">
        <v>163</v>
      </c>
      <c r="C516" s="491" t="s">
        <v>1875</v>
      </c>
      <c r="D516" s="491" t="s">
        <v>2018</v>
      </c>
      <c r="E516" s="492" t="s">
        <v>367</v>
      </c>
      <c r="F516" s="493">
        <v>123718.0</v>
      </c>
      <c r="G516" s="493">
        <v>20173.0</v>
      </c>
      <c r="H516" s="493">
        <v>16.31</v>
      </c>
      <c r="I516" s="493">
        <v>29.93</v>
      </c>
      <c r="J516" s="493">
        <v>10.94</v>
      </c>
      <c r="K516" s="493">
        <v>1256400.0</v>
      </c>
      <c r="L516" s="493">
        <v>4198075.0</v>
      </c>
      <c r="M516" s="493">
        <v>10.1554</v>
      </c>
      <c r="N516" s="6">
        <v>62.2813</v>
      </c>
    </row>
    <row r="517">
      <c r="A517" s="491" t="s">
        <v>2019</v>
      </c>
      <c r="B517" s="491" t="s">
        <v>163</v>
      </c>
      <c r="C517" s="491" t="s">
        <v>1875</v>
      </c>
      <c r="D517" s="491" t="s">
        <v>2018</v>
      </c>
      <c r="E517" s="492" t="s">
        <v>369</v>
      </c>
      <c r="F517" s="493">
        <v>123718.0</v>
      </c>
      <c r="G517" s="493">
        <v>48185.0</v>
      </c>
      <c r="H517" s="493">
        <v>38.95</v>
      </c>
      <c r="I517" s="493">
        <v>15.92</v>
      </c>
      <c r="J517" s="493">
        <v>17.13</v>
      </c>
      <c r="K517" s="493">
        <v>668470.0</v>
      </c>
      <c r="L517" s="493">
        <v>4198075.0</v>
      </c>
      <c r="M517" s="493">
        <v>5.4032</v>
      </c>
      <c r="N517" s="6">
        <v>13.873</v>
      </c>
    </row>
    <row r="518">
      <c r="A518" s="491" t="s">
        <v>2019</v>
      </c>
      <c r="B518" s="491" t="s">
        <v>163</v>
      </c>
      <c r="C518" s="491" t="s">
        <v>1875</v>
      </c>
      <c r="D518" s="491" t="s">
        <v>2018</v>
      </c>
      <c r="E518" s="492" t="s">
        <v>189</v>
      </c>
      <c r="F518" s="493">
        <v>123718.0</v>
      </c>
      <c r="G518" s="493">
        <v>21287.0</v>
      </c>
      <c r="H518" s="493">
        <v>17.21</v>
      </c>
      <c r="I518" s="493">
        <v>5.16</v>
      </c>
      <c r="J518" s="493">
        <v>5.96</v>
      </c>
      <c r="K518" s="493">
        <v>216630.0</v>
      </c>
      <c r="L518" s="493">
        <v>4198075.0</v>
      </c>
      <c r="M518" s="493">
        <v>1.751</v>
      </c>
      <c r="N518" s="6">
        <v>10.1766</v>
      </c>
    </row>
    <row r="519">
      <c r="A519" s="491" t="s">
        <v>2019</v>
      </c>
      <c r="B519" s="491" t="s">
        <v>163</v>
      </c>
      <c r="C519" s="491" t="s">
        <v>1875</v>
      </c>
      <c r="D519" s="491" t="s">
        <v>2018</v>
      </c>
      <c r="E519" s="492" t="s">
        <v>134</v>
      </c>
      <c r="F519" s="493">
        <v>123718.0</v>
      </c>
      <c r="G519" s="493">
        <v>3146.0</v>
      </c>
      <c r="H519" s="493">
        <v>2.54</v>
      </c>
      <c r="I519" s="493">
        <v>0.92</v>
      </c>
      <c r="J519" s="493">
        <v>0.92</v>
      </c>
      <c r="K519" s="493">
        <v>38605.0</v>
      </c>
      <c r="L519" s="493">
        <v>4198075.0</v>
      </c>
      <c r="M519" s="493">
        <v>0.312</v>
      </c>
      <c r="N519" s="6">
        <v>12.2711</v>
      </c>
    </row>
    <row r="520">
      <c r="A520" s="491" t="s">
        <v>2019</v>
      </c>
      <c r="B520" s="491" t="s">
        <v>163</v>
      </c>
      <c r="C520" s="491" t="s">
        <v>1875</v>
      </c>
      <c r="D520" s="491" t="s">
        <v>2018</v>
      </c>
      <c r="E520" s="492" t="s">
        <v>370</v>
      </c>
      <c r="F520" s="493">
        <v>123718.0</v>
      </c>
      <c r="G520" s="493">
        <v>597.0</v>
      </c>
      <c r="H520" s="493">
        <v>0.48</v>
      </c>
      <c r="I520" s="493">
        <v>0.45</v>
      </c>
      <c r="J520" s="493">
        <v>0.37</v>
      </c>
      <c r="K520" s="493">
        <v>18760.0</v>
      </c>
      <c r="L520" s="493">
        <v>4198075.0</v>
      </c>
      <c r="M520" s="493">
        <v>0.1516</v>
      </c>
      <c r="N520" s="6">
        <v>31.4238</v>
      </c>
    </row>
    <row r="521">
      <c r="A521" s="491" t="s">
        <v>2019</v>
      </c>
      <c r="B521" s="491" t="s">
        <v>163</v>
      </c>
      <c r="C521" s="491" t="s">
        <v>1875</v>
      </c>
      <c r="D521" s="491" t="s">
        <v>2018</v>
      </c>
      <c r="E521" s="492" t="s">
        <v>44</v>
      </c>
      <c r="F521" s="493">
        <v>123718.0</v>
      </c>
      <c r="G521" s="493">
        <v>1530.0</v>
      </c>
      <c r="H521" s="493">
        <v>1.24</v>
      </c>
      <c r="I521" s="493">
        <v>0.42</v>
      </c>
      <c r="J521" s="493">
        <v>0.65</v>
      </c>
      <c r="K521" s="493">
        <v>17700.0</v>
      </c>
      <c r="L521" s="493">
        <v>4198075.0</v>
      </c>
      <c r="M521" s="493">
        <v>0.1431</v>
      </c>
      <c r="N521" s="6">
        <v>11.5686</v>
      </c>
    </row>
    <row r="522">
      <c r="A522" s="491" t="s">
        <v>2019</v>
      </c>
      <c r="B522" s="491" t="s">
        <v>163</v>
      </c>
      <c r="C522" s="491" t="s">
        <v>1875</v>
      </c>
      <c r="D522" s="491" t="s">
        <v>2018</v>
      </c>
      <c r="E522" s="492" t="s">
        <v>35</v>
      </c>
      <c r="F522" s="493">
        <v>123718.0</v>
      </c>
      <c r="G522" s="493">
        <v>614.0</v>
      </c>
      <c r="H522" s="493">
        <v>0.5</v>
      </c>
      <c r="I522" s="493">
        <v>0.23</v>
      </c>
      <c r="J522" s="493">
        <v>0.21</v>
      </c>
      <c r="K522" s="493">
        <v>9585.0</v>
      </c>
      <c r="L522" s="493">
        <v>4198075.0</v>
      </c>
      <c r="M522" s="493">
        <v>0.0775</v>
      </c>
      <c r="N522" s="6">
        <v>15.6107</v>
      </c>
    </row>
    <row r="523">
      <c r="A523" s="491" t="s">
        <v>2019</v>
      </c>
      <c r="B523" s="491" t="s">
        <v>163</v>
      </c>
      <c r="C523" s="491" t="s">
        <v>1875</v>
      </c>
      <c r="D523" s="491" t="s">
        <v>2018</v>
      </c>
      <c r="E523" s="492" t="s">
        <v>373</v>
      </c>
      <c r="F523" s="493">
        <v>123718.0</v>
      </c>
      <c r="G523" s="493">
        <v>7.0</v>
      </c>
      <c r="H523" s="493">
        <v>0.01</v>
      </c>
      <c r="I523" s="493">
        <v>0.0</v>
      </c>
      <c r="J523" s="493">
        <v>0.0</v>
      </c>
      <c r="K523" s="493">
        <v>90.0</v>
      </c>
      <c r="L523" s="493">
        <v>4198075.0</v>
      </c>
      <c r="M523" s="493">
        <v>7.0E-4</v>
      </c>
      <c r="N523" s="6">
        <v>12.8571</v>
      </c>
    </row>
    <row r="524">
      <c r="A524" s="491" t="s">
        <v>2019</v>
      </c>
      <c r="B524" s="491" t="s">
        <v>163</v>
      </c>
      <c r="C524" s="491" t="s">
        <v>1875</v>
      </c>
      <c r="D524" s="491" t="s">
        <v>2018</v>
      </c>
      <c r="E524" s="492" t="s">
        <v>46</v>
      </c>
      <c r="F524" s="493">
        <v>123718.0</v>
      </c>
      <c r="G524" s="493">
        <v>1.0</v>
      </c>
      <c r="H524" s="493">
        <v>0.0</v>
      </c>
      <c r="I524" s="493">
        <v>0.0</v>
      </c>
      <c r="J524" s="493">
        <v>0.0</v>
      </c>
      <c r="K524" s="493">
        <v>25.0</v>
      </c>
      <c r="L524" s="493">
        <v>4198075.0</v>
      </c>
      <c r="M524" s="493">
        <v>2.0E-4</v>
      </c>
      <c r="N524" s="6">
        <v>25.0</v>
      </c>
    </row>
    <row r="525">
      <c r="A525" s="491" t="s">
        <v>2019</v>
      </c>
      <c r="B525" s="491" t="s">
        <v>163</v>
      </c>
      <c r="C525" s="491" t="s">
        <v>1875</v>
      </c>
      <c r="D525" s="491" t="s">
        <v>2018</v>
      </c>
      <c r="E525" s="492" t="s">
        <v>54</v>
      </c>
      <c r="F525" s="493">
        <v>123718.0</v>
      </c>
      <c r="G525" s="493">
        <v>2.0</v>
      </c>
      <c r="H525" s="493">
        <v>0.0</v>
      </c>
      <c r="I525" s="493">
        <v>0.0</v>
      </c>
      <c r="J525" s="493">
        <v>0.0</v>
      </c>
      <c r="K525" s="493">
        <v>30.0</v>
      </c>
      <c r="L525" s="493">
        <v>4198075.0</v>
      </c>
      <c r="M525" s="493">
        <v>2.0E-4</v>
      </c>
      <c r="N525" s="6">
        <v>15.0</v>
      </c>
    </row>
    <row r="526">
      <c r="A526" s="491" t="s">
        <v>2019</v>
      </c>
      <c r="B526" s="491" t="s">
        <v>163</v>
      </c>
      <c r="C526" s="491" t="s">
        <v>1875</v>
      </c>
      <c r="D526" s="491" t="s">
        <v>2018</v>
      </c>
      <c r="E526" s="492" t="s">
        <v>368</v>
      </c>
      <c r="F526" s="493">
        <v>123718.0</v>
      </c>
      <c r="G526" s="493">
        <v>1.0</v>
      </c>
      <c r="H526" s="493">
        <v>0.0</v>
      </c>
      <c r="I526" s="493">
        <v>0.0</v>
      </c>
      <c r="J526" s="493">
        <v>0.0</v>
      </c>
      <c r="K526" s="493">
        <v>20.0</v>
      </c>
      <c r="L526" s="493">
        <v>4198075.0</v>
      </c>
      <c r="M526" s="493">
        <v>2.0E-4</v>
      </c>
      <c r="N526" s="6">
        <v>20.0</v>
      </c>
    </row>
    <row r="527">
      <c r="A527" s="491" t="s">
        <v>2019</v>
      </c>
      <c r="B527" s="491" t="s">
        <v>163</v>
      </c>
      <c r="C527" s="491" t="s">
        <v>1875</v>
      </c>
      <c r="D527" s="491" t="s">
        <v>2018</v>
      </c>
      <c r="E527" s="492" t="s">
        <v>40</v>
      </c>
      <c r="F527" s="493">
        <v>123718.0</v>
      </c>
      <c r="G527" s="493">
        <v>1.0</v>
      </c>
      <c r="H527" s="493">
        <v>0.0</v>
      </c>
      <c r="I527" s="493">
        <v>0.0</v>
      </c>
      <c r="J527" s="493">
        <v>0.0</v>
      </c>
      <c r="K527" s="493">
        <v>15.0</v>
      </c>
      <c r="L527" s="493">
        <v>4198075.0</v>
      </c>
      <c r="M527" s="493">
        <v>1.0E-4</v>
      </c>
      <c r="N527" s="6">
        <v>15.0</v>
      </c>
    </row>
    <row r="528">
      <c r="A528" s="491" t="s">
        <v>2019</v>
      </c>
      <c r="B528" s="491" t="s">
        <v>163</v>
      </c>
      <c r="C528" s="491" t="s">
        <v>1875</v>
      </c>
      <c r="D528" s="491" t="s">
        <v>2018</v>
      </c>
      <c r="E528" s="492" t="s">
        <v>371</v>
      </c>
      <c r="F528" s="493">
        <v>123718.0</v>
      </c>
      <c r="G528" s="493">
        <v>3.0</v>
      </c>
      <c r="H528" s="493">
        <v>0.0</v>
      </c>
      <c r="I528" s="493">
        <v>0.0</v>
      </c>
      <c r="J528" s="493">
        <v>0.0</v>
      </c>
      <c r="K528" s="493">
        <v>60.0</v>
      </c>
      <c r="L528" s="493">
        <v>4198075.0</v>
      </c>
      <c r="M528" s="493">
        <v>5.0E-4</v>
      </c>
      <c r="N528" s="6">
        <v>20.0</v>
      </c>
    </row>
    <row r="529">
      <c r="A529" s="491" t="s">
        <v>2019</v>
      </c>
      <c r="B529" s="491" t="s">
        <v>163</v>
      </c>
      <c r="C529" s="491" t="s">
        <v>1875</v>
      </c>
      <c r="D529" s="491" t="s">
        <v>2018</v>
      </c>
      <c r="E529" s="492" t="s">
        <v>42</v>
      </c>
      <c r="F529" s="493">
        <v>123718.0</v>
      </c>
      <c r="G529" s="493">
        <v>3.0</v>
      </c>
      <c r="H529" s="493">
        <v>0.0</v>
      </c>
      <c r="I529" s="493">
        <v>0.0</v>
      </c>
      <c r="J529" s="493">
        <v>0.0</v>
      </c>
      <c r="K529" s="493">
        <v>45.0</v>
      </c>
      <c r="L529" s="493">
        <v>4198075.0</v>
      </c>
      <c r="M529" s="493">
        <v>4.0E-4</v>
      </c>
      <c r="N529" s="6">
        <v>15.0</v>
      </c>
    </row>
    <row r="530">
      <c r="A530" s="491" t="s">
        <v>2019</v>
      </c>
      <c r="B530" s="491" t="s">
        <v>163</v>
      </c>
      <c r="C530" s="491" t="s">
        <v>75</v>
      </c>
      <c r="D530" s="491" t="s">
        <v>2018</v>
      </c>
      <c r="E530" s="492" t="s">
        <v>49</v>
      </c>
      <c r="F530" s="493">
        <v>184602.0</v>
      </c>
      <c r="G530" s="493">
        <v>101745.0</v>
      </c>
      <c r="H530" s="493">
        <v>55.12</v>
      </c>
      <c r="I530" s="493">
        <v>24.81</v>
      </c>
      <c r="J530" s="493">
        <v>20.52</v>
      </c>
      <c r="K530" s="493">
        <v>2.34981E7</v>
      </c>
      <c r="L530" s="493">
        <v>9.471692E7</v>
      </c>
      <c r="M530" s="493">
        <v>127.2906</v>
      </c>
      <c r="N530" s="6">
        <v>230.9509</v>
      </c>
    </row>
    <row r="531">
      <c r="A531" s="491" t="s">
        <v>2019</v>
      </c>
      <c r="B531" s="491" t="s">
        <v>163</v>
      </c>
      <c r="C531" s="491" t="s">
        <v>75</v>
      </c>
      <c r="D531" s="491" t="s">
        <v>2018</v>
      </c>
      <c r="E531" s="492" t="s">
        <v>367</v>
      </c>
      <c r="F531" s="493">
        <v>184602.0</v>
      </c>
      <c r="G531" s="493">
        <v>148922.0</v>
      </c>
      <c r="H531" s="493">
        <v>80.67</v>
      </c>
      <c r="I531" s="493">
        <v>21.88</v>
      </c>
      <c r="J531" s="493">
        <v>22.09</v>
      </c>
      <c r="K531" s="493">
        <v>2.072424E7</v>
      </c>
      <c r="L531" s="493">
        <v>9.471692E7</v>
      </c>
      <c r="M531" s="493">
        <v>112.2644</v>
      </c>
      <c r="N531" s="6">
        <v>139.1617</v>
      </c>
    </row>
    <row r="532">
      <c r="A532" s="491" t="s">
        <v>2019</v>
      </c>
      <c r="B532" s="491" t="s">
        <v>163</v>
      </c>
      <c r="C532" s="491" t="s">
        <v>75</v>
      </c>
      <c r="D532" s="491" t="s">
        <v>2018</v>
      </c>
      <c r="E532" s="492" t="s">
        <v>371</v>
      </c>
      <c r="F532" s="493">
        <v>184602.0</v>
      </c>
      <c r="G532" s="493">
        <v>138396.0</v>
      </c>
      <c r="H532" s="493">
        <v>74.97</v>
      </c>
      <c r="I532" s="493">
        <v>15.05</v>
      </c>
      <c r="J532" s="493">
        <v>15.65</v>
      </c>
      <c r="K532" s="493">
        <v>1.4255545E7</v>
      </c>
      <c r="L532" s="493">
        <v>9.471692E7</v>
      </c>
      <c r="M532" s="493">
        <v>77.2231</v>
      </c>
      <c r="N532" s="6">
        <v>103.0055</v>
      </c>
    </row>
    <row r="533">
      <c r="A533" s="491" t="s">
        <v>2019</v>
      </c>
      <c r="B533" s="491" t="s">
        <v>163</v>
      </c>
      <c r="C533" s="491" t="s">
        <v>75</v>
      </c>
      <c r="D533" s="491" t="s">
        <v>2018</v>
      </c>
      <c r="E533" s="492" t="s">
        <v>372</v>
      </c>
      <c r="F533" s="493">
        <v>184602.0</v>
      </c>
      <c r="G533" s="493">
        <v>110363.0</v>
      </c>
      <c r="H533" s="493">
        <v>59.78</v>
      </c>
      <c r="I533" s="493">
        <v>11.25</v>
      </c>
      <c r="J533" s="493">
        <v>16.14</v>
      </c>
      <c r="K533" s="493">
        <v>1.065941E7</v>
      </c>
      <c r="L533" s="493">
        <v>9.471692E7</v>
      </c>
      <c r="M533" s="493">
        <v>57.7427</v>
      </c>
      <c r="N533" s="6">
        <v>96.585</v>
      </c>
    </row>
    <row r="534">
      <c r="A534" s="491" t="s">
        <v>2019</v>
      </c>
      <c r="B534" s="491" t="s">
        <v>163</v>
      </c>
      <c r="C534" s="491" t="s">
        <v>75</v>
      </c>
      <c r="D534" s="491" t="s">
        <v>2018</v>
      </c>
      <c r="E534" s="492" t="s">
        <v>44</v>
      </c>
      <c r="F534" s="493">
        <v>184602.0</v>
      </c>
      <c r="G534" s="493">
        <v>81929.0</v>
      </c>
      <c r="H534" s="493">
        <v>44.38</v>
      </c>
      <c r="I534" s="493">
        <v>10.09</v>
      </c>
      <c r="J534" s="493">
        <v>9.68</v>
      </c>
      <c r="K534" s="493">
        <v>9552630.0</v>
      </c>
      <c r="L534" s="493">
        <v>9.471692E7</v>
      </c>
      <c r="M534" s="493">
        <v>51.7472</v>
      </c>
      <c r="N534" s="6">
        <v>116.5964</v>
      </c>
    </row>
    <row r="535">
      <c r="A535" s="491" t="s">
        <v>2019</v>
      </c>
      <c r="B535" s="491" t="s">
        <v>163</v>
      </c>
      <c r="C535" s="491" t="s">
        <v>75</v>
      </c>
      <c r="D535" s="491" t="s">
        <v>2018</v>
      </c>
      <c r="E535" s="492" t="s">
        <v>368</v>
      </c>
      <c r="F535" s="493">
        <v>184602.0</v>
      </c>
      <c r="G535" s="493">
        <v>61328.0</v>
      </c>
      <c r="H535" s="493">
        <v>33.22</v>
      </c>
      <c r="I535" s="493">
        <v>7.02</v>
      </c>
      <c r="J535" s="493">
        <v>5.58</v>
      </c>
      <c r="K535" s="493">
        <v>6644760.0</v>
      </c>
      <c r="L535" s="493">
        <v>9.471692E7</v>
      </c>
      <c r="M535" s="493">
        <v>35.9951</v>
      </c>
      <c r="N535" s="6">
        <v>108.3479</v>
      </c>
    </row>
    <row r="536">
      <c r="A536" s="491" t="s">
        <v>2019</v>
      </c>
      <c r="B536" s="491" t="s">
        <v>163</v>
      </c>
      <c r="C536" s="491" t="s">
        <v>75</v>
      </c>
      <c r="D536" s="491" t="s">
        <v>2018</v>
      </c>
      <c r="E536" s="492" t="s">
        <v>32</v>
      </c>
      <c r="F536" s="493">
        <v>184602.0</v>
      </c>
      <c r="G536" s="493">
        <v>60314.0</v>
      </c>
      <c r="H536" s="493">
        <v>32.67</v>
      </c>
      <c r="I536" s="493">
        <v>3.34</v>
      </c>
      <c r="J536" s="493">
        <v>3.09</v>
      </c>
      <c r="K536" s="493">
        <v>3163640.0</v>
      </c>
      <c r="L536" s="493">
        <v>9.471692E7</v>
      </c>
      <c r="M536" s="493">
        <v>17.1376</v>
      </c>
      <c r="N536" s="6">
        <v>52.4528</v>
      </c>
    </row>
    <row r="537">
      <c r="A537" s="491" t="s">
        <v>2019</v>
      </c>
      <c r="B537" s="491" t="s">
        <v>163</v>
      </c>
      <c r="C537" s="491" t="s">
        <v>75</v>
      </c>
      <c r="D537" s="491" t="s">
        <v>2018</v>
      </c>
      <c r="E537" s="492" t="s">
        <v>366</v>
      </c>
      <c r="F537" s="493">
        <v>184602.0</v>
      </c>
      <c r="G537" s="493">
        <v>47861.0</v>
      </c>
      <c r="H537" s="493">
        <v>25.93</v>
      </c>
      <c r="I537" s="493">
        <v>2.51</v>
      </c>
      <c r="J537" s="493">
        <v>2.81</v>
      </c>
      <c r="K537" s="493">
        <v>2382060.0</v>
      </c>
      <c r="L537" s="493">
        <v>9.471692E7</v>
      </c>
      <c r="M537" s="493">
        <v>12.9038</v>
      </c>
      <c r="N537" s="6">
        <v>49.7704</v>
      </c>
    </row>
    <row r="538">
      <c r="A538" s="491" t="s">
        <v>2019</v>
      </c>
      <c r="B538" s="491" t="s">
        <v>163</v>
      </c>
      <c r="C538" s="491" t="s">
        <v>75</v>
      </c>
      <c r="D538" s="491" t="s">
        <v>2018</v>
      </c>
      <c r="E538" s="492" t="s">
        <v>365</v>
      </c>
      <c r="F538" s="493">
        <v>184602.0</v>
      </c>
      <c r="G538" s="493">
        <v>30054.0</v>
      </c>
      <c r="H538" s="493">
        <v>16.28</v>
      </c>
      <c r="I538" s="493">
        <v>1.26</v>
      </c>
      <c r="J538" s="493">
        <v>0.94</v>
      </c>
      <c r="K538" s="493">
        <v>1193685.0</v>
      </c>
      <c r="L538" s="493">
        <v>9.471692E7</v>
      </c>
      <c r="M538" s="493">
        <v>6.4663</v>
      </c>
      <c r="N538" s="6">
        <v>39.718</v>
      </c>
    </row>
    <row r="539">
      <c r="A539" s="491" t="s">
        <v>2019</v>
      </c>
      <c r="B539" s="491" t="s">
        <v>163</v>
      </c>
      <c r="C539" s="491" t="s">
        <v>75</v>
      </c>
      <c r="D539" s="491" t="s">
        <v>2018</v>
      </c>
      <c r="E539" s="492" t="s">
        <v>43</v>
      </c>
      <c r="F539" s="493">
        <v>184602.0</v>
      </c>
      <c r="G539" s="493">
        <v>29716.0</v>
      </c>
      <c r="H539" s="493">
        <v>16.1</v>
      </c>
      <c r="I539" s="493">
        <v>1.22</v>
      </c>
      <c r="J539" s="493">
        <v>1.22</v>
      </c>
      <c r="K539" s="493">
        <v>1155775.0</v>
      </c>
      <c r="L539" s="493">
        <v>9.471692E7</v>
      </c>
      <c r="M539" s="493">
        <v>6.2609</v>
      </c>
      <c r="N539" s="6">
        <v>38.894</v>
      </c>
    </row>
    <row r="540">
      <c r="A540" s="491" t="s">
        <v>2019</v>
      </c>
      <c r="B540" s="491" t="s">
        <v>163</v>
      </c>
      <c r="C540" s="491" t="s">
        <v>75</v>
      </c>
      <c r="D540" s="491" t="s">
        <v>2018</v>
      </c>
      <c r="E540" s="492" t="s">
        <v>370</v>
      </c>
      <c r="F540" s="493">
        <v>184602.0</v>
      </c>
      <c r="G540" s="493">
        <v>13669.0</v>
      </c>
      <c r="H540" s="493">
        <v>7.4</v>
      </c>
      <c r="I540" s="493">
        <v>0.53</v>
      </c>
      <c r="J540" s="493">
        <v>1.09</v>
      </c>
      <c r="K540" s="493">
        <v>504255.0</v>
      </c>
      <c r="L540" s="493">
        <v>9.471692E7</v>
      </c>
      <c r="M540" s="493">
        <v>2.7316</v>
      </c>
      <c r="N540" s="6">
        <v>36.8904</v>
      </c>
    </row>
    <row r="541">
      <c r="A541" s="491" t="s">
        <v>2019</v>
      </c>
      <c r="B541" s="491" t="s">
        <v>163</v>
      </c>
      <c r="C541" s="491" t="s">
        <v>75</v>
      </c>
      <c r="D541" s="491" t="s">
        <v>2018</v>
      </c>
      <c r="E541" s="492" t="s">
        <v>369</v>
      </c>
      <c r="F541" s="493">
        <v>184602.0</v>
      </c>
      <c r="G541" s="493">
        <v>11645.0</v>
      </c>
      <c r="H541" s="493">
        <v>6.31</v>
      </c>
      <c r="I541" s="493">
        <v>0.48</v>
      </c>
      <c r="J541" s="493">
        <v>0.52</v>
      </c>
      <c r="K541" s="493">
        <v>452400.0</v>
      </c>
      <c r="L541" s="493">
        <v>9.471692E7</v>
      </c>
      <c r="M541" s="493">
        <v>2.4507</v>
      </c>
      <c r="N541" s="6">
        <v>38.8493</v>
      </c>
    </row>
    <row r="542">
      <c r="A542" s="491" t="s">
        <v>2019</v>
      </c>
      <c r="B542" s="491" t="s">
        <v>163</v>
      </c>
      <c r="C542" s="491" t="s">
        <v>75</v>
      </c>
      <c r="D542" s="491" t="s">
        <v>2018</v>
      </c>
      <c r="E542" s="492" t="s">
        <v>35</v>
      </c>
      <c r="F542" s="493">
        <v>184602.0</v>
      </c>
      <c r="G542" s="493">
        <v>7286.0</v>
      </c>
      <c r="H542" s="493">
        <v>3.95</v>
      </c>
      <c r="I542" s="493">
        <v>0.28</v>
      </c>
      <c r="J542" s="493">
        <v>0.26</v>
      </c>
      <c r="K542" s="493">
        <v>262260.0</v>
      </c>
      <c r="L542" s="493">
        <v>9.471692E7</v>
      </c>
      <c r="M542" s="493">
        <v>1.4207</v>
      </c>
      <c r="N542" s="6">
        <v>35.9951</v>
      </c>
    </row>
    <row r="543">
      <c r="A543" s="491" t="s">
        <v>2019</v>
      </c>
      <c r="B543" s="491" t="s">
        <v>163</v>
      </c>
      <c r="C543" s="491" t="s">
        <v>75</v>
      </c>
      <c r="D543" s="491" t="s">
        <v>2018</v>
      </c>
      <c r="E543" s="492" t="s">
        <v>189</v>
      </c>
      <c r="F543" s="493">
        <v>184602.0</v>
      </c>
      <c r="G543" s="493">
        <v>5017.0</v>
      </c>
      <c r="H543" s="493">
        <v>2.72</v>
      </c>
      <c r="I543" s="493">
        <v>0.17</v>
      </c>
      <c r="J543" s="493">
        <v>0.17</v>
      </c>
      <c r="K543" s="493">
        <v>156505.0</v>
      </c>
      <c r="L543" s="493">
        <v>9.471692E7</v>
      </c>
      <c r="M543" s="493">
        <v>0.8478</v>
      </c>
      <c r="N543" s="6">
        <v>31.1949</v>
      </c>
    </row>
    <row r="544">
      <c r="A544" s="491" t="s">
        <v>2019</v>
      </c>
      <c r="B544" s="491" t="s">
        <v>163</v>
      </c>
      <c r="C544" s="491" t="s">
        <v>75</v>
      </c>
      <c r="D544" s="491" t="s">
        <v>2018</v>
      </c>
      <c r="E544" s="492" t="s">
        <v>50</v>
      </c>
      <c r="F544" s="493">
        <v>184602.0</v>
      </c>
      <c r="G544" s="493">
        <v>1519.0</v>
      </c>
      <c r="H544" s="493">
        <v>0.82</v>
      </c>
      <c r="I544" s="493">
        <v>0.08</v>
      </c>
      <c r="J544" s="493">
        <v>0.17</v>
      </c>
      <c r="K544" s="493">
        <v>77320.0</v>
      </c>
      <c r="L544" s="493">
        <v>9.471692E7</v>
      </c>
      <c r="M544" s="493">
        <v>0.4188</v>
      </c>
      <c r="N544" s="6">
        <v>50.9019</v>
      </c>
    </row>
    <row r="545">
      <c r="A545" s="491" t="s">
        <v>2019</v>
      </c>
      <c r="B545" s="491" t="s">
        <v>163</v>
      </c>
      <c r="C545" s="491" t="s">
        <v>75</v>
      </c>
      <c r="D545" s="491" t="s">
        <v>2018</v>
      </c>
      <c r="E545" s="492" t="s">
        <v>134</v>
      </c>
      <c r="F545" s="493">
        <v>184602.0</v>
      </c>
      <c r="G545" s="493">
        <v>1973.0</v>
      </c>
      <c r="H545" s="493">
        <v>1.07</v>
      </c>
      <c r="I545" s="493">
        <v>0.04</v>
      </c>
      <c r="J545" s="493">
        <v>0.06</v>
      </c>
      <c r="K545" s="493">
        <v>33655.0</v>
      </c>
      <c r="L545" s="493">
        <v>9.471692E7</v>
      </c>
      <c r="M545" s="493">
        <v>0.1823</v>
      </c>
      <c r="N545" s="6">
        <v>17.0578</v>
      </c>
    </row>
    <row r="546">
      <c r="A546" s="491" t="s">
        <v>2019</v>
      </c>
      <c r="B546" s="491" t="s">
        <v>163</v>
      </c>
      <c r="C546" s="491" t="s">
        <v>75</v>
      </c>
      <c r="D546" s="491" t="s">
        <v>2018</v>
      </c>
      <c r="E546" s="492" t="s">
        <v>40</v>
      </c>
      <c r="F546" s="493">
        <v>184602.0</v>
      </c>
      <c r="G546" s="493">
        <v>3.0</v>
      </c>
      <c r="H546" s="493">
        <v>0.0</v>
      </c>
      <c r="I546" s="493">
        <v>0.0</v>
      </c>
      <c r="J546" s="493">
        <v>0.0</v>
      </c>
      <c r="K546" s="493">
        <v>195.0</v>
      </c>
      <c r="L546" s="493">
        <v>9.471692E7</v>
      </c>
      <c r="M546" s="493">
        <v>0.0011</v>
      </c>
      <c r="N546" s="6">
        <v>65.0</v>
      </c>
    </row>
    <row r="547">
      <c r="A547" s="491" t="s">
        <v>2019</v>
      </c>
      <c r="B547" s="491" t="s">
        <v>163</v>
      </c>
      <c r="C547" s="491" t="s">
        <v>75</v>
      </c>
      <c r="D547" s="491" t="s">
        <v>2018</v>
      </c>
      <c r="E547" s="492" t="s">
        <v>42</v>
      </c>
      <c r="F547" s="493">
        <v>184602.0</v>
      </c>
      <c r="G547" s="493">
        <v>7.0</v>
      </c>
      <c r="H547" s="493">
        <v>0.0</v>
      </c>
      <c r="I547" s="493">
        <v>0.0</v>
      </c>
      <c r="J547" s="493">
        <v>0.0</v>
      </c>
      <c r="K547" s="493">
        <v>260.0</v>
      </c>
      <c r="L547" s="493">
        <v>9.471692E7</v>
      </c>
      <c r="M547" s="493">
        <v>0.0014</v>
      </c>
      <c r="N547" s="6">
        <v>37.1429</v>
      </c>
    </row>
    <row r="548">
      <c r="A548" s="491" t="s">
        <v>2019</v>
      </c>
      <c r="B548" s="491" t="s">
        <v>163</v>
      </c>
      <c r="C548" s="491" t="s">
        <v>75</v>
      </c>
      <c r="D548" s="491" t="s">
        <v>2018</v>
      </c>
      <c r="E548" s="492" t="s">
        <v>374</v>
      </c>
      <c r="F548" s="493">
        <v>184602.0</v>
      </c>
      <c r="G548" s="493">
        <v>1.0</v>
      </c>
      <c r="H548" s="493">
        <v>0.0</v>
      </c>
      <c r="I548" s="493">
        <v>0.0</v>
      </c>
      <c r="J548" s="493">
        <v>0.0</v>
      </c>
      <c r="K548" s="493">
        <v>60.0</v>
      </c>
      <c r="L548" s="493">
        <v>9.471692E7</v>
      </c>
      <c r="M548" s="493">
        <v>3.0E-4</v>
      </c>
      <c r="N548" s="6">
        <v>60.0</v>
      </c>
    </row>
    <row r="549">
      <c r="A549" s="491" t="s">
        <v>2019</v>
      </c>
      <c r="B549" s="491" t="s">
        <v>163</v>
      </c>
      <c r="C549" s="491" t="s">
        <v>75</v>
      </c>
      <c r="D549" s="491" t="s">
        <v>2018</v>
      </c>
      <c r="E549" s="492" t="s">
        <v>46</v>
      </c>
      <c r="F549" s="493">
        <v>184602.0</v>
      </c>
      <c r="G549" s="493">
        <v>3.0</v>
      </c>
      <c r="H549" s="493">
        <v>0.0</v>
      </c>
      <c r="I549" s="493">
        <v>0.0</v>
      </c>
      <c r="J549" s="493">
        <v>0.0</v>
      </c>
      <c r="K549" s="493">
        <v>165.0</v>
      </c>
      <c r="L549" s="493">
        <v>9.471692E7</v>
      </c>
      <c r="M549" s="493">
        <v>9.0E-4</v>
      </c>
      <c r="N549" s="6">
        <v>55.0</v>
      </c>
    </row>
    <row r="550">
      <c r="A550" s="491" t="s">
        <v>2019</v>
      </c>
      <c r="B550" s="491" t="s">
        <v>1857</v>
      </c>
      <c r="C550" s="491" t="s">
        <v>71</v>
      </c>
      <c r="D550" s="491" t="s">
        <v>565</v>
      </c>
      <c r="E550" s="492" t="s">
        <v>370</v>
      </c>
      <c r="F550" s="493">
        <v>94940.0</v>
      </c>
      <c r="G550" s="493">
        <v>78118.0</v>
      </c>
      <c r="H550" s="493">
        <v>82.28</v>
      </c>
      <c r="I550" s="493">
        <v>41.72</v>
      </c>
      <c r="J550" s="493">
        <v>49.19</v>
      </c>
      <c r="K550" s="493">
        <v>188302.0</v>
      </c>
      <c r="L550" s="493">
        <v>451326.0</v>
      </c>
      <c r="M550" s="493">
        <v>1.9834</v>
      </c>
      <c r="N550" s="6">
        <v>2.4105</v>
      </c>
    </row>
    <row r="551">
      <c r="A551" s="491" t="s">
        <v>2019</v>
      </c>
      <c r="B551" s="491" t="s">
        <v>1857</v>
      </c>
      <c r="C551" s="491" t="s">
        <v>71</v>
      </c>
      <c r="D551" s="491" t="s">
        <v>565</v>
      </c>
      <c r="E551" s="492" t="s">
        <v>371</v>
      </c>
      <c r="F551" s="493">
        <v>94940.0</v>
      </c>
      <c r="G551" s="493">
        <v>54556.0</v>
      </c>
      <c r="H551" s="493">
        <v>57.46</v>
      </c>
      <c r="I551" s="493">
        <v>23.06</v>
      </c>
      <c r="J551" s="493">
        <v>21.6</v>
      </c>
      <c r="K551" s="493">
        <v>104055.0</v>
      </c>
      <c r="L551" s="493">
        <v>451326.0</v>
      </c>
      <c r="M551" s="493">
        <v>1.096</v>
      </c>
      <c r="N551" s="6">
        <v>1.9073</v>
      </c>
    </row>
    <row r="552">
      <c r="A552" s="491" t="s">
        <v>2019</v>
      </c>
      <c r="B552" s="491" t="s">
        <v>1857</v>
      </c>
      <c r="C552" s="491" t="s">
        <v>71</v>
      </c>
      <c r="D552" s="491" t="s">
        <v>565</v>
      </c>
      <c r="E552" s="492" t="s">
        <v>42</v>
      </c>
      <c r="F552" s="493">
        <v>94940.0</v>
      </c>
      <c r="G552" s="493">
        <v>27060.0</v>
      </c>
      <c r="H552" s="493">
        <v>28.5</v>
      </c>
      <c r="I552" s="493">
        <v>12.36</v>
      </c>
      <c r="J552" s="493">
        <v>11.29</v>
      </c>
      <c r="K552" s="493">
        <v>55795.0</v>
      </c>
      <c r="L552" s="493">
        <v>451326.0</v>
      </c>
      <c r="M552" s="493">
        <v>0.5877</v>
      </c>
      <c r="N552" s="6">
        <v>2.0619</v>
      </c>
    </row>
    <row r="553">
      <c r="A553" s="491" t="s">
        <v>2019</v>
      </c>
      <c r="B553" s="491" t="s">
        <v>1857</v>
      </c>
      <c r="C553" s="491" t="s">
        <v>71</v>
      </c>
      <c r="D553" s="491" t="s">
        <v>565</v>
      </c>
      <c r="E553" s="492" t="s">
        <v>372</v>
      </c>
      <c r="F553" s="493">
        <v>94940.0</v>
      </c>
      <c r="G553" s="493">
        <v>27081.0</v>
      </c>
      <c r="H553" s="493">
        <v>28.52</v>
      </c>
      <c r="I553" s="493">
        <v>11.9</v>
      </c>
      <c r="J553" s="493">
        <v>7.88</v>
      </c>
      <c r="K553" s="493">
        <v>53705.0</v>
      </c>
      <c r="L553" s="493">
        <v>451326.0</v>
      </c>
      <c r="M553" s="493">
        <v>0.5657</v>
      </c>
      <c r="N553" s="6">
        <v>1.9831</v>
      </c>
    </row>
    <row r="554">
      <c r="A554" s="491" t="s">
        <v>2019</v>
      </c>
      <c r="B554" s="491" t="s">
        <v>1857</v>
      </c>
      <c r="C554" s="491" t="s">
        <v>71</v>
      </c>
      <c r="D554" s="491" t="s">
        <v>565</v>
      </c>
      <c r="E554" s="492" t="s">
        <v>49</v>
      </c>
      <c r="F554" s="493">
        <v>94940.0</v>
      </c>
      <c r="G554" s="493">
        <v>18416.0</v>
      </c>
      <c r="H554" s="493">
        <v>19.4</v>
      </c>
      <c r="I554" s="493">
        <v>5.56</v>
      </c>
      <c r="J554" s="493">
        <v>5.09</v>
      </c>
      <c r="K554" s="493">
        <v>25103.0</v>
      </c>
      <c r="L554" s="493">
        <v>451326.0</v>
      </c>
      <c r="M554" s="493">
        <v>0.2644</v>
      </c>
      <c r="N554" s="6">
        <v>1.3631</v>
      </c>
    </row>
    <row r="555">
      <c r="A555" s="491" t="s">
        <v>2019</v>
      </c>
      <c r="B555" s="491" t="s">
        <v>1857</v>
      </c>
      <c r="C555" s="491" t="s">
        <v>71</v>
      </c>
      <c r="D555" s="491" t="s">
        <v>565</v>
      </c>
      <c r="E555" s="492" t="s">
        <v>50</v>
      </c>
      <c r="F555" s="493">
        <v>94940.0</v>
      </c>
      <c r="G555" s="493">
        <v>6901.0</v>
      </c>
      <c r="H555" s="493">
        <v>7.27</v>
      </c>
      <c r="I555" s="493">
        <v>1.74</v>
      </c>
      <c r="J555" s="493">
        <v>1.29</v>
      </c>
      <c r="K555" s="493">
        <v>7868.0</v>
      </c>
      <c r="L555" s="493">
        <v>451326.0</v>
      </c>
      <c r="M555" s="493">
        <v>0.0829</v>
      </c>
      <c r="N555" s="6">
        <v>1.1401</v>
      </c>
    </row>
    <row r="556">
      <c r="A556" s="491" t="s">
        <v>2019</v>
      </c>
      <c r="B556" s="491" t="s">
        <v>1857</v>
      </c>
      <c r="C556" s="491" t="s">
        <v>71</v>
      </c>
      <c r="D556" s="491" t="s">
        <v>565</v>
      </c>
      <c r="E556" s="492" t="s">
        <v>366</v>
      </c>
      <c r="F556" s="493">
        <v>94940.0</v>
      </c>
      <c r="G556" s="493">
        <v>7383.0</v>
      </c>
      <c r="H556" s="493">
        <v>7.78</v>
      </c>
      <c r="I556" s="493">
        <v>1.66</v>
      </c>
      <c r="J556" s="493">
        <v>1.66</v>
      </c>
      <c r="K556" s="493">
        <v>7504.0</v>
      </c>
      <c r="L556" s="493">
        <v>451326.0</v>
      </c>
      <c r="M556" s="493">
        <v>0.079</v>
      </c>
      <c r="N556" s="6">
        <v>1.0164</v>
      </c>
    </row>
    <row r="557">
      <c r="A557" s="491" t="s">
        <v>2019</v>
      </c>
      <c r="B557" s="491" t="s">
        <v>1857</v>
      </c>
      <c r="C557" s="491" t="s">
        <v>71</v>
      </c>
      <c r="D557" s="491" t="s">
        <v>565</v>
      </c>
      <c r="E557" s="492" t="s">
        <v>44</v>
      </c>
      <c r="F557" s="493">
        <v>94940.0</v>
      </c>
      <c r="G557" s="493">
        <v>3764.0</v>
      </c>
      <c r="H557" s="493">
        <v>3.96</v>
      </c>
      <c r="I557" s="493">
        <v>0.97</v>
      </c>
      <c r="J557" s="493">
        <v>0.93</v>
      </c>
      <c r="K557" s="493">
        <v>4389.0</v>
      </c>
      <c r="L557" s="493">
        <v>451326.0</v>
      </c>
      <c r="M557" s="493">
        <v>0.0462</v>
      </c>
      <c r="N557" s="6">
        <v>1.166</v>
      </c>
    </row>
    <row r="558">
      <c r="A558" s="491" t="s">
        <v>2019</v>
      </c>
      <c r="B558" s="491" t="s">
        <v>1857</v>
      </c>
      <c r="C558" s="491" t="s">
        <v>71</v>
      </c>
      <c r="D558" s="491" t="s">
        <v>565</v>
      </c>
      <c r="E558" s="492" t="s">
        <v>134</v>
      </c>
      <c r="F558" s="493">
        <v>94940.0</v>
      </c>
      <c r="G558" s="493">
        <v>3455.0</v>
      </c>
      <c r="H558" s="493">
        <v>3.64</v>
      </c>
      <c r="I558" s="493">
        <v>0.92</v>
      </c>
      <c r="J558" s="493">
        <v>0.96</v>
      </c>
      <c r="K558" s="493">
        <v>4145.0</v>
      </c>
      <c r="L558" s="493">
        <v>451326.0</v>
      </c>
      <c r="M558" s="493">
        <v>0.0437</v>
      </c>
      <c r="N558" s="6">
        <v>1.1997</v>
      </c>
    </row>
    <row r="559">
      <c r="A559" s="491" t="s">
        <v>2019</v>
      </c>
      <c r="B559" s="491" t="s">
        <v>1857</v>
      </c>
      <c r="C559" s="491" t="s">
        <v>71</v>
      </c>
      <c r="D559" s="491" t="s">
        <v>565</v>
      </c>
      <c r="E559" s="492" t="s">
        <v>43</v>
      </c>
      <c r="F559" s="493">
        <v>94940.0</v>
      </c>
      <c r="G559" s="493">
        <v>415.0</v>
      </c>
      <c r="H559" s="493">
        <v>0.44</v>
      </c>
      <c r="I559" s="493">
        <v>0.09</v>
      </c>
      <c r="J559" s="493">
        <v>0.11</v>
      </c>
      <c r="K559" s="493">
        <v>427.0</v>
      </c>
      <c r="L559" s="493">
        <v>451326.0</v>
      </c>
      <c r="M559" s="493">
        <v>0.0045</v>
      </c>
      <c r="N559" s="6">
        <v>1.0289</v>
      </c>
    </row>
    <row r="560">
      <c r="A560" s="491" t="s">
        <v>2019</v>
      </c>
      <c r="B560" s="491" t="s">
        <v>1857</v>
      </c>
      <c r="C560" s="491" t="s">
        <v>71</v>
      </c>
      <c r="D560" s="491" t="s">
        <v>565</v>
      </c>
      <c r="E560" s="492" t="s">
        <v>32</v>
      </c>
      <c r="F560" s="493">
        <v>94940.0</v>
      </c>
      <c r="G560" s="493">
        <v>6.0</v>
      </c>
      <c r="H560" s="493">
        <v>0.01</v>
      </c>
      <c r="I560" s="493">
        <v>0.0</v>
      </c>
      <c r="J560" s="493">
        <v>0.0</v>
      </c>
      <c r="K560" s="493">
        <v>7.0</v>
      </c>
      <c r="L560" s="493">
        <v>451326.0</v>
      </c>
      <c r="M560" s="493">
        <v>1.0E-4</v>
      </c>
      <c r="N560" s="6">
        <v>1.1667</v>
      </c>
    </row>
    <row r="561">
      <c r="A561" s="491" t="s">
        <v>2019</v>
      </c>
      <c r="B561" s="491" t="s">
        <v>1857</v>
      </c>
      <c r="C561" s="491" t="s">
        <v>71</v>
      </c>
      <c r="D561" s="491" t="s">
        <v>565</v>
      </c>
      <c r="E561" s="492" t="s">
        <v>369</v>
      </c>
      <c r="F561" s="493">
        <v>94940.0</v>
      </c>
      <c r="G561" s="493">
        <v>3.0</v>
      </c>
      <c r="H561" s="493">
        <v>0.0</v>
      </c>
      <c r="I561" s="493">
        <v>0.0</v>
      </c>
      <c r="J561" s="493">
        <v>0.0</v>
      </c>
      <c r="K561" s="493">
        <v>3.0</v>
      </c>
      <c r="L561" s="493">
        <v>451326.0</v>
      </c>
      <c r="M561" s="493">
        <v>0.0</v>
      </c>
      <c r="N561" s="6">
        <v>1.0</v>
      </c>
    </row>
    <row r="562">
      <c r="A562" s="491" t="s">
        <v>2019</v>
      </c>
      <c r="B562" s="491" t="s">
        <v>1857</v>
      </c>
      <c r="C562" s="491" t="s">
        <v>71</v>
      </c>
      <c r="D562" s="491" t="s">
        <v>565</v>
      </c>
      <c r="E562" s="492" t="s">
        <v>312</v>
      </c>
      <c r="F562" s="493">
        <v>94940.0</v>
      </c>
      <c r="G562" s="493">
        <v>2.0</v>
      </c>
      <c r="H562" s="493">
        <v>0.0</v>
      </c>
      <c r="I562" s="493">
        <v>0.0</v>
      </c>
      <c r="J562" s="493">
        <v>0.0</v>
      </c>
      <c r="K562" s="493">
        <v>3.0</v>
      </c>
      <c r="L562" s="493">
        <v>451326.0</v>
      </c>
      <c r="M562" s="493">
        <v>0.0</v>
      </c>
      <c r="N562" s="6">
        <v>1.5</v>
      </c>
    </row>
    <row r="563">
      <c r="A563" s="491" t="s">
        <v>2019</v>
      </c>
      <c r="B563" s="491" t="s">
        <v>1857</v>
      </c>
      <c r="C563" s="491" t="s">
        <v>71</v>
      </c>
      <c r="D563" s="491" t="s">
        <v>565</v>
      </c>
      <c r="E563" s="492" t="s">
        <v>368</v>
      </c>
      <c r="F563" s="493">
        <v>94940.0</v>
      </c>
      <c r="G563" s="493">
        <v>2.0</v>
      </c>
      <c r="H563" s="493">
        <v>0.0</v>
      </c>
      <c r="I563" s="493">
        <v>0.0</v>
      </c>
      <c r="J563" s="493">
        <v>0.0</v>
      </c>
      <c r="K563" s="493">
        <v>6.0</v>
      </c>
      <c r="L563" s="493">
        <v>451326.0</v>
      </c>
      <c r="M563" s="493">
        <v>1.0E-4</v>
      </c>
      <c r="N563" s="6">
        <v>3.0</v>
      </c>
    </row>
    <row r="564">
      <c r="A564" s="491" t="s">
        <v>2019</v>
      </c>
      <c r="B564" s="491" t="s">
        <v>1857</v>
      </c>
      <c r="C564" s="491" t="s">
        <v>71</v>
      </c>
      <c r="D564" s="491" t="s">
        <v>565</v>
      </c>
      <c r="E564" s="492" t="s">
        <v>189</v>
      </c>
      <c r="F564" s="493">
        <v>94940.0</v>
      </c>
      <c r="G564" s="493">
        <v>1.0</v>
      </c>
      <c r="H564" s="493">
        <v>0.0</v>
      </c>
      <c r="I564" s="493">
        <v>0.0</v>
      </c>
      <c r="J564" s="493">
        <v>0.0</v>
      </c>
      <c r="K564" s="493">
        <v>1.0</v>
      </c>
      <c r="L564" s="493">
        <v>451326.0</v>
      </c>
      <c r="M564" s="493">
        <v>0.0</v>
      </c>
      <c r="N564" s="6">
        <v>1.0</v>
      </c>
    </row>
    <row r="565">
      <c r="A565" s="491" t="s">
        <v>2019</v>
      </c>
      <c r="B565" s="491" t="s">
        <v>1857</v>
      </c>
      <c r="C565" s="491" t="s">
        <v>71</v>
      </c>
      <c r="D565" s="491" t="s">
        <v>565</v>
      </c>
      <c r="E565" s="492" t="s">
        <v>35</v>
      </c>
      <c r="F565" s="493">
        <v>94940.0</v>
      </c>
      <c r="G565" s="493">
        <v>3.0</v>
      </c>
      <c r="H565" s="493">
        <v>0.0</v>
      </c>
      <c r="I565" s="493">
        <v>0.0</v>
      </c>
      <c r="J565" s="493">
        <v>0.0</v>
      </c>
      <c r="K565" s="493">
        <v>5.0</v>
      </c>
      <c r="L565" s="493">
        <v>451326.0</v>
      </c>
      <c r="M565" s="493">
        <v>1.0E-4</v>
      </c>
      <c r="N565" s="6">
        <v>1.6667</v>
      </c>
    </row>
    <row r="566">
      <c r="A566" s="491" t="s">
        <v>2019</v>
      </c>
      <c r="B566" s="491" t="s">
        <v>1857</v>
      </c>
      <c r="C566" s="491" t="s">
        <v>71</v>
      </c>
      <c r="D566" s="491" t="s">
        <v>565</v>
      </c>
      <c r="E566" s="492" t="s">
        <v>373</v>
      </c>
      <c r="F566" s="493">
        <v>94940.0</v>
      </c>
      <c r="G566" s="493">
        <v>3.0</v>
      </c>
      <c r="H566" s="493">
        <v>0.0</v>
      </c>
      <c r="I566" s="493">
        <v>0.0</v>
      </c>
      <c r="J566" s="493">
        <v>0.0</v>
      </c>
      <c r="K566" s="493">
        <v>8.0</v>
      </c>
      <c r="L566" s="493">
        <v>451326.0</v>
      </c>
      <c r="M566" s="493">
        <v>1.0E-4</v>
      </c>
      <c r="N566" s="6">
        <v>2.6667</v>
      </c>
    </row>
    <row r="567">
      <c r="A567" s="491" t="s">
        <v>2019</v>
      </c>
      <c r="B567" s="491" t="s">
        <v>1857</v>
      </c>
      <c r="C567" s="491" t="s">
        <v>70</v>
      </c>
      <c r="D567" s="491" t="s">
        <v>565</v>
      </c>
      <c r="E567" s="492" t="s">
        <v>372</v>
      </c>
      <c r="F567" s="493">
        <v>105678.0</v>
      </c>
      <c r="G567" s="493">
        <v>78097.0</v>
      </c>
      <c r="H567" s="493">
        <v>73.9</v>
      </c>
      <c r="I567" s="493">
        <v>24.89</v>
      </c>
      <c r="J567" s="493">
        <v>26.49</v>
      </c>
      <c r="K567" s="493">
        <v>207579.0</v>
      </c>
      <c r="L567" s="493">
        <v>833830.0</v>
      </c>
      <c r="M567" s="493">
        <v>1.9643</v>
      </c>
      <c r="N567" s="6">
        <v>2.658</v>
      </c>
    </row>
    <row r="568">
      <c r="A568" s="491" t="s">
        <v>2019</v>
      </c>
      <c r="B568" s="491" t="s">
        <v>1857</v>
      </c>
      <c r="C568" s="491" t="s">
        <v>70</v>
      </c>
      <c r="D568" s="491" t="s">
        <v>565</v>
      </c>
      <c r="E568" s="492" t="s">
        <v>370</v>
      </c>
      <c r="F568" s="493">
        <v>105678.0</v>
      </c>
      <c r="G568" s="493">
        <v>78267.0</v>
      </c>
      <c r="H568" s="493">
        <v>74.06</v>
      </c>
      <c r="I568" s="493">
        <v>22.58</v>
      </c>
      <c r="J568" s="493">
        <v>26.63</v>
      </c>
      <c r="K568" s="493">
        <v>188303.0</v>
      </c>
      <c r="L568" s="493">
        <v>833830.0</v>
      </c>
      <c r="M568" s="493">
        <v>1.7819</v>
      </c>
      <c r="N568" s="6">
        <v>2.4059</v>
      </c>
    </row>
    <row r="569">
      <c r="A569" s="491" t="s">
        <v>2019</v>
      </c>
      <c r="B569" s="491" t="s">
        <v>1857</v>
      </c>
      <c r="C569" s="491" t="s">
        <v>70</v>
      </c>
      <c r="D569" s="491" t="s">
        <v>565</v>
      </c>
      <c r="E569" s="492" t="s">
        <v>371</v>
      </c>
      <c r="F569" s="493">
        <v>105678.0</v>
      </c>
      <c r="G569" s="493">
        <v>70385.0</v>
      </c>
      <c r="H569" s="493">
        <v>66.6</v>
      </c>
      <c r="I569" s="493">
        <v>22.15</v>
      </c>
      <c r="J569" s="493">
        <v>19.99</v>
      </c>
      <c r="K569" s="493">
        <v>184653.0</v>
      </c>
      <c r="L569" s="493">
        <v>833830.0</v>
      </c>
      <c r="M569" s="493">
        <v>1.7473</v>
      </c>
      <c r="N569" s="6">
        <v>2.6235</v>
      </c>
    </row>
    <row r="570">
      <c r="A570" s="491" t="s">
        <v>2019</v>
      </c>
      <c r="B570" s="491" t="s">
        <v>1857</v>
      </c>
      <c r="C570" s="491" t="s">
        <v>70</v>
      </c>
      <c r="D570" s="491" t="s">
        <v>565</v>
      </c>
      <c r="E570" s="492" t="s">
        <v>369</v>
      </c>
      <c r="F570" s="493">
        <v>105678.0</v>
      </c>
      <c r="G570" s="493">
        <v>52208.0</v>
      </c>
      <c r="H570" s="493">
        <v>49.4</v>
      </c>
      <c r="I570" s="493">
        <v>9.94</v>
      </c>
      <c r="J570" s="493">
        <v>9.5</v>
      </c>
      <c r="K570" s="493">
        <v>82913.0</v>
      </c>
      <c r="L570" s="493">
        <v>833830.0</v>
      </c>
      <c r="M570" s="493">
        <v>0.7846</v>
      </c>
      <c r="N570" s="6">
        <v>1.5881</v>
      </c>
    </row>
    <row r="571">
      <c r="A571" s="491" t="s">
        <v>2019</v>
      </c>
      <c r="B571" s="491" t="s">
        <v>1857</v>
      </c>
      <c r="C571" s="491" t="s">
        <v>70</v>
      </c>
      <c r="D571" s="491" t="s">
        <v>565</v>
      </c>
      <c r="E571" s="492" t="s">
        <v>44</v>
      </c>
      <c r="F571" s="493">
        <v>105678.0</v>
      </c>
      <c r="G571" s="493">
        <v>21861.0</v>
      </c>
      <c r="H571" s="493">
        <v>20.69</v>
      </c>
      <c r="I571" s="493">
        <v>3.73</v>
      </c>
      <c r="J571" s="493">
        <v>2.99</v>
      </c>
      <c r="K571" s="493">
        <v>31110.0</v>
      </c>
      <c r="L571" s="493">
        <v>833830.0</v>
      </c>
      <c r="M571" s="493">
        <v>0.2944</v>
      </c>
      <c r="N571" s="6">
        <v>1.4231</v>
      </c>
    </row>
    <row r="572">
      <c r="A572" s="491" t="s">
        <v>2019</v>
      </c>
      <c r="B572" s="491" t="s">
        <v>1857</v>
      </c>
      <c r="C572" s="491" t="s">
        <v>70</v>
      </c>
      <c r="D572" s="491" t="s">
        <v>565</v>
      </c>
      <c r="E572" s="492" t="s">
        <v>368</v>
      </c>
      <c r="F572" s="493">
        <v>105678.0</v>
      </c>
      <c r="G572" s="493">
        <v>14874.0</v>
      </c>
      <c r="H572" s="493">
        <v>14.07</v>
      </c>
      <c r="I572" s="493">
        <v>3.56</v>
      </c>
      <c r="J572" s="493">
        <v>2.24</v>
      </c>
      <c r="K572" s="493">
        <v>29709.0</v>
      </c>
      <c r="L572" s="493">
        <v>833830.0</v>
      </c>
      <c r="M572" s="493">
        <v>0.2811</v>
      </c>
      <c r="N572" s="6">
        <v>1.9974</v>
      </c>
    </row>
    <row r="573">
      <c r="A573" s="491" t="s">
        <v>2019</v>
      </c>
      <c r="B573" s="491" t="s">
        <v>1857</v>
      </c>
      <c r="C573" s="491" t="s">
        <v>70</v>
      </c>
      <c r="D573" s="491" t="s">
        <v>565</v>
      </c>
      <c r="E573" s="492" t="s">
        <v>189</v>
      </c>
      <c r="F573" s="493">
        <v>105678.0</v>
      </c>
      <c r="G573" s="493">
        <v>27641.0</v>
      </c>
      <c r="H573" s="493">
        <v>26.16</v>
      </c>
      <c r="I573" s="493">
        <v>3.41</v>
      </c>
      <c r="J573" s="493">
        <v>3.31</v>
      </c>
      <c r="K573" s="493">
        <v>28445.0</v>
      </c>
      <c r="L573" s="493">
        <v>833830.0</v>
      </c>
      <c r="M573" s="493">
        <v>0.2692</v>
      </c>
      <c r="N573" s="6">
        <v>1.0291</v>
      </c>
    </row>
    <row r="574">
      <c r="A574" s="491" t="s">
        <v>2019</v>
      </c>
      <c r="B574" s="491" t="s">
        <v>1857</v>
      </c>
      <c r="C574" s="491" t="s">
        <v>70</v>
      </c>
      <c r="D574" s="491" t="s">
        <v>565</v>
      </c>
      <c r="E574" s="492" t="s">
        <v>49</v>
      </c>
      <c r="F574" s="493">
        <v>105678.0</v>
      </c>
      <c r="G574" s="493">
        <v>18416.0</v>
      </c>
      <c r="H574" s="493">
        <v>17.43</v>
      </c>
      <c r="I574" s="493">
        <v>3.01</v>
      </c>
      <c r="J574" s="493">
        <v>2.75</v>
      </c>
      <c r="K574" s="493">
        <v>25103.0</v>
      </c>
      <c r="L574" s="493">
        <v>833830.0</v>
      </c>
      <c r="M574" s="493">
        <v>0.2375</v>
      </c>
      <c r="N574" s="6">
        <v>1.3631</v>
      </c>
    </row>
    <row r="575">
      <c r="A575" s="491" t="s">
        <v>2019</v>
      </c>
      <c r="B575" s="491" t="s">
        <v>1857</v>
      </c>
      <c r="C575" s="491" t="s">
        <v>70</v>
      </c>
      <c r="D575" s="491" t="s">
        <v>565</v>
      </c>
      <c r="E575" s="492" t="s">
        <v>42</v>
      </c>
      <c r="F575" s="493">
        <v>105678.0</v>
      </c>
      <c r="G575" s="493">
        <v>15556.0</v>
      </c>
      <c r="H575" s="493">
        <v>14.72</v>
      </c>
      <c r="I575" s="493">
        <v>2.84</v>
      </c>
      <c r="J575" s="493">
        <v>2.81</v>
      </c>
      <c r="K575" s="493">
        <v>23652.0</v>
      </c>
      <c r="L575" s="493">
        <v>833830.0</v>
      </c>
      <c r="M575" s="493">
        <v>0.2238</v>
      </c>
      <c r="N575" s="6">
        <v>1.5204</v>
      </c>
    </row>
    <row r="576">
      <c r="A576" s="491" t="s">
        <v>2019</v>
      </c>
      <c r="B576" s="491" t="s">
        <v>1857</v>
      </c>
      <c r="C576" s="491" t="s">
        <v>70</v>
      </c>
      <c r="D576" s="491" t="s">
        <v>565</v>
      </c>
      <c r="E576" s="492" t="s">
        <v>35</v>
      </c>
      <c r="F576" s="493">
        <v>105678.0</v>
      </c>
      <c r="G576" s="493">
        <v>12029.0</v>
      </c>
      <c r="H576" s="493">
        <v>11.38</v>
      </c>
      <c r="I576" s="493">
        <v>1.64</v>
      </c>
      <c r="J576" s="493">
        <v>1.43</v>
      </c>
      <c r="K576" s="493">
        <v>13656.0</v>
      </c>
      <c r="L576" s="493">
        <v>833830.0</v>
      </c>
      <c r="M576" s="493">
        <v>0.1292</v>
      </c>
      <c r="N576" s="6">
        <v>1.1353</v>
      </c>
    </row>
    <row r="577">
      <c r="A577" s="491" t="s">
        <v>2019</v>
      </c>
      <c r="B577" s="491" t="s">
        <v>1857</v>
      </c>
      <c r="C577" s="491" t="s">
        <v>70</v>
      </c>
      <c r="D577" s="491" t="s">
        <v>565</v>
      </c>
      <c r="E577" s="492" t="s">
        <v>366</v>
      </c>
      <c r="F577" s="493">
        <v>105678.0</v>
      </c>
      <c r="G577" s="493">
        <v>9563.0</v>
      </c>
      <c r="H577" s="493">
        <v>9.05</v>
      </c>
      <c r="I577" s="493">
        <v>1.23</v>
      </c>
      <c r="J577" s="493">
        <v>1.13</v>
      </c>
      <c r="K577" s="493">
        <v>10237.0</v>
      </c>
      <c r="L577" s="493">
        <v>833830.0</v>
      </c>
      <c r="M577" s="493">
        <v>0.0969</v>
      </c>
      <c r="N577" s="6">
        <v>1.0705</v>
      </c>
    </row>
    <row r="578">
      <c r="A578" s="491" t="s">
        <v>2019</v>
      </c>
      <c r="B578" s="491" t="s">
        <v>1857</v>
      </c>
      <c r="C578" s="491" t="s">
        <v>70</v>
      </c>
      <c r="D578" s="491" t="s">
        <v>565</v>
      </c>
      <c r="E578" s="492" t="s">
        <v>50</v>
      </c>
      <c r="F578" s="493">
        <v>105678.0</v>
      </c>
      <c r="G578" s="493">
        <v>4313.0</v>
      </c>
      <c r="H578" s="493">
        <v>4.08</v>
      </c>
      <c r="I578" s="493">
        <v>0.57</v>
      </c>
      <c r="J578" s="493">
        <v>0.39</v>
      </c>
      <c r="K578" s="493">
        <v>4751.0</v>
      </c>
      <c r="L578" s="493">
        <v>833830.0</v>
      </c>
      <c r="M578" s="493">
        <v>0.045</v>
      </c>
      <c r="N578" s="6">
        <v>1.1016</v>
      </c>
    </row>
    <row r="579">
      <c r="A579" s="491" t="s">
        <v>2019</v>
      </c>
      <c r="B579" s="491" t="s">
        <v>1857</v>
      </c>
      <c r="C579" s="491" t="s">
        <v>70</v>
      </c>
      <c r="D579" s="491" t="s">
        <v>565</v>
      </c>
      <c r="E579" s="492" t="s">
        <v>134</v>
      </c>
      <c r="F579" s="493">
        <v>105678.0</v>
      </c>
      <c r="G579" s="493">
        <v>2485.0</v>
      </c>
      <c r="H579" s="493">
        <v>2.35</v>
      </c>
      <c r="I579" s="493">
        <v>0.37</v>
      </c>
      <c r="J579" s="493">
        <v>0.27</v>
      </c>
      <c r="K579" s="493">
        <v>3103.0</v>
      </c>
      <c r="L579" s="493">
        <v>833830.0</v>
      </c>
      <c r="M579" s="493">
        <v>0.0294</v>
      </c>
      <c r="N579" s="6">
        <v>1.2487</v>
      </c>
    </row>
    <row r="580">
      <c r="A580" s="491" t="s">
        <v>2019</v>
      </c>
      <c r="B580" s="491" t="s">
        <v>1857</v>
      </c>
      <c r="C580" s="491" t="s">
        <v>70</v>
      </c>
      <c r="D580" s="491" t="s">
        <v>565</v>
      </c>
      <c r="E580" s="492" t="s">
        <v>43</v>
      </c>
      <c r="F580" s="493">
        <v>105678.0</v>
      </c>
      <c r="G580" s="493">
        <v>569.0</v>
      </c>
      <c r="H580" s="493">
        <v>0.54</v>
      </c>
      <c r="I580" s="493">
        <v>0.07</v>
      </c>
      <c r="J580" s="493">
        <v>0.09</v>
      </c>
      <c r="K580" s="493">
        <v>591.0</v>
      </c>
      <c r="L580" s="493">
        <v>833830.0</v>
      </c>
      <c r="M580" s="493">
        <v>0.0056</v>
      </c>
      <c r="N580" s="6">
        <v>1.0387</v>
      </c>
    </row>
    <row r="581">
      <c r="A581" s="491" t="s">
        <v>2019</v>
      </c>
      <c r="B581" s="491" t="s">
        <v>1857</v>
      </c>
      <c r="C581" s="491" t="s">
        <v>70</v>
      </c>
      <c r="D581" s="491" t="s">
        <v>565</v>
      </c>
      <c r="E581" s="492" t="s">
        <v>311</v>
      </c>
      <c r="F581" s="493">
        <v>105678.0</v>
      </c>
      <c r="G581" s="493">
        <v>2.0</v>
      </c>
      <c r="H581" s="493">
        <v>0.0</v>
      </c>
      <c r="I581" s="493">
        <v>0.0</v>
      </c>
      <c r="J581" s="493">
        <v>0.0</v>
      </c>
      <c r="K581" s="493">
        <v>4.0</v>
      </c>
      <c r="L581" s="493">
        <v>833830.0</v>
      </c>
      <c r="M581" s="493">
        <v>0.0</v>
      </c>
      <c r="N581" s="6">
        <v>2.0</v>
      </c>
    </row>
    <row r="582">
      <c r="A582" s="491" t="s">
        <v>2019</v>
      </c>
      <c r="B582" s="491" t="s">
        <v>1857</v>
      </c>
      <c r="C582" s="491" t="s">
        <v>70</v>
      </c>
      <c r="D582" s="491" t="s">
        <v>565</v>
      </c>
      <c r="E582" s="492" t="s">
        <v>367</v>
      </c>
      <c r="F582" s="493">
        <v>105678.0</v>
      </c>
      <c r="G582" s="493">
        <v>1.0</v>
      </c>
      <c r="H582" s="493">
        <v>0.0</v>
      </c>
      <c r="I582" s="493">
        <v>0.0</v>
      </c>
      <c r="J582" s="493">
        <v>0.0</v>
      </c>
      <c r="K582" s="493">
        <v>2.0</v>
      </c>
      <c r="L582" s="493">
        <v>833830.0</v>
      </c>
      <c r="M582" s="493">
        <v>0.0</v>
      </c>
      <c r="N582" s="6">
        <v>2.0</v>
      </c>
    </row>
    <row r="583">
      <c r="A583" s="491" t="s">
        <v>2019</v>
      </c>
      <c r="B583" s="491" t="s">
        <v>1857</v>
      </c>
      <c r="C583" s="491" t="s">
        <v>70</v>
      </c>
      <c r="D583" s="491" t="s">
        <v>565</v>
      </c>
      <c r="E583" s="492" t="s">
        <v>373</v>
      </c>
      <c r="F583" s="493">
        <v>105678.0</v>
      </c>
      <c r="G583" s="493">
        <v>2.0</v>
      </c>
      <c r="H583" s="493">
        <v>0.0</v>
      </c>
      <c r="I583" s="493">
        <v>0.0</v>
      </c>
      <c r="J583" s="493">
        <v>0.0</v>
      </c>
      <c r="K583" s="493">
        <v>4.0</v>
      </c>
      <c r="L583" s="493">
        <v>833830.0</v>
      </c>
      <c r="M583" s="493">
        <v>0.0</v>
      </c>
      <c r="N583" s="6">
        <v>2.0</v>
      </c>
    </row>
    <row r="584">
      <c r="A584" s="491" t="s">
        <v>2019</v>
      </c>
      <c r="B584" s="491" t="s">
        <v>1857</v>
      </c>
      <c r="C584" s="491" t="s">
        <v>70</v>
      </c>
      <c r="D584" s="491" t="s">
        <v>565</v>
      </c>
      <c r="E584" s="492" t="s">
        <v>32</v>
      </c>
      <c r="F584" s="493">
        <v>105678.0</v>
      </c>
      <c r="G584" s="493">
        <v>13.0</v>
      </c>
      <c r="H584" s="493">
        <v>0.01</v>
      </c>
      <c r="I584" s="493">
        <v>0.0</v>
      </c>
      <c r="J584" s="493">
        <v>0.01</v>
      </c>
      <c r="K584" s="493">
        <v>15.0</v>
      </c>
      <c r="L584" s="493">
        <v>833830.0</v>
      </c>
      <c r="M584" s="493">
        <v>1.0E-4</v>
      </c>
      <c r="N584" s="6">
        <v>1.1538</v>
      </c>
    </row>
    <row r="585">
      <c r="A585" s="491" t="s">
        <v>2019</v>
      </c>
      <c r="B585" s="491" t="s">
        <v>1857</v>
      </c>
      <c r="C585" s="491" t="s">
        <v>74</v>
      </c>
      <c r="D585" s="491" t="s">
        <v>565</v>
      </c>
      <c r="E585" s="492" t="s">
        <v>42</v>
      </c>
      <c r="F585" s="493">
        <v>77540.0</v>
      </c>
      <c r="G585" s="493">
        <v>50948.0</v>
      </c>
      <c r="H585" s="493">
        <v>65.71</v>
      </c>
      <c r="I585" s="493">
        <v>34.18</v>
      </c>
      <c r="J585" s="493">
        <v>37.4</v>
      </c>
      <c r="K585" s="493">
        <v>109863.0</v>
      </c>
      <c r="L585" s="493">
        <v>321465.0</v>
      </c>
      <c r="M585" s="493">
        <v>1.4169</v>
      </c>
      <c r="N585" s="6">
        <v>2.1564</v>
      </c>
    </row>
    <row r="586">
      <c r="A586" s="491" t="s">
        <v>2019</v>
      </c>
      <c r="B586" s="491" t="s">
        <v>1857</v>
      </c>
      <c r="C586" s="491" t="s">
        <v>74</v>
      </c>
      <c r="D586" s="491" t="s">
        <v>565</v>
      </c>
      <c r="E586" s="492" t="s">
        <v>371</v>
      </c>
      <c r="F586" s="493">
        <v>77540.0</v>
      </c>
      <c r="G586" s="493">
        <v>50893.0</v>
      </c>
      <c r="H586" s="493">
        <v>65.63</v>
      </c>
      <c r="I586" s="493">
        <v>24.09</v>
      </c>
      <c r="J586" s="493">
        <v>28.33</v>
      </c>
      <c r="K586" s="493">
        <v>77438.0</v>
      </c>
      <c r="L586" s="493">
        <v>321465.0</v>
      </c>
      <c r="M586" s="493">
        <v>0.9987</v>
      </c>
      <c r="N586" s="6">
        <v>1.5216</v>
      </c>
    </row>
    <row r="587">
      <c r="A587" s="491" t="s">
        <v>2019</v>
      </c>
      <c r="B587" s="491" t="s">
        <v>1857</v>
      </c>
      <c r="C587" s="491" t="s">
        <v>74</v>
      </c>
      <c r="D587" s="491" t="s">
        <v>565</v>
      </c>
      <c r="E587" s="492" t="s">
        <v>365</v>
      </c>
      <c r="F587" s="493">
        <v>77540.0</v>
      </c>
      <c r="G587" s="493">
        <v>19756.0</v>
      </c>
      <c r="H587" s="493">
        <v>25.48</v>
      </c>
      <c r="I587" s="493">
        <v>13.49</v>
      </c>
      <c r="J587" s="493">
        <v>9.53</v>
      </c>
      <c r="K587" s="493">
        <v>43370.0</v>
      </c>
      <c r="L587" s="493">
        <v>321465.0</v>
      </c>
      <c r="M587" s="493">
        <v>0.5593</v>
      </c>
      <c r="N587" s="6">
        <v>2.1953</v>
      </c>
    </row>
    <row r="588">
      <c r="A588" s="491" t="s">
        <v>2019</v>
      </c>
      <c r="B588" s="491" t="s">
        <v>1857</v>
      </c>
      <c r="C588" s="491" t="s">
        <v>74</v>
      </c>
      <c r="D588" s="491" t="s">
        <v>565</v>
      </c>
      <c r="E588" s="492" t="s">
        <v>367</v>
      </c>
      <c r="F588" s="493">
        <v>77540.0</v>
      </c>
      <c r="G588" s="493">
        <v>17943.0</v>
      </c>
      <c r="H588" s="493">
        <v>23.14</v>
      </c>
      <c r="I588" s="493">
        <v>5.88</v>
      </c>
      <c r="J588" s="493">
        <v>5.23</v>
      </c>
      <c r="K588" s="493">
        <v>18903.0</v>
      </c>
      <c r="L588" s="493">
        <v>321465.0</v>
      </c>
      <c r="M588" s="493">
        <v>0.2438</v>
      </c>
      <c r="N588" s="6">
        <v>1.0535</v>
      </c>
    </row>
    <row r="589">
      <c r="A589" s="491" t="s">
        <v>2019</v>
      </c>
      <c r="B589" s="491" t="s">
        <v>1857</v>
      </c>
      <c r="C589" s="491" t="s">
        <v>74</v>
      </c>
      <c r="D589" s="491" t="s">
        <v>565</v>
      </c>
      <c r="E589" s="492" t="s">
        <v>40</v>
      </c>
      <c r="F589" s="493">
        <v>77540.0</v>
      </c>
      <c r="G589" s="493">
        <v>6196.0</v>
      </c>
      <c r="H589" s="493">
        <v>7.99</v>
      </c>
      <c r="I589" s="493">
        <v>5.78</v>
      </c>
      <c r="J589" s="493">
        <v>3.37</v>
      </c>
      <c r="K589" s="493">
        <v>18581.0</v>
      </c>
      <c r="L589" s="493">
        <v>321465.0</v>
      </c>
      <c r="M589" s="493">
        <v>0.2396</v>
      </c>
      <c r="N589" s="6">
        <v>2.9989</v>
      </c>
    </row>
    <row r="590">
      <c r="A590" s="491" t="s">
        <v>2019</v>
      </c>
      <c r="B590" s="491" t="s">
        <v>1857</v>
      </c>
      <c r="C590" s="491" t="s">
        <v>74</v>
      </c>
      <c r="D590" s="491" t="s">
        <v>565</v>
      </c>
      <c r="E590" s="492" t="s">
        <v>372</v>
      </c>
      <c r="F590" s="493">
        <v>77540.0</v>
      </c>
      <c r="G590" s="493">
        <v>9359.0</v>
      </c>
      <c r="H590" s="493">
        <v>12.07</v>
      </c>
      <c r="I590" s="493">
        <v>5.04</v>
      </c>
      <c r="J590" s="493">
        <v>4.09</v>
      </c>
      <c r="K590" s="493">
        <v>16190.0</v>
      </c>
      <c r="L590" s="493">
        <v>321465.0</v>
      </c>
      <c r="M590" s="493">
        <v>0.2088</v>
      </c>
      <c r="N590" s="6">
        <v>1.7299</v>
      </c>
    </row>
    <row r="591">
      <c r="A591" s="491" t="s">
        <v>2019</v>
      </c>
      <c r="B591" s="491" t="s">
        <v>1857</v>
      </c>
      <c r="C591" s="491" t="s">
        <v>74</v>
      </c>
      <c r="D591" s="491" t="s">
        <v>565</v>
      </c>
      <c r="E591" s="492" t="s">
        <v>366</v>
      </c>
      <c r="F591" s="493">
        <v>77540.0</v>
      </c>
      <c r="G591" s="493">
        <v>10542.0</v>
      </c>
      <c r="H591" s="493">
        <v>13.6</v>
      </c>
      <c r="I591" s="493">
        <v>3.34</v>
      </c>
      <c r="J591" s="493">
        <v>4.19</v>
      </c>
      <c r="K591" s="493">
        <v>10750.0</v>
      </c>
      <c r="L591" s="493">
        <v>321465.0</v>
      </c>
      <c r="M591" s="493">
        <v>0.1386</v>
      </c>
      <c r="N591" s="6">
        <v>1.0197</v>
      </c>
    </row>
    <row r="592">
      <c r="A592" s="491" t="s">
        <v>2019</v>
      </c>
      <c r="B592" s="491" t="s">
        <v>1857</v>
      </c>
      <c r="C592" s="491" t="s">
        <v>74</v>
      </c>
      <c r="D592" s="491" t="s">
        <v>565</v>
      </c>
      <c r="E592" s="492" t="s">
        <v>134</v>
      </c>
      <c r="F592" s="493">
        <v>77540.0</v>
      </c>
      <c r="G592" s="493">
        <v>6562.0</v>
      </c>
      <c r="H592" s="493">
        <v>8.46</v>
      </c>
      <c r="I592" s="493">
        <v>2.59</v>
      </c>
      <c r="J592" s="493">
        <v>2.47</v>
      </c>
      <c r="K592" s="493">
        <v>8337.0</v>
      </c>
      <c r="L592" s="493">
        <v>321465.0</v>
      </c>
      <c r="M592" s="493">
        <v>0.1075</v>
      </c>
      <c r="N592" s="6">
        <v>1.2705</v>
      </c>
    </row>
    <row r="593">
      <c r="A593" s="491" t="s">
        <v>2019</v>
      </c>
      <c r="B593" s="491" t="s">
        <v>1857</v>
      </c>
      <c r="C593" s="491" t="s">
        <v>74</v>
      </c>
      <c r="D593" s="491" t="s">
        <v>565</v>
      </c>
      <c r="E593" s="492" t="s">
        <v>50</v>
      </c>
      <c r="F593" s="493">
        <v>77540.0</v>
      </c>
      <c r="G593" s="493">
        <v>6831.0</v>
      </c>
      <c r="H593" s="493">
        <v>8.81</v>
      </c>
      <c r="I593" s="493">
        <v>2.57</v>
      </c>
      <c r="J593" s="493">
        <v>2.66</v>
      </c>
      <c r="K593" s="493">
        <v>8276.0</v>
      </c>
      <c r="L593" s="493">
        <v>321465.0</v>
      </c>
      <c r="M593" s="493">
        <v>0.1067</v>
      </c>
      <c r="N593" s="6">
        <v>1.2115</v>
      </c>
    </row>
    <row r="594">
      <c r="A594" s="491" t="s">
        <v>2019</v>
      </c>
      <c r="B594" s="491" t="s">
        <v>1857</v>
      </c>
      <c r="C594" s="491" t="s">
        <v>74</v>
      </c>
      <c r="D594" s="491" t="s">
        <v>565</v>
      </c>
      <c r="E594" s="492" t="s">
        <v>370</v>
      </c>
      <c r="F594" s="493">
        <v>77540.0</v>
      </c>
      <c r="G594" s="493">
        <v>6787.0</v>
      </c>
      <c r="H594" s="493">
        <v>8.75</v>
      </c>
      <c r="I594" s="493">
        <v>2.53</v>
      </c>
      <c r="J594" s="493">
        <v>2.09</v>
      </c>
      <c r="K594" s="493">
        <v>8122.0</v>
      </c>
      <c r="L594" s="493">
        <v>321465.0</v>
      </c>
      <c r="M594" s="493">
        <v>0.1047</v>
      </c>
      <c r="N594" s="6">
        <v>1.1967</v>
      </c>
    </row>
    <row r="595">
      <c r="A595" s="491" t="s">
        <v>2019</v>
      </c>
      <c r="B595" s="491" t="s">
        <v>1857</v>
      </c>
      <c r="C595" s="491" t="s">
        <v>74</v>
      </c>
      <c r="D595" s="491" t="s">
        <v>565</v>
      </c>
      <c r="E595" s="492" t="s">
        <v>44</v>
      </c>
      <c r="F595" s="493">
        <v>77540.0</v>
      </c>
      <c r="G595" s="493">
        <v>488.0</v>
      </c>
      <c r="H595" s="493">
        <v>0.63</v>
      </c>
      <c r="I595" s="493">
        <v>0.17</v>
      </c>
      <c r="J595" s="493">
        <v>0.14</v>
      </c>
      <c r="K595" s="493">
        <v>549.0</v>
      </c>
      <c r="L595" s="493">
        <v>321465.0</v>
      </c>
      <c r="M595" s="493">
        <v>0.0071</v>
      </c>
      <c r="N595" s="6">
        <v>1.125</v>
      </c>
    </row>
    <row r="596">
      <c r="A596" s="491" t="s">
        <v>2019</v>
      </c>
      <c r="B596" s="491" t="s">
        <v>1857</v>
      </c>
      <c r="C596" s="491" t="s">
        <v>74</v>
      </c>
      <c r="D596" s="491" t="s">
        <v>565</v>
      </c>
      <c r="E596" s="492" t="s">
        <v>312</v>
      </c>
      <c r="F596" s="493">
        <v>77540.0</v>
      </c>
      <c r="G596" s="493">
        <v>357.0</v>
      </c>
      <c r="H596" s="493">
        <v>0.46</v>
      </c>
      <c r="I596" s="493">
        <v>0.12</v>
      </c>
      <c r="J596" s="493">
        <v>0.15</v>
      </c>
      <c r="K596" s="493">
        <v>378.0</v>
      </c>
      <c r="L596" s="493">
        <v>321465.0</v>
      </c>
      <c r="M596" s="493">
        <v>0.0049</v>
      </c>
      <c r="N596" s="6">
        <v>1.0588</v>
      </c>
    </row>
    <row r="597">
      <c r="A597" s="491" t="s">
        <v>2019</v>
      </c>
      <c r="B597" s="491" t="s">
        <v>1857</v>
      </c>
      <c r="C597" s="491" t="s">
        <v>74</v>
      </c>
      <c r="D597" s="491" t="s">
        <v>565</v>
      </c>
      <c r="E597" s="492" t="s">
        <v>32</v>
      </c>
      <c r="F597" s="493">
        <v>77540.0</v>
      </c>
      <c r="G597" s="493">
        <v>302.0</v>
      </c>
      <c r="H597" s="493">
        <v>0.39</v>
      </c>
      <c r="I597" s="493">
        <v>0.1</v>
      </c>
      <c r="J597" s="493">
        <v>0.14</v>
      </c>
      <c r="K597" s="493">
        <v>308.0</v>
      </c>
      <c r="L597" s="493">
        <v>321465.0</v>
      </c>
      <c r="M597" s="493">
        <v>0.004</v>
      </c>
      <c r="N597" s="6">
        <v>1.0199</v>
      </c>
    </row>
    <row r="598">
      <c r="A598" s="491" t="s">
        <v>2019</v>
      </c>
      <c r="B598" s="491" t="s">
        <v>1857</v>
      </c>
      <c r="C598" s="491" t="s">
        <v>74</v>
      </c>
      <c r="D598" s="491" t="s">
        <v>565</v>
      </c>
      <c r="E598" s="492" t="s">
        <v>310</v>
      </c>
      <c r="F598" s="493">
        <v>77540.0</v>
      </c>
      <c r="G598" s="493">
        <v>263.0</v>
      </c>
      <c r="H598" s="493">
        <v>0.34</v>
      </c>
      <c r="I598" s="493">
        <v>0.09</v>
      </c>
      <c r="J598" s="493">
        <v>0.15</v>
      </c>
      <c r="K598" s="493">
        <v>278.0</v>
      </c>
      <c r="L598" s="493">
        <v>321465.0</v>
      </c>
      <c r="M598" s="493">
        <v>0.0036</v>
      </c>
      <c r="N598" s="6">
        <v>1.057</v>
      </c>
    </row>
    <row r="599">
      <c r="A599" s="491" t="s">
        <v>2019</v>
      </c>
      <c r="B599" s="491" t="s">
        <v>1857</v>
      </c>
      <c r="C599" s="491" t="s">
        <v>74</v>
      </c>
      <c r="D599" s="491" t="s">
        <v>565</v>
      </c>
      <c r="E599" s="492" t="s">
        <v>311</v>
      </c>
      <c r="F599" s="493">
        <v>77540.0</v>
      </c>
      <c r="G599" s="493">
        <v>67.0</v>
      </c>
      <c r="H599" s="493">
        <v>0.09</v>
      </c>
      <c r="I599" s="493">
        <v>0.02</v>
      </c>
      <c r="J599" s="493">
        <v>0.05</v>
      </c>
      <c r="K599" s="493">
        <v>67.0</v>
      </c>
      <c r="L599" s="493">
        <v>321465.0</v>
      </c>
      <c r="M599" s="493">
        <v>9.0E-4</v>
      </c>
      <c r="N599" s="6">
        <v>1.0</v>
      </c>
    </row>
    <row r="600">
      <c r="A600" s="491" t="s">
        <v>2019</v>
      </c>
      <c r="B600" s="491" t="s">
        <v>1857</v>
      </c>
      <c r="C600" s="491" t="s">
        <v>74</v>
      </c>
      <c r="D600" s="491" t="s">
        <v>565</v>
      </c>
      <c r="E600" s="492" t="s">
        <v>368</v>
      </c>
      <c r="F600" s="493">
        <v>77540.0</v>
      </c>
      <c r="G600" s="493">
        <v>20.0</v>
      </c>
      <c r="H600" s="493">
        <v>0.03</v>
      </c>
      <c r="I600" s="493">
        <v>0.01</v>
      </c>
      <c r="J600" s="493">
        <v>0.01</v>
      </c>
      <c r="K600" s="493">
        <v>23.0</v>
      </c>
      <c r="L600" s="493">
        <v>321465.0</v>
      </c>
      <c r="M600" s="493">
        <v>3.0E-4</v>
      </c>
      <c r="N600" s="6">
        <v>1.15</v>
      </c>
    </row>
    <row r="601">
      <c r="A601" s="491" t="s">
        <v>2019</v>
      </c>
      <c r="B601" s="491" t="s">
        <v>1857</v>
      </c>
      <c r="C601" s="491" t="s">
        <v>74</v>
      </c>
      <c r="D601" s="491" t="s">
        <v>565</v>
      </c>
      <c r="E601" s="492" t="s">
        <v>43</v>
      </c>
      <c r="F601" s="493">
        <v>77540.0</v>
      </c>
      <c r="G601" s="493">
        <v>24.0</v>
      </c>
      <c r="H601" s="493">
        <v>0.03</v>
      </c>
      <c r="I601" s="493">
        <v>0.01</v>
      </c>
      <c r="J601" s="493">
        <v>0.01</v>
      </c>
      <c r="K601" s="493">
        <v>24.0</v>
      </c>
      <c r="L601" s="493">
        <v>321465.0</v>
      </c>
      <c r="M601" s="493">
        <v>3.0E-4</v>
      </c>
      <c r="N601" s="6">
        <v>1.0</v>
      </c>
    </row>
    <row r="602">
      <c r="A602" s="491" t="s">
        <v>2019</v>
      </c>
      <c r="B602" s="491" t="s">
        <v>1857</v>
      </c>
      <c r="C602" s="491" t="s">
        <v>74</v>
      </c>
      <c r="D602" s="491" t="s">
        <v>565</v>
      </c>
      <c r="E602" s="492" t="s">
        <v>369</v>
      </c>
      <c r="F602" s="493">
        <v>77540.0</v>
      </c>
      <c r="G602" s="493">
        <v>3.0</v>
      </c>
      <c r="H602" s="493">
        <v>0.0</v>
      </c>
      <c r="I602" s="493">
        <v>0.0</v>
      </c>
      <c r="J602" s="493">
        <v>0.0</v>
      </c>
      <c r="K602" s="493">
        <v>3.0</v>
      </c>
      <c r="L602" s="493">
        <v>321465.0</v>
      </c>
      <c r="M602" s="493">
        <v>0.0</v>
      </c>
      <c r="N602" s="6">
        <v>1.0</v>
      </c>
    </row>
    <row r="603">
      <c r="A603" s="491" t="s">
        <v>2019</v>
      </c>
      <c r="B603" s="491" t="s">
        <v>1857</v>
      </c>
      <c r="C603" s="491" t="s">
        <v>74</v>
      </c>
      <c r="D603" s="491" t="s">
        <v>565</v>
      </c>
      <c r="E603" s="492" t="s">
        <v>373</v>
      </c>
      <c r="F603" s="493">
        <v>77540.0</v>
      </c>
      <c r="G603" s="493">
        <v>2.0</v>
      </c>
      <c r="H603" s="493">
        <v>0.0</v>
      </c>
      <c r="I603" s="493">
        <v>0.0</v>
      </c>
      <c r="J603" s="493">
        <v>0.0</v>
      </c>
      <c r="K603" s="493">
        <v>4.0</v>
      </c>
      <c r="L603" s="493">
        <v>321465.0</v>
      </c>
      <c r="M603" s="493">
        <v>1.0E-4</v>
      </c>
      <c r="N603" s="6">
        <v>2.0</v>
      </c>
    </row>
    <row r="604">
      <c r="A604" s="491" t="s">
        <v>2019</v>
      </c>
      <c r="B604" s="491" t="s">
        <v>1857</v>
      </c>
      <c r="C604" s="491" t="s">
        <v>74</v>
      </c>
      <c r="D604" s="491" t="s">
        <v>565</v>
      </c>
      <c r="E604" s="492" t="s">
        <v>189</v>
      </c>
      <c r="F604" s="493">
        <v>77540.0</v>
      </c>
      <c r="G604" s="493">
        <v>1.0</v>
      </c>
      <c r="H604" s="493">
        <v>0.0</v>
      </c>
      <c r="I604" s="493">
        <v>0.0</v>
      </c>
      <c r="J604" s="493">
        <v>0.0</v>
      </c>
      <c r="K604" s="493">
        <v>1.0</v>
      </c>
      <c r="L604" s="493">
        <v>321465.0</v>
      </c>
      <c r="M604" s="493">
        <v>0.0</v>
      </c>
      <c r="N604" s="6">
        <v>1.0</v>
      </c>
    </row>
    <row r="605">
      <c r="A605" s="491" t="s">
        <v>2019</v>
      </c>
      <c r="B605" s="491" t="s">
        <v>1857</v>
      </c>
      <c r="C605" s="491" t="s">
        <v>1872</v>
      </c>
      <c r="D605" s="491" t="s">
        <v>1872</v>
      </c>
      <c r="E605" s="492" t="s">
        <v>367</v>
      </c>
      <c r="F605" s="493">
        <v>114475.0</v>
      </c>
      <c r="G605" s="493">
        <v>103385.0</v>
      </c>
      <c r="H605" s="493">
        <v>90.31</v>
      </c>
      <c r="I605" s="493">
        <v>31.9</v>
      </c>
      <c r="J605" s="493">
        <v>33.74</v>
      </c>
      <c r="K605" s="493">
        <v>1.8630565E7</v>
      </c>
      <c r="L605" s="493">
        <v>5.8407595E7</v>
      </c>
      <c r="M605" s="493">
        <v>162.7479</v>
      </c>
      <c r="N605" s="6">
        <v>180.2057</v>
      </c>
    </row>
    <row r="606">
      <c r="A606" s="491" t="s">
        <v>2019</v>
      </c>
      <c r="B606" s="491" t="s">
        <v>1857</v>
      </c>
      <c r="C606" s="491" t="s">
        <v>1872</v>
      </c>
      <c r="D606" s="491" t="s">
        <v>1872</v>
      </c>
      <c r="E606" s="492" t="s">
        <v>42</v>
      </c>
      <c r="F606" s="493">
        <v>114475.0</v>
      </c>
      <c r="G606" s="493">
        <v>53778.0</v>
      </c>
      <c r="H606" s="493">
        <v>46.98</v>
      </c>
      <c r="I606" s="493">
        <v>13.62</v>
      </c>
      <c r="J606" s="493">
        <v>12.68</v>
      </c>
      <c r="K606" s="493">
        <v>7955670.0</v>
      </c>
      <c r="L606" s="493">
        <v>5.8407595E7</v>
      </c>
      <c r="M606" s="493">
        <v>69.497</v>
      </c>
      <c r="N606" s="6">
        <v>147.9354</v>
      </c>
    </row>
    <row r="607">
      <c r="A607" s="491" t="s">
        <v>2019</v>
      </c>
      <c r="B607" s="491" t="s">
        <v>1857</v>
      </c>
      <c r="C607" s="491" t="s">
        <v>1872</v>
      </c>
      <c r="D607" s="491" t="s">
        <v>1872</v>
      </c>
      <c r="E607" s="492" t="s">
        <v>371</v>
      </c>
      <c r="F607" s="493">
        <v>114475.0</v>
      </c>
      <c r="G607" s="493">
        <v>91483.0</v>
      </c>
      <c r="H607" s="493">
        <v>79.92</v>
      </c>
      <c r="I607" s="493">
        <v>13.07</v>
      </c>
      <c r="J607" s="493">
        <v>15.02</v>
      </c>
      <c r="K607" s="493">
        <v>7634635.0</v>
      </c>
      <c r="L607" s="493">
        <v>5.8407595E7</v>
      </c>
      <c r="M607" s="493">
        <v>66.6926</v>
      </c>
      <c r="N607" s="6">
        <v>83.4541</v>
      </c>
    </row>
    <row r="608">
      <c r="A608" s="491" t="s">
        <v>2019</v>
      </c>
      <c r="B608" s="491" t="s">
        <v>1857</v>
      </c>
      <c r="C608" s="491" t="s">
        <v>1872</v>
      </c>
      <c r="D608" s="491" t="s">
        <v>1872</v>
      </c>
      <c r="E608" s="492" t="s">
        <v>40</v>
      </c>
      <c r="F608" s="493">
        <v>114475.0</v>
      </c>
      <c r="G608" s="493">
        <v>32312.0</v>
      </c>
      <c r="H608" s="493">
        <v>28.23</v>
      </c>
      <c r="I608" s="493">
        <v>11.44</v>
      </c>
      <c r="J608" s="493">
        <v>7.18</v>
      </c>
      <c r="K608" s="493">
        <v>6682600.0</v>
      </c>
      <c r="L608" s="493">
        <v>5.8407595E7</v>
      </c>
      <c r="M608" s="493">
        <v>58.3761</v>
      </c>
      <c r="N608" s="6">
        <v>206.8148</v>
      </c>
    </row>
    <row r="609">
      <c r="A609" s="491" t="s">
        <v>2019</v>
      </c>
      <c r="B609" s="491" t="s">
        <v>1857</v>
      </c>
      <c r="C609" s="491" t="s">
        <v>1872</v>
      </c>
      <c r="D609" s="491" t="s">
        <v>1872</v>
      </c>
      <c r="E609" s="492" t="s">
        <v>372</v>
      </c>
      <c r="F609" s="493">
        <v>114475.0</v>
      </c>
      <c r="G609" s="493">
        <v>81223.0</v>
      </c>
      <c r="H609" s="493">
        <v>70.95</v>
      </c>
      <c r="I609" s="493">
        <v>7.55</v>
      </c>
      <c r="J609" s="493">
        <v>10.75</v>
      </c>
      <c r="K609" s="493">
        <v>4410240.0</v>
      </c>
      <c r="L609" s="493">
        <v>5.8407595E7</v>
      </c>
      <c r="M609" s="493">
        <v>38.5258</v>
      </c>
      <c r="N609" s="6">
        <v>54.2979</v>
      </c>
    </row>
    <row r="610">
      <c r="A610" s="491" t="s">
        <v>2019</v>
      </c>
      <c r="B610" s="491" t="s">
        <v>1857</v>
      </c>
      <c r="C610" s="491" t="s">
        <v>1872</v>
      </c>
      <c r="D610" s="491" t="s">
        <v>1872</v>
      </c>
      <c r="E610" s="492" t="s">
        <v>365</v>
      </c>
      <c r="F610" s="493">
        <v>114475.0</v>
      </c>
      <c r="G610" s="493">
        <v>39806.0</v>
      </c>
      <c r="H610" s="493">
        <v>34.77</v>
      </c>
      <c r="I610" s="493">
        <v>7.15</v>
      </c>
      <c r="J610" s="493">
        <v>4.86</v>
      </c>
      <c r="K610" s="493">
        <v>4174665.0</v>
      </c>
      <c r="L610" s="493">
        <v>5.8407595E7</v>
      </c>
      <c r="M610" s="493">
        <v>36.4679</v>
      </c>
      <c r="N610" s="6">
        <v>104.8753</v>
      </c>
    </row>
    <row r="611">
      <c r="A611" s="491" t="s">
        <v>2019</v>
      </c>
      <c r="B611" s="491" t="s">
        <v>1857</v>
      </c>
      <c r="C611" s="491" t="s">
        <v>1872</v>
      </c>
      <c r="D611" s="491" t="s">
        <v>1872</v>
      </c>
      <c r="E611" s="492" t="s">
        <v>366</v>
      </c>
      <c r="F611" s="493">
        <v>114475.0</v>
      </c>
      <c r="G611" s="493">
        <v>48831.0</v>
      </c>
      <c r="H611" s="493">
        <v>42.66</v>
      </c>
      <c r="I611" s="493">
        <v>4.01</v>
      </c>
      <c r="J611" s="493">
        <v>4.71</v>
      </c>
      <c r="K611" s="493">
        <v>2341010.0</v>
      </c>
      <c r="L611" s="493">
        <v>5.8407595E7</v>
      </c>
      <c r="M611" s="493">
        <v>20.45</v>
      </c>
      <c r="N611" s="6">
        <v>47.9411</v>
      </c>
    </row>
    <row r="612">
      <c r="A612" s="491" t="s">
        <v>2019</v>
      </c>
      <c r="B612" s="491" t="s">
        <v>1857</v>
      </c>
      <c r="C612" s="491" t="s">
        <v>1872</v>
      </c>
      <c r="D612" s="491" t="s">
        <v>1872</v>
      </c>
      <c r="E612" s="492" t="s">
        <v>368</v>
      </c>
      <c r="F612" s="493">
        <v>114475.0</v>
      </c>
      <c r="G612" s="493">
        <v>36484.0</v>
      </c>
      <c r="H612" s="493">
        <v>31.87</v>
      </c>
      <c r="I612" s="493">
        <v>3.18</v>
      </c>
      <c r="J612" s="493">
        <v>3.69</v>
      </c>
      <c r="K612" s="493">
        <v>1859945.0</v>
      </c>
      <c r="L612" s="493">
        <v>5.8407595E7</v>
      </c>
      <c r="M612" s="493">
        <v>16.2476</v>
      </c>
      <c r="N612" s="6">
        <v>50.9797</v>
      </c>
    </row>
    <row r="613">
      <c r="A613" s="491" t="s">
        <v>2019</v>
      </c>
      <c r="B613" s="491" t="s">
        <v>1857</v>
      </c>
      <c r="C613" s="491" t="s">
        <v>1872</v>
      </c>
      <c r="D613" s="491" t="s">
        <v>1872</v>
      </c>
      <c r="E613" s="492" t="s">
        <v>50</v>
      </c>
      <c r="F613" s="493">
        <v>114475.0</v>
      </c>
      <c r="G613" s="493">
        <v>20592.0</v>
      </c>
      <c r="H613" s="493">
        <v>17.99</v>
      </c>
      <c r="I613" s="493">
        <v>2.72</v>
      </c>
      <c r="J613" s="493">
        <v>2.26</v>
      </c>
      <c r="K613" s="493">
        <v>1590750.0</v>
      </c>
      <c r="L613" s="493">
        <v>5.8407595E7</v>
      </c>
      <c r="M613" s="493">
        <v>13.896</v>
      </c>
      <c r="N613" s="6">
        <v>77.2509</v>
      </c>
    </row>
    <row r="614">
      <c r="A614" s="491" t="s">
        <v>2019</v>
      </c>
      <c r="B614" s="491" t="s">
        <v>1857</v>
      </c>
      <c r="C614" s="491" t="s">
        <v>1872</v>
      </c>
      <c r="D614" s="491" t="s">
        <v>1872</v>
      </c>
      <c r="E614" s="492" t="s">
        <v>370</v>
      </c>
      <c r="F614" s="493">
        <v>114475.0</v>
      </c>
      <c r="G614" s="493">
        <v>31844.0</v>
      </c>
      <c r="H614" s="493">
        <v>27.82</v>
      </c>
      <c r="I614" s="493">
        <v>2.51</v>
      </c>
      <c r="J614" s="493">
        <v>1.95</v>
      </c>
      <c r="K614" s="493">
        <v>1463165.0</v>
      </c>
      <c r="L614" s="493">
        <v>5.8407595E7</v>
      </c>
      <c r="M614" s="493">
        <v>12.7815</v>
      </c>
      <c r="N614" s="6">
        <v>45.9479</v>
      </c>
    </row>
    <row r="615">
      <c r="A615" s="491" t="s">
        <v>2019</v>
      </c>
      <c r="B615" s="491" t="s">
        <v>1857</v>
      </c>
      <c r="C615" s="491" t="s">
        <v>1872</v>
      </c>
      <c r="D615" s="491" t="s">
        <v>1872</v>
      </c>
      <c r="E615" s="492" t="s">
        <v>134</v>
      </c>
      <c r="F615" s="493">
        <v>114475.0</v>
      </c>
      <c r="G615" s="493">
        <v>12480.0</v>
      </c>
      <c r="H615" s="493">
        <v>10.9</v>
      </c>
      <c r="I615" s="493">
        <v>0.92</v>
      </c>
      <c r="J615" s="493">
        <v>1.05</v>
      </c>
      <c r="K615" s="493">
        <v>535095.0</v>
      </c>
      <c r="L615" s="493">
        <v>5.8407595E7</v>
      </c>
      <c r="M615" s="493">
        <v>4.6743</v>
      </c>
      <c r="N615" s="6">
        <v>42.8762</v>
      </c>
    </row>
    <row r="616">
      <c r="A616" s="491" t="s">
        <v>2019</v>
      </c>
      <c r="B616" s="491" t="s">
        <v>1857</v>
      </c>
      <c r="C616" s="491" t="s">
        <v>1872</v>
      </c>
      <c r="D616" s="491" t="s">
        <v>1872</v>
      </c>
      <c r="E616" s="492" t="s">
        <v>44</v>
      </c>
      <c r="F616" s="493">
        <v>114475.0</v>
      </c>
      <c r="G616" s="493">
        <v>22091.0</v>
      </c>
      <c r="H616" s="493">
        <v>19.3</v>
      </c>
      <c r="I616" s="493">
        <v>0.6</v>
      </c>
      <c r="J616" s="493">
        <v>0.59</v>
      </c>
      <c r="K616" s="493">
        <v>350925.0</v>
      </c>
      <c r="L616" s="493">
        <v>5.8407595E7</v>
      </c>
      <c r="M616" s="493">
        <v>3.0655</v>
      </c>
      <c r="N616" s="6">
        <v>15.8854</v>
      </c>
    </row>
    <row r="617">
      <c r="A617" s="491" t="s">
        <v>2019</v>
      </c>
      <c r="B617" s="491" t="s">
        <v>1857</v>
      </c>
      <c r="C617" s="491" t="s">
        <v>1872</v>
      </c>
      <c r="D617" s="491" t="s">
        <v>1872</v>
      </c>
      <c r="E617" s="492" t="s">
        <v>312</v>
      </c>
      <c r="F617" s="493">
        <v>114475.0</v>
      </c>
      <c r="G617" s="493">
        <v>2222.0</v>
      </c>
      <c r="H617" s="493">
        <v>1.94</v>
      </c>
      <c r="I617" s="493">
        <v>0.37</v>
      </c>
      <c r="J617" s="493">
        <v>0.38</v>
      </c>
      <c r="K617" s="493">
        <v>214225.0</v>
      </c>
      <c r="L617" s="493">
        <v>5.8407595E7</v>
      </c>
      <c r="M617" s="493">
        <v>1.8714</v>
      </c>
      <c r="N617" s="6">
        <v>96.4109</v>
      </c>
    </row>
    <row r="618">
      <c r="A618" s="491" t="s">
        <v>2019</v>
      </c>
      <c r="B618" s="491" t="s">
        <v>1857</v>
      </c>
      <c r="C618" s="491" t="s">
        <v>1872</v>
      </c>
      <c r="D618" s="491" t="s">
        <v>1872</v>
      </c>
      <c r="E618" s="492" t="s">
        <v>32</v>
      </c>
      <c r="F618" s="493">
        <v>114475.0</v>
      </c>
      <c r="G618" s="493">
        <v>2366.0</v>
      </c>
      <c r="H618" s="493">
        <v>2.07</v>
      </c>
      <c r="I618" s="493">
        <v>0.35</v>
      </c>
      <c r="J618" s="493">
        <v>0.39</v>
      </c>
      <c r="K618" s="493">
        <v>206245.0</v>
      </c>
      <c r="L618" s="493">
        <v>5.8407595E7</v>
      </c>
      <c r="M618" s="493">
        <v>1.8017</v>
      </c>
      <c r="N618" s="6">
        <v>87.1703</v>
      </c>
    </row>
    <row r="619">
      <c r="A619" s="491" t="s">
        <v>2019</v>
      </c>
      <c r="B619" s="491" t="s">
        <v>1857</v>
      </c>
      <c r="C619" s="491" t="s">
        <v>1872</v>
      </c>
      <c r="D619" s="491" t="s">
        <v>1872</v>
      </c>
      <c r="E619" s="492" t="s">
        <v>310</v>
      </c>
      <c r="F619" s="493">
        <v>114475.0</v>
      </c>
      <c r="G619" s="493">
        <v>1816.0</v>
      </c>
      <c r="H619" s="493">
        <v>1.59</v>
      </c>
      <c r="I619" s="493">
        <v>0.28</v>
      </c>
      <c r="J619" s="493">
        <v>0.33</v>
      </c>
      <c r="K619" s="493">
        <v>164850.0</v>
      </c>
      <c r="L619" s="493">
        <v>5.8407595E7</v>
      </c>
      <c r="M619" s="493">
        <v>1.4401</v>
      </c>
      <c r="N619" s="6">
        <v>90.7764</v>
      </c>
    </row>
    <row r="620">
      <c r="A620" s="491" t="s">
        <v>2019</v>
      </c>
      <c r="B620" s="491" t="s">
        <v>1857</v>
      </c>
      <c r="C620" s="491" t="s">
        <v>1872</v>
      </c>
      <c r="D620" s="491" t="s">
        <v>1872</v>
      </c>
      <c r="E620" s="492" t="s">
        <v>369</v>
      </c>
      <c r="F620" s="493">
        <v>114475.0</v>
      </c>
      <c r="G620" s="493">
        <v>1612.0</v>
      </c>
      <c r="H620" s="493">
        <v>1.41</v>
      </c>
      <c r="I620" s="493">
        <v>0.08</v>
      </c>
      <c r="J620" s="493">
        <v>0.13</v>
      </c>
      <c r="K620" s="493">
        <v>49210.0</v>
      </c>
      <c r="L620" s="493">
        <v>5.8407595E7</v>
      </c>
      <c r="M620" s="493">
        <v>0.4299</v>
      </c>
      <c r="N620" s="6">
        <v>30.5273</v>
      </c>
    </row>
    <row r="621">
      <c r="A621" s="491" t="s">
        <v>2019</v>
      </c>
      <c r="B621" s="491" t="s">
        <v>1857</v>
      </c>
      <c r="C621" s="491" t="s">
        <v>1872</v>
      </c>
      <c r="D621" s="491" t="s">
        <v>1872</v>
      </c>
      <c r="E621" s="492" t="s">
        <v>35</v>
      </c>
      <c r="F621" s="493">
        <v>114475.0</v>
      </c>
      <c r="G621" s="493">
        <v>1620.0</v>
      </c>
      <c r="H621" s="493">
        <v>1.42</v>
      </c>
      <c r="I621" s="493">
        <v>0.08</v>
      </c>
      <c r="J621" s="493">
        <v>0.07</v>
      </c>
      <c r="K621" s="493">
        <v>45850.0</v>
      </c>
      <c r="L621" s="493">
        <v>5.8407595E7</v>
      </c>
      <c r="M621" s="493">
        <v>0.4005</v>
      </c>
      <c r="N621" s="6">
        <v>28.3025</v>
      </c>
    </row>
    <row r="622">
      <c r="A622" s="491" t="s">
        <v>2019</v>
      </c>
      <c r="B622" s="491" t="s">
        <v>1857</v>
      </c>
      <c r="C622" s="491" t="s">
        <v>1872</v>
      </c>
      <c r="D622" s="491" t="s">
        <v>1872</v>
      </c>
      <c r="E622" s="492" t="s">
        <v>311</v>
      </c>
      <c r="F622" s="493">
        <v>114475.0</v>
      </c>
      <c r="G622" s="493">
        <v>439.0</v>
      </c>
      <c r="H622" s="493">
        <v>0.38</v>
      </c>
      <c r="I622" s="493">
        <v>0.07</v>
      </c>
      <c r="J622" s="493">
        <v>0.12</v>
      </c>
      <c r="K622" s="493">
        <v>40450.0</v>
      </c>
      <c r="L622" s="493">
        <v>5.8407595E7</v>
      </c>
      <c r="M622" s="493">
        <v>0.3534</v>
      </c>
      <c r="N622" s="6">
        <v>92.1412</v>
      </c>
    </row>
    <row r="623">
      <c r="A623" s="491" t="s">
        <v>2019</v>
      </c>
      <c r="B623" s="491" t="s">
        <v>1857</v>
      </c>
      <c r="C623" s="491" t="s">
        <v>1872</v>
      </c>
      <c r="D623" s="491" t="s">
        <v>1872</v>
      </c>
      <c r="E623" s="492" t="s">
        <v>43</v>
      </c>
      <c r="F623" s="493">
        <v>114475.0</v>
      </c>
      <c r="G623" s="493">
        <v>233.0</v>
      </c>
      <c r="H623" s="493">
        <v>0.2</v>
      </c>
      <c r="I623" s="493">
        <v>0.06</v>
      </c>
      <c r="J623" s="493">
        <v>0.06</v>
      </c>
      <c r="K623" s="493">
        <v>35100.0</v>
      </c>
      <c r="L623" s="493">
        <v>5.8407595E7</v>
      </c>
      <c r="M623" s="493">
        <v>0.3066</v>
      </c>
      <c r="N623" s="6">
        <v>150.6438</v>
      </c>
    </row>
    <row r="624">
      <c r="A624" s="491" t="s">
        <v>2019</v>
      </c>
      <c r="B624" s="491" t="s">
        <v>1857</v>
      </c>
      <c r="C624" s="491" t="s">
        <v>1872</v>
      </c>
      <c r="D624" s="491" t="s">
        <v>1872</v>
      </c>
      <c r="E624" s="492" t="s">
        <v>189</v>
      </c>
      <c r="F624" s="493">
        <v>114475.0</v>
      </c>
      <c r="G624" s="493">
        <v>865.0</v>
      </c>
      <c r="H624" s="493">
        <v>0.76</v>
      </c>
      <c r="I624" s="493">
        <v>0.04</v>
      </c>
      <c r="J624" s="493">
        <v>0.05</v>
      </c>
      <c r="K624" s="493">
        <v>22400.0</v>
      </c>
      <c r="L624" s="493">
        <v>5.8407595E7</v>
      </c>
      <c r="M624" s="493">
        <v>0.1957</v>
      </c>
      <c r="N624" s="6">
        <v>25.896</v>
      </c>
    </row>
    <row r="625">
      <c r="A625" s="491" t="s">
        <v>2019</v>
      </c>
      <c r="B625" s="491" t="s">
        <v>1857</v>
      </c>
      <c r="C625" s="491" t="s">
        <v>69</v>
      </c>
      <c r="D625" s="491" t="s">
        <v>565</v>
      </c>
      <c r="E625" s="492" t="s">
        <v>372</v>
      </c>
      <c r="F625" s="493">
        <v>103131.0</v>
      </c>
      <c r="G625" s="493">
        <v>67604.0</v>
      </c>
      <c r="H625" s="493">
        <v>65.55</v>
      </c>
      <c r="I625" s="493">
        <v>23.38</v>
      </c>
      <c r="J625" s="493">
        <v>20.9</v>
      </c>
      <c r="K625" s="493">
        <v>195987.0</v>
      </c>
      <c r="L625" s="493">
        <v>838342.0</v>
      </c>
      <c r="M625" s="493">
        <v>1.9004</v>
      </c>
      <c r="N625" s="6">
        <v>2.899</v>
      </c>
    </row>
    <row r="626">
      <c r="A626" s="491" t="s">
        <v>2019</v>
      </c>
      <c r="B626" s="491" t="s">
        <v>1857</v>
      </c>
      <c r="C626" s="491" t="s">
        <v>69</v>
      </c>
      <c r="D626" s="491" t="s">
        <v>565</v>
      </c>
      <c r="E626" s="492" t="s">
        <v>371</v>
      </c>
      <c r="F626" s="493">
        <v>103131.0</v>
      </c>
      <c r="G626" s="493">
        <v>67847.0</v>
      </c>
      <c r="H626" s="493">
        <v>65.79</v>
      </c>
      <c r="I626" s="493">
        <v>22.05</v>
      </c>
      <c r="J626" s="493">
        <v>20.74</v>
      </c>
      <c r="K626" s="493">
        <v>184886.0</v>
      </c>
      <c r="L626" s="493">
        <v>838342.0</v>
      </c>
      <c r="M626" s="493">
        <v>1.7927</v>
      </c>
      <c r="N626" s="6">
        <v>2.725</v>
      </c>
    </row>
    <row r="627">
      <c r="A627" s="491" t="s">
        <v>2019</v>
      </c>
      <c r="B627" s="491" t="s">
        <v>1857</v>
      </c>
      <c r="C627" s="491" t="s">
        <v>69</v>
      </c>
      <c r="D627" s="491" t="s">
        <v>565</v>
      </c>
      <c r="E627" s="492" t="s">
        <v>370</v>
      </c>
      <c r="F627" s="493">
        <v>103131.0</v>
      </c>
      <c r="G627" s="493">
        <v>78348.0</v>
      </c>
      <c r="H627" s="493">
        <v>75.97</v>
      </c>
      <c r="I627" s="493">
        <v>21.84</v>
      </c>
      <c r="J627" s="493">
        <v>29.65</v>
      </c>
      <c r="K627" s="493">
        <v>183118.0</v>
      </c>
      <c r="L627" s="493">
        <v>838342.0</v>
      </c>
      <c r="M627" s="493">
        <v>1.7756</v>
      </c>
      <c r="N627" s="6">
        <v>2.3372</v>
      </c>
    </row>
    <row r="628">
      <c r="A628" s="491" t="s">
        <v>2019</v>
      </c>
      <c r="B628" s="491" t="s">
        <v>1857</v>
      </c>
      <c r="C628" s="491" t="s">
        <v>69</v>
      </c>
      <c r="D628" s="491" t="s">
        <v>565</v>
      </c>
      <c r="E628" s="492" t="s">
        <v>44</v>
      </c>
      <c r="F628" s="493">
        <v>103131.0</v>
      </c>
      <c r="G628" s="493">
        <v>58659.0</v>
      </c>
      <c r="H628" s="493">
        <v>56.88</v>
      </c>
      <c r="I628" s="493">
        <v>14.58</v>
      </c>
      <c r="J628" s="493">
        <v>14.44</v>
      </c>
      <c r="K628" s="493">
        <v>122233.0</v>
      </c>
      <c r="L628" s="493">
        <v>838342.0</v>
      </c>
      <c r="M628" s="493">
        <v>1.1852</v>
      </c>
      <c r="N628" s="6">
        <v>2.0838</v>
      </c>
    </row>
    <row r="629">
      <c r="A629" s="491" t="s">
        <v>2019</v>
      </c>
      <c r="B629" s="491" t="s">
        <v>1857</v>
      </c>
      <c r="C629" s="491" t="s">
        <v>69</v>
      </c>
      <c r="D629" s="491" t="s">
        <v>565</v>
      </c>
      <c r="E629" s="492" t="s">
        <v>368</v>
      </c>
      <c r="F629" s="493">
        <v>103131.0</v>
      </c>
      <c r="G629" s="493">
        <v>28985.0</v>
      </c>
      <c r="H629" s="493">
        <v>28.11</v>
      </c>
      <c r="I629" s="493">
        <v>12.15</v>
      </c>
      <c r="J629" s="493">
        <v>8.32</v>
      </c>
      <c r="K629" s="493">
        <v>101837.0</v>
      </c>
      <c r="L629" s="493">
        <v>838342.0</v>
      </c>
      <c r="M629" s="493">
        <v>0.9875</v>
      </c>
      <c r="N629" s="6">
        <v>3.5134</v>
      </c>
    </row>
    <row r="630">
      <c r="A630" s="491" t="s">
        <v>2019</v>
      </c>
      <c r="B630" s="491" t="s">
        <v>1857</v>
      </c>
      <c r="C630" s="491" t="s">
        <v>69</v>
      </c>
      <c r="D630" s="491" t="s">
        <v>565</v>
      </c>
      <c r="E630" s="492" t="s">
        <v>49</v>
      </c>
      <c r="F630" s="493">
        <v>103131.0</v>
      </c>
      <c r="G630" s="493">
        <v>18416.0</v>
      </c>
      <c r="H630" s="493">
        <v>17.86</v>
      </c>
      <c r="I630" s="493">
        <v>2.99</v>
      </c>
      <c r="J630" s="493">
        <v>2.95</v>
      </c>
      <c r="K630" s="493">
        <v>25103.0</v>
      </c>
      <c r="L630" s="493">
        <v>838342.0</v>
      </c>
      <c r="M630" s="493">
        <v>0.2434</v>
      </c>
      <c r="N630" s="6">
        <v>1.3631</v>
      </c>
    </row>
    <row r="631">
      <c r="A631" s="491" t="s">
        <v>2019</v>
      </c>
      <c r="B631" s="491" t="s">
        <v>1857</v>
      </c>
      <c r="C631" s="491" t="s">
        <v>69</v>
      </c>
      <c r="D631" s="491" t="s">
        <v>565</v>
      </c>
      <c r="E631" s="492" t="s">
        <v>42</v>
      </c>
      <c r="F631" s="493">
        <v>103131.0</v>
      </c>
      <c r="G631" s="493">
        <v>9197.0</v>
      </c>
      <c r="H631" s="493">
        <v>8.92</v>
      </c>
      <c r="I631" s="493">
        <v>1.47</v>
      </c>
      <c r="J631" s="493">
        <v>1.47</v>
      </c>
      <c r="K631" s="493">
        <v>12306.0</v>
      </c>
      <c r="L631" s="493">
        <v>838342.0</v>
      </c>
      <c r="M631" s="493">
        <v>0.1193</v>
      </c>
      <c r="N631" s="6">
        <v>1.338</v>
      </c>
    </row>
    <row r="632">
      <c r="A632" s="491" t="s">
        <v>2019</v>
      </c>
      <c r="B632" s="491" t="s">
        <v>1857</v>
      </c>
      <c r="C632" s="491" t="s">
        <v>69</v>
      </c>
      <c r="D632" s="491" t="s">
        <v>565</v>
      </c>
      <c r="E632" s="492" t="s">
        <v>366</v>
      </c>
      <c r="F632" s="493">
        <v>103131.0</v>
      </c>
      <c r="G632" s="493">
        <v>7738.0</v>
      </c>
      <c r="H632" s="493">
        <v>7.5</v>
      </c>
      <c r="I632" s="493">
        <v>0.95</v>
      </c>
      <c r="J632" s="493">
        <v>0.97</v>
      </c>
      <c r="K632" s="493">
        <v>7926.0</v>
      </c>
      <c r="L632" s="493">
        <v>838342.0</v>
      </c>
      <c r="M632" s="493">
        <v>0.0769</v>
      </c>
      <c r="N632" s="6">
        <v>1.0243</v>
      </c>
    </row>
    <row r="633">
      <c r="A633" s="491" t="s">
        <v>2019</v>
      </c>
      <c r="B633" s="491" t="s">
        <v>1857</v>
      </c>
      <c r="C633" s="491" t="s">
        <v>69</v>
      </c>
      <c r="D633" s="491" t="s">
        <v>565</v>
      </c>
      <c r="E633" s="492" t="s">
        <v>50</v>
      </c>
      <c r="F633" s="493">
        <v>103131.0</v>
      </c>
      <c r="G633" s="493">
        <v>2076.0</v>
      </c>
      <c r="H633" s="493">
        <v>2.01</v>
      </c>
      <c r="I633" s="493">
        <v>0.26</v>
      </c>
      <c r="J633" s="493">
        <v>0.17</v>
      </c>
      <c r="K633" s="493">
        <v>2221.0</v>
      </c>
      <c r="L633" s="493">
        <v>838342.0</v>
      </c>
      <c r="M633" s="493">
        <v>0.0215</v>
      </c>
      <c r="N633" s="6">
        <v>1.0698</v>
      </c>
    </row>
    <row r="634">
      <c r="A634" s="491" t="s">
        <v>2019</v>
      </c>
      <c r="B634" s="491" t="s">
        <v>1857</v>
      </c>
      <c r="C634" s="491" t="s">
        <v>69</v>
      </c>
      <c r="D634" s="491" t="s">
        <v>565</v>
      </c>
      <c r="E634" s="492" t="s">
        <v>134</v>
      </c>
      <c r="F634" s="493">
        <v>103131.0</v>
      </c>
      <c r="G634" s="493">
        <v>1179.0</v>
      </c>
      <c r="H634" s="493">
        <v>1.14</v>
      </c>
      <c r="I634" s="493">
        <v>0.17</v>
      </c>
      <c r="J634" s="493">
        <v>0.12</v>
      </c>
      <c r="K634" s="493">
        <v>1466.0</v>
      </c>
      <c r="L634" s="493">
        <v>838342.0</v>
      </c>
      <c r="M634" s="493">
        <v>0.0142</v>
      </c>
      <c r="N634" s="6">
        <v>1.2434</v>
      </c>
    </row>
    <row r="635">
      <c r="A635" s="491" t="s">
        <v>2019</v>
      </c>
      <c r="B635" s="491" t="s">
        <v>1857</v>
      </c>
      <c r="C635" s="491" t="s">
        <v>69</v>
      </c>
      <c r="D635" s="491" t="s">
        <v>565</v>
      </c>
      <c r="E635" s="492" t="s">
        <v>43</v>
      </c>
      <c r="F635" s="493">
        <v>103131.0</v>
      </c>
      <c r="G635" s="493">
        <v>705.0</v>
      </c>
      <c r="H635" s="493">
        <v>0.68</v>
      </c>
      <c r="I635" s="493">
        <v>0.09</v>
      </c>
      <c r="J635" s="493">
        <v>0.11</v>
      </c>
      <c r="K635" s="493">
        <v>735.0</v>
      </c>
      <c r="L635" s="493">
        <v>838342.0</v>
      </c>
      <c r="M635" s="493">
        <v>0.0071</v>
      </c>
      <c r="N635" s="6">
        <v>1.0426</v>
      </c>
    </row>
    <row r="636">
      <c r="A636" s="491" t="s">
        <v>2019</v>
      </c>
      <c r="B636" s="491" t="s">
        <v>1857</v>
      </c>
      <c r="C636" s="491" t="s">
        <v>69</v>
      </c>
      <c r="D636" s="491" t="s">
        <v>565</v>
      </c>
      <c r="E636" s="492" t="s">
        <v>369</v>
      </c>
      <c r="F636" s="493">
        <v>103131.0</v>
      </c>
      <c r="G636" s="493">
        <v>271.0</v>
      </c>
      <c r="H636" s="493">
        <v>0.26</v>
      </c>
      <c r="I636" s="493">
        <v>0.04</v>
      </c>
      <c r="J636" s="493">
        <v>0.08</v>
      </c>
      <c r="K636" s="493">
        <v>313.0</v>
      </c>
      <c r="L636" s="493">
        <v>838342.0</v>
      </c>
      <c r="M636" s="493">
        <v>0.003</v>
      </c>
      <c r="N636" s="6">
        <v>1.155</v>
      </c>
    </row>
    <row r="637">
      <c r="A637" s="491" t="s">
        <v>2019</v>
      </c>
      <c r="B637" s="491" t="s">
        <v>1857</v>
      </c>
      <c r="C637" s="491" t="s">
        <v>69</v>
      </c>
      <c r="D637" s="491" t="s">
        <v>565</v>
      </c>
      <c r="E637" s="492" t="s">
        <v>189</v>
      </c>
      <c r="F637" s="493">
        <v>103131.0</v>
      </c>
      <c r="G637" s="493">
        <v>77.0</v>
      </c>
      <c r="H637" s="493">
        <v>0.07</v>
      </c>
      <c r="I637" s="493">
        <v>0.01</v>
      </c>
      <c r="J637" s="493">
        <v>0.02</v>
      </c>
      <c r="K637" s="493">
        <v>80.0</v>
      </c>
      <c r="L637" s="493">
        <v>838342.0</v>
      </c>
      <c r="M637" s="493">
        <v>8.0E-4</v>
      </c>
      <c r="N637" s="6">
        <v>1.039</v>
      </c>
    </row>
    <row r="638">
      <c r="A638" s="491" t="s">
        <v>2019</v>
      </c>
      <c r="B638" s="491" t="s">
        <v>1857</v>
      </c>
      <c r="C638" s="491" t="s">
        <v>69</v>
      </c>
      <c r="D638" s="491" t="s">
        <v>565</v>
      </c>
      <c r="E638" s="492" t="s">
        <v>35</v>
      </c>
      <c r="F638" s="493">
        <v>103131.0</v>
      </c>
      <c r="G638" s="493">
        <v>82.0</v>
      </c>
      <c r="H638" s="493">
        <v>0.08</v>
      </c>
      <c r="I638" s="493">
        <v>0.01</v>
      </c>
      <c r="J638" s="493">
        <v>0.02</v>
      </c>
      <c r="K638" s="493">
        <v>97.0</v>
      </c>
      <c r="L638" s="493">
        <v>838342.0</v>
      </c>
      <c r="M638" s="493">
        <v>9.0E-4</v>
      </c>
      <c r="N638" s="6">
        <v>1.1829</v>
      </c>
    </row>
    <row r="639">
      <c r="A639" s="491" t="s">
        <v>2019</v>
      </c>
      <c r="B639" s="491" t="s">
        <v>1857</v>
      </c>
      <c r="C639" s="491" t="s">
        <v>69</v>
      </c>
      <c r="D639" s="491" t="s">
        <v>565</v>
      </c>
      <c r="E639" s="492" t="s">
        <v>310</v>
      </c>
      <c r="F639" s="493">
        <v>103131.0</v>
      </c>
      <c r="G639" s="493">
        <v>1.0</v>
      </c>
      <c r="H639" s="493">
        <v>0.0</v>
      </c>
      <c r="I639" s="493">
        <v>0.0</v>
      </c>
      <c r="J639" s="493">
        <v>0.0</v>
      </c>
      <c r="K639" s="493">
        <v>1.0</v>
      </c>
      <c r="L639" s="493">
        <v>838342.0</v>
      </c>
      <c r="M639" s="493">
        <v>0.0</v>
      </c>
      <c r="N639" s="6">
        <v>1.0</v>
      </c>
    </row>
    <row r="640">
      <c r="A640" s="491" t="s">
        <v>2019</v>
      </c>
      <c r="B640" s="491" t="s">
        <v>1857</v>
      </c>
      <c r="C640" s="491" t="s">
        <v>69</v>
      </c>
      <c r="D640" s="491" t="s">
        <v>565</v>
      </c>
      <c r="E640" s="492" t="s">
        <v>312</v>
      </c>
      <c r="F640" s="493">
        <v>103131.0</v>
      </c>
      <c r="G640" s="493">
        <v>2.0</v>
      </c>
      <c r="H640" s="493">
        <v>0.0</v>
      </c>
      <c r="I640" s="493">
        <v>0.0</v>
      </c>
      <c r="J640" s="493">
        <v>0.0</v>
      </c>
      <c r="K640" s="493">
        <v>2.0</v>
      </c>
      <c r="L640" s="493">
        <v>838342.0</v>
      </c>
      <c r="M640" s="493">
        <v>0.0</v>
      </c>
      <c r="N640" s="6">
        <v>1.0</v>
      </c>
    </row>
    <row r="641">
      <c r="A641" s="491" t="s">
        <v>2019</v>
      </c>
      <c r="B641" s="491" t="s">
        <v>1857</v>
      </c>
      <c r="C641" s="491" t="s">
        <v>69</v>
      </c>
      <c r="D641" s="491" t="s">
        <v>565</v>
      </c>
      <c r="E641" s="492" t="s">
        <v>32</v>
      </c>
      <c r="F641" s="493">
        <v>103131.0</v>
      </c>
      <c r="G641" s="493">
        <v>25.0</v>
      </c>
      <c r="H641" s="493">
        <v>0.02</v>
      </c>
      <c r="I641" s="493">
        <v>0.0</v>
      </c>
      <c r="J641" s="493">
        <v>0.01</v>
      </c>
      <c r="K641" s="493">
        <v>31.0</v>
      </c>
      <c r="L641" s="493">
        <v>838342.0</v>
      </c>
      <c r="M641" s="493">
        <v>3.0E-4</v>
      </c>
      <c r="N641" s="6">
        <v>1.24</v>
      </c>
    </row>
    <row r="642">
      <c r="A642" s="491" t="s">
        <v>2019</v>
      </c>
      <c r="B642" s="491" t="s">
        <v>1857</v>
      </c>
      <c r="C642" s="491" t="s">
        <v>73</v>
      </c>
      <c r="D642" s="491" t="s">
        <v>565</v>
      </c>
      <c r="E642" s="492" t="s">
        <v>367</v>
      </c>
      <c r="F642" s="493">
        <v>87357.0</v>
      </c>
      <c r="G642" s="493">
        <v>50960.0</v>
      </c>
      <c r="H642" s="493">
        <v>58.34</v>
      </c>
      <c r="I642" s="493">
        <v>19.84</v>
      </c>
      <c r="J642" s="493">
        <v>18.45</v>
      </c>
      <c r="K642" s="493">
        <v>116193.0</v>
      </c>
      <c r="L642" s="493">
        <v>585722.0</v>
      </c>
      <c r="M642" s="493">
        <v>1.3301</v>
      </c>
      <c r="N642" s="6">
        <v>2.2801</v>
      </c>
    </row>
    <row r="643">
      <c r="A643" s="491" t="s">
        <v>2019</v>
      </c>
      <c r="B643" s="491" t="s">
        <v>1857</v>
      </c>
      <c r="C643" s="491" t="s">
        <v>73</v>
      </c>
      <c r="D643" s="491" t="s">
        <v>565</v>
      </c>
      <c r="E643" s="492" t="s">
        <v>371</v>
      </c>
      <c r="F643" s="493">
        <v>87357.0</v>
      </c>
      <c r="G643" s="493">
        <v>59192.0</v>
      </c>
      <c r="H643" s="493">
        <v>67.76</v>
      </c>
      <c r="I643" s="493">
        <v>18.18</v>
      </c>
      <c r="J643" s="493">
        <v>22.13</v>
      </c>
      <c r="K643" s="493">
        <v>106464.0</v>
      </c>
      <c r="L643" s="493">
        <v>585722.0</v>
      </c>
      <c r="M643" s="493">
        <v>1.2187</v>
      </c>
      <c r="N643" s="6">
        <v>1.7986</v>
      </c>
    </row>
    <row r="644">
      <c r="A644" s="491" t="s">
        <v>2019</v>
      </c>
      <c r="B644" s="491" t="s">
        <v>1857</v>
      </c>
      <c r="C644" s="491" t="s">
        <v>73</v>
      </c>
      <c r="D644" s="491" t="s">
        <v>565</v>
      </c>
      <c r="E644" s="492" t="s">
        <v>365</v>
      </c>
      <c r="F644" s="493">
        <v>87357.0</v>
      </c>
      <c r="G644" s="493">
        <v>27670.0</v>
      </c>
      <c r="H644" s="493">
        <v>31.67</v>
      </c>
      <c r="I644" s="493">
        <v>15.8</v>
      </c>
      <c r="J644" s="493">
        <v>10.57</v>
      </c>
      <c r="K644" s="493">
        <v>92555.0</v>
      </c>
      <c r="L644" s="493">
        <v>585722.0</v>
      </c>
      <c r="M644" s="493">
        <v>1.0595</v>
      </c>
      <c r="N644" s="6">
        <v>3.345</v>
      </c>
    </row>
    <row r="645">
      <c r="A645" s="491" t="s">
        <v>2019</v>
      </c>
      <c r="B645" s="491" t="s">
        <v>1857</v>
      </c>
      <c r="C645" s="491" t="s">
        <v>73</v>
      </c>
      <c r="D645" s="491" t="s">
        <v>565</v>
      </c>
      <c r="E645" s="492" t="s">
        <v>42</v>
      </c>
      <c r="F645" s="493">
        <v>87357.0</v>
      </c>
      <c r="G645" s="493">
        <v>38660.0</v>
      </c>
      <c r="H645" s="493">
        <v>44.26</v>
      </c>
      <c r="I645" s="493">
        <v>12.75</v>
      </c>
      <c r="J645" s="493">
        <v>14.61</v>
      </c>
      <c r="K645" s="493">
        <v>74693.0</v>
      </c>
      <c r="L645" s="493">
        <v>585722.0</v>
      </c>
      <c r="M645" s="493">
        <v>0.855</v>
      </c>
      <c r="N645" s="6">
        <v>1.932</v>
      </c>
    </row>
    <row r="646">
      <c r="A646" s="491" t="s">
        <v>2019</v>
      </c>
      <c r="B646" s="491" t="s">
        <v>1857</v>
      </c>
      <c r="C646" s="491" t="s">
        <v>73</v>
      </c>
      <c r="D646" s="491" t="s">
        <v>565</v>
      </c>
      <c r="E646" s="492" t="s">
        <v>372</v>
      </c>
      <c r="F646" s="493">
        <v>87357.0</v>
      </c>
      <c r="G646" s="493">
        <v>38990.0</v>
      </c>
      <c r="H646" s="493">
        <v>44.63</v>
      </c>
      <c r="I646" s="493">
        <v>11.41</v>
      </c>
      <c r="J646" s="493">
        <v>10.7</v>
      </c>
      <c r="K646" s="493">
        <v>66809.0</v>
      </c>
      <c r="L646" s="493">
        <v>585722.0</v>
      </c>
      <c r="M646" s="493">
        <v>0.7648</v>
      </c>
      <c r="N646" s="6">
        <v>1.7135</v>
      </c>
    </row>
    <row r="647">
      <c r="A647" s="491" t="s">
        <v>2019</v>
      </c>
      <c r="B647" s="491" t="s">
        <v>1857</v>
      </c>
      <c r="C647" s="491" t="s">
        <v>73</v>
      </c>
      <c r="D647" s="491" t="s">
        <v>565</v>
      </c>
      <c r="E647" s="492" t="s">
        <v>40</v>
      </c>
      <c r="F647" s="493">
        <v>87357.0</v>
      </c>
      <c r="G647" s="493">
        <v>9169.0</v>
      </c>
      <c r="H647" s="493">
        <v>10.5</v>
      </c>
      <c r="I647" s="493">
        <v>7.13</v>
      </c>
      <c r="J647" s="493">
        <v>4.47</v>
      </c>
      <c r="K647" s="493">
        <v>41736.0</v>
      </c>
      <c r="L647" s="493">
        <v>585722.0</v>
      </c>
      <c r="M647" s="493">
        <v>0.4778</v>
      </c>
      <c r="N647" s="6">
        <v>4.5519</v>
      </c>
    </row>
    <row r="648">
      <c r="A648" s="491" t="s">
        <v>2019</v>
      </c>
      <c r="B648" s="491" t="s">
        <v>1857</v>
      </c>
      <c r="C648" s="491" t="s">
        <v>73</v>
      </c>
      <c r="D648" s="491" t="s">
        <v>565</v>
      </c>
      <c r="E648" s="492" t="s">
        <v>366</v>
      </c>
      <c r="F648" s="493">
        <v>87357.0</v>
      </c>
      <c r="G648" s="493">
        <v>24169.0</v>
      </c>
      <c r="H648" s="493">
        <v>27.67</v>
      </c>
      <c r="I648" s="493">
        <v>4.39</v>
      </c>
      <c r="J648" s="493">
        <v>5.84</v>
      </c>
      <c r="K648" s="493">
        <v>25708.0</v>
      </c>
      <c r="L648" s="493">
        <v>585722.0</v>
      </c>
      <c r="M648" s="493">
        <v>0.2943</v>
      </c>
      <c r="N648" s="6">
        <v>1.0637</v>
      </c>
    </row>
    <row r="649">
      <c r="A649" s="491" t="s">
        <v>2019</v>
      </c>
      <c r="B649" s="491" t="s">
        <v>1857</v>
      </c>
      <c r="C649" s="491" t="s">
        <v>73</v>
      </c>
      <c r="D649" s="491" t="s">
        <v>565</v>
      </c>
      <c r="E649" s="492" t="s">
        <v>370</v>
      </c>
      <c r="F649" s="493">
        <v>87357.0</v>
      </c>
      <c r="G649" s="493">
        <v>11858.0</v>
      </c>
      <c r="H649" s="493">
        <v>13.57</v>
      </c>
      <c r="I649" s="493">
        <v>3.01</v>
      </c>
      <c r="J649" s="493">
        <v>3.25</v>
      </c>
      <c r="K649" s="493">
        <v>17622.0</v>
      </c>
      <c r="L649" s="493">
        <v>585722.0</v>
      </c>
      <c r="M649" s="493">
        <v>0.2017</v>
      </c>
      <c r="N649" s="6">
        <v>1.4861</v>
      </c>
    </row>
    <row r="650">
      <c r="A650" s="491" t="s">
        <v>2019</v>
      </c>
      <c r="B650" s="491" t="s">
        <v>1857</v>
      </c>
      <c r="C650" s="491" t="s">
        <v>73</v>
      </c>
      <c r="D650" s="491" t="s">
        <v>565</v>
      </c>
      <c r="E650" s="492" t="s">
        <v>50</v>
      </c>
      <c r="F650" s="493">
        <v>87357.0</v>
      </c>
      <c r="G650" s="493">
        <v>8841.0</v>
      </c>
      <c r="H650" s="493">
        <v>10.12</v>
      </c>
      <c r="I650" s="493">
        <v>1.76</v>
      </c>
      <c r="J650" s="493">
        <v>1.84</v>
      </c>
      <c r="K650" s="493">
        <v>10291.0</v>
      </c>
      <c r="L650" s="493">
        <v>585722.0</v>
      </c>
      <c r="M650" s="493">
        <v>0.1178</v>
      </c>
      <c r="N650" s="6">
        <v>1.164</v>
      </c>
    </row>
    <row r="651">
      <c r="A651" s="491" t="s">
        <v>2019</v>
      </c>
      <c r="B651" s="491" t="s">
        <v>1857</v>
      </c>
      <c r="C651" s="491" t="s">
        <v>73</v>
      </c>
      <c r="D651" s="491" t="s">
        <v>565</v>
      </c>
      <c r="E651" s="492" t="s">
        <v>134</v>
      </c>
      <c r="F651" s="493">
        <v>87357.0</v>
      </c>
      <c r="G651" s="493">
        <v>6650.0</v>
      </c>
      <c r="H651" s="493">
        <v>7.61</v>
      </c>
      <c r="I651" s="493">
        <v>1.54</v>
      </c>
      <c r="J651" s="493">
        <v>2.19</v>
      </c>
      <c r="K651" s="493">
        <v>9017.0</v>
      </c>
      <c r="L651" s="493">
        <v>585722.0</v>
      </c>
      <c r="M651" s="493">
        <v>0.1032</v>
      </c>
      <c r="N651" s="6">
        <v>1.3559</v>
      </c>
    </row>
    <row r="652">
      <c r="A652" s="491" t="s">
        <v>2019</v>
      </c>
      <c r="B652" s="491" t="s">
        <v>1857</v>
      </c>
      <c r="C652" s="491" t="s">
        <v>73</v>
      </c>
      <c r="D652" s="491" t="s">
        <v>565</v>
      </c>
      <c r="E652" s="492" t="s">
        <v>32</v>
      </c>
      <c r="F652" s="493">
        <v>87357.0</v>
      </c>
      <c r="G652" s="493">
        <v>6754.0</v>
      </c>
      <c r="H652" s="493">
        <v>7.73</v>
      </c>
      <c r="I652" s="493">
        <v>1.24</v>
      </c>
      <c r="J652" s="493">
        <v>1.8</v>
      </c>
      <c r="K652" s="493">
        <v>7269.0</v>
      </c>
      <c r="L652" s="493">
        <v>585722.0</v>
      </c>
      <c r="M652" s="493">
        <v>0.0832</v>
      </c>
      <c r="N652" s="6">
        <v>1.0763</v>
      </c>
    </row>
    <row r="653">
      <c r="A653" s="491" t="s">
        <v>2019</v>
      </c>
      <c r="B653" s="491" t="s">
        <v>1857</v>
      </c>
      <c r="C653" s="491" t="s">
        <v>73</v>
      </c>
      <c r="D653" s="491" t="s">
        <v>565</v>
      </c>
      <c r="E653" s="492" t="s">
        <v>312</v>
      </c>
      <c r="F653" s="493">
        <v>87357.0</v>
      </c>
      <c r="G653" s="493">
        <v>5468.0</v>
      </c>
      <c r="H653" s="493">
        <v>6.26</v>
      </c>
      <c r="I653" s="493">
        <v>1.03</v>
      </c>
      <c r="J653" s="493">
        <v>1.47</v>
      </c>
      <c r="K653" s="493">
        <v>6043.0</v>
      </c>
      <c r="L653" s="493">
        <v>585722.0</v>
      </c>
      <c r="M653" s="493">
        <v>0.0692</v>
      </c>
      <c r="N653" s="6">
        <v>1.1052</v>
      </c>
    </row>
    <row r="654">
      <c r="A654" s="491" t="s">
        <v>2019</v>
      </c>
      <c r="B654" s="491" t="s">
        <v>1857</v>
      </c>
      <c r="C654" s="491" t="s">
        <v>73</v>
      </c>
      <c r="D654" s="491" t="s">
        <v>565</v>
      </c>
      <c r="E654" s="492" t="s">
        <v>310</v>
      </c>
      <c r="F654" s="493">
        <v>87357.0</v>
      </c>
      <c r="G654" s="493">
        <v>5103.0</v>
      </c>
      <c r="H654" s="493">
        <v>5.84</v>
      </c>
      <c r="I654" s="493">
        <v>0.93</v>
      </c>
      <c r="J654" s="493">
        <v>1.4</v>
      </c>
      <c r="K654" s="493">
        <v>5449.0</v>
      </c>
      <c r="L654" s="493">
        <v>585722.0</v>
      </c>
      <c r="M654" s="493">
        <v>0.0624</v>
      </c>
      <c r="N654" s="6">
        <v>1.0678</v>
      </c>
    </row>
    <row r="655">
      <c r="A655" s="491" t="s">
        <v>2019</v>
      </c>
      <c r="B655" s="491" t="s">
        <v>1857</v>
      </c>
      <c r="C655" s="491" t="s">
        <v>73</v>
      </c>
      <c r="D655" s="491" t="s">
        <v>565</v>
      </c>
      <c r="E655" s="492" t="s">
        <v>44</v>
      </c>
      <c r="F655" s="493">
        <v>87357.0</v>
      </c>
      <c r="G655" s="493">
        <v>3764.0</v>
      </c>
      <c r="H655" s="493">
        <v>4.31</v>
      </c>
      <c r="I655" s="493">
        <v>0.75</v>
      </c>
      <c r="J655" s="493">
        <v>0.75</v>
      </c>
      <c r="K655" s="493">
        <v>4389.0</v>
      </c>
      <c r="L655" s="493">
        <v>585722.0</v>
      </c>
      <c r="M655" s="493">
        <v>0.0502</v>
      </c>
      <c r="N655" s="6">
        <v>1.166</v>
      </c>
    </row>
    <row r="656">
      <c r="A656" s="491" t="s">
        <v>2019</v>
      </c>
      <c r="B656" s="491" t="s">
        <v>1857</v>
      </c>
      <c r="C656" s="491" t="s">
        <v>73</v>
      </c>
      <c r="D656" s="491" t="s">
        <v>565</v>
      </c>
      <c r="E656" s="492" t="s">
        <v>311</v>
      </c>
      <c r="F656" s="493">
        <v>87357.0</v>
      </c>
      <c r="G656" s="493">
        <v>1210.0</v>
      </c>
      <c r="H656" s="493">
        <v>1.39</v>
      </c>
      <c r="I656" s="493">
        <v>0.21</v>
      </c>
      <c r="J656" s="493">
        <v>0.46</v>
      </c>
      <c r="K656" s="493">
        <v>1241.0</v>
      </c>
      <c r="L656" s="493">
        <v>585722.0</v>
      </c>
      <c r="M656" s="493">
        <v>0.0142</v>
      </c>
      <c r="N656" s="6">
        <v>1.0256</v>
      </c>
    </row>
    <row r="657">
      <c r="A657" s="491" t="s">
        <v>2019</v>
      </c>
      <c r="B657" s="491" t="s">
        <v>1857</v>
      </c>
      <c r="C657" s="491" t="s">
        <v>73</v>
      </c>
      <c r="D657" s="491" t="s">
        <v>565</v>
      </c>
      <c r="E657" s="492" t="s">
        <v>43</v>
      </c>
      <c r="F657" s="493">
        <v>87357.0</v>
      </c>
      <c r="G657" s="493">
        <v>215.0</v>
      </c>
      <c r="H657" s="493">
        <v>0.25</v>
      </c>
      <c r="I657" s="493">
        <v>0.04</v>
      </c>
      <c r="J657" s="493">
        <v>0.08</v>
      </c>
      <c r="K657" s="493">
        <v>223.0</v>
      </c>
      <c r="L657" s="493">
        <v>585722.0</v>
      </c>
      <c r="M657" s="493">
        <v>0.0026</v>
      </c>
      <c r="N657" s="6">
        <v>1.0372</v>
      </c>
    </row>
    <row r="658">
      <c r="A658" s="491" t="s">
        <v>2019</v>
      </c>
      <c r="B658" s="491" t="s">
        <v>1857</v>
      </c>
      <c r="C658" s="491" t="s">
        <v>73</v>
      </c>
      <c r="D658" s="491" t="s">
        <v>565</v>
      </c>
      <c r="E658" s="492" t="s">
        <v>35</v>
      </c>
      <c r="F658" s="493">
        <v>87357.0</v>
      </c>
      <c r="G658" s="493">
        <v>7.0</v>
      </c>
      <c r="H658" s="493">
        <v>0.01</v>
      </c>
      <c r="I658" s="493">
        <v>0.0</v>
      </c>
      <c r="J658" s="493">
        <v>0.0</v>
      </c>
      <c r="K658" s="493">
        <v>9.0</v>
      </c>
      <c r="L658" s="493">
        <v>585722.0</v>
      </c>
      <c r="M658" s="493">
        <v>1.0E-4</v>
      </c>
      <c r="N658" s="6">
        <v>1.2857</v>
      </c>
    </row>
    <row r="659">
      <c r="A659" s="491" t="s">
        <v>2019</v>
      </c>
      <c r="B659" s="491" t="s">
        <v>1857</v>
      </c>
      <c r="C659" s="491" t="s">
        <v>73</v>
      </c>
      <c r="D659" s="491" t="s">
        <v>565</v>
      </c>
      <c r="E659" s="492" t="s">
        <v>54</v>
      </c>
      <c r="F659" s="493">
        <v>87357.0</v>
      </c>
      <c r="G659" s="493">
        <v>1.0</v>
      </c>
      <c r="H659" s="493">
        <v>0.0</v>
      </c>
      <c r="I659" s="493">
        <v>0.0</v>
      </c>
      <c r="J659" s="493">
        <v>0.0</v>
      </c>
      <c r="K659" s="493">
        <v>1.0</v>
      </c>
      <c r="L659" s="493">
        <v>585722.0</v>
      </c>
      <c r="M659" s="493">
        <v>0.0</v>
      </c>
      <c r="N659" s="6">
        <v>1.0</v>
      </c>
    </row>
    <row r="660">
      <c r="A660" s="491" t="s">
        <v>2019</v>
      </c>
      <c r="B660" s="491" t="s">
        <v>1857</v>
      </c>
      <c r="C660" s="491" t="s">
        <v>73</v>
      </c>
      <c r="D660" s="491" t="s">
        <v>565</v>
      </c>
      <c r="E660" s="492" t="s">
        <v>368</v>
      </c>
      <c r="F660" s="493">
        <v>87357.0</v>
      </c>
      <c r="G660" s="493">
        <v>4.0</v>
      </c>
      <c r="H660" s="493">
        <v>0.0</v>
      </c>
      <c r="I660" s="493">
        <v>0.0</v>
      </c>
      <c r="J660" s="493">
        <v>0.0</v>
      </c>
      <c r="K660" s="493">
        <v>8.0</v>
      </c>
      <c r="L660" s="493">
        <v>585722.0</v>
      </c>
      <c r="M660" s="493">
        <v>1.0E-4</v>
      </c>
      <c r="N660" s="6">
        <v>2.0</v>
      </c>
    </row>
    <row r="661">
      <c r="A661" s="491" t="s">
        <v>2019</v>
      </c>
      <c r="B661" s="491" t="s">
        <v>1857</v>
      </c>
      <c r="C661" s="491" t="s">
        <v>73</v>
      </c>
      <c r="D661" s="491" t="s">
        <v>565</v>
      </c>
      <c r="E661" s="492" t="s">
        <v>369</v>
      </c>
      <c r="F661" s="493">
        <v>87357.0</v>
      </c>
      <c r="G661" s="493">
        <v>1.0</v>
      </c>
      <c r="H661" s="493">
        <v>0.0</v>
      </c>
      <c r="I661" s="493">
        <v>0.0</v>
      </c>
      <c r="J661" s="493">
        <v>0.0</v>
      </c>
      <c r="K661" s="493">
        <v>1.0</v>
      </c>
      <c r="L661" s="493">
        <v>585722.0</v>
      </c>
      <c r="M661" s="493">
        <v>0.0</v>
      </c>
      <c r="N661" s="6">
        <v>1.0</v>
      </c>
    </row>
    <row r="662">
      <c r="A662" s="491" t="s">
        <v>2019</v>
      </c>
      <c r="B662" s="491" t="s">
        <v>1857</v>
      </c>
      <c r="C662" s="491" t="s">
        <v>73</v>
      </c>
      <c r="D662" s="491" t="s">
        <v>565</v>
      </c>
      <c r="E662" s="492" t="s">
        <v>189</v>
      </c>
      <c r="F662" s="493">
        <v>87357.0</v>
      </c>
      <c r="G662" s="493">
        <v>1.0</v>
      </c>
      <c r="H662" s="493">
        <v>0.0</v>
      </c>
      <c r="I662" s="493">
        <v>0.0</v>
      </c>
      <c r="J662" s="493">
        <v>0.0</v>
      </c>
      <c r="K662" s="493">
        <v>1.0</v>
      </c>
      <c r="L662" s="493">
        <v>585722.0</v>
      </c>
      <c r="M662" s="493">
        <v>0.0</v>
      </c>
      <c r="N662" s="6">
        <v>1.0</v>
      </c>
    </row>
    <row r="663">
      <c r="A663" s="491" t="s">
        <v>2019</v>
      </c>
      <c r="B663" s="491" t="s">
        <v>1857</v>
      </c>
      <c r="C663" s="491" t="s">
        <v>72</v>
      </c>
      <c r="D663" s="491" t="s">
        <v>565</v>
      </c>
      <c r="E663" s="492" t="s">
        <v>367</v>
      </c>
      <c r="F663" s="493">
        <v>90609.0</v>
      </c>
      <c r="G663" s="493">
        <v>60239.0</v>
      </c>
      <c r="H663" s="493">
        <v>66.48</v>
      </c>
      <c r="I663" s="493">
        <v>24.97</v>
      </c>
      <c r="J663" s="493">
        <v>24.31</v>
      </c>
      <c r="K663" s="493">
        <v>175763.0</v>
      </c>
      <c r="L663" s="493">
        <v>703862.0</v>
      </c>
      <c r="M663" s="493">
        <v>1.9398</v>
      </c>
      <c r="N663" s="6">
        <v>2.9178</v>
      </c>
    </row>
    <row r="664">
      <c r="A664" s="491" t="s">
        <v>2019</v>
      </c>
      <c r="B664" s="491" t="s">
        <v>1857</v>
      </c>
      <c r="C664" s="491" t="s">
        <v>72</v>
      </c>
      <c r="D664" s="491" t="s">
        <v>565</v>
      </c>
      <c r="E664" s="492" t="s">
        <v>365</v>
      </c>
      <c r="F664" s="493">
        <v>90609.0</v>
      </c>
      <c r="G664" s="493">
        <v>27544.0</v>
      </c>
      <c r="H664" s="493">
        <v>30.4</v>
      </c>
      <c r="I664" s="493">
        <v>13.09</v>
      </c>
      <c r="J664" s="493">
        <v>8.94</v>
      </c>
      <c r="K664" s="493">
        <v>92123.0</v>
      </c>
      <c r="L664" s="493">
        <v>703862.0</v>
      </c>
      <c r="M664" s="493">
        <v>1.0167</v>
      </c>
      <c r="N664" s="6">
        <v>3.3446</v>
      </c>
    </row>
    <row r="665">
      <c r="A665" s="491" t="s">
        <v>2019</v>
      </c>
      <c r="B665" s="491" t="s">
        <v>1857</v>
      </c>
      <c r="C665" s="491" t="s">
        <v>72</v>
      </c>
      <c r="D665" s="491" t="s">
        <v>565</v>
      </c>
      <c r="E665" s="492" t="s">
        <v>371</v>
      </c>
      <c r="F665" s="493">
        <v>90609.0</v>
      </c>
      <c r="G665" s="493">
        <v>50248.0</v>
      </c>
      <c r="H665" s="493">
        <v>55.46</v>
      </c>
      <c r="I665" s="493">
        <v>11.46</v>
      </c>
      <c r="J665" s="493">
        <v>13.32</v>
      </c>
      <c r="K665" s="493">
        <v>80639.0</v>
      </c>
      <c r="L665" s="493">
        <v>703862.0</v>
      </c>
      <c r="M665" s="493">
        <v>0.89</v>
      </c>
      <c r="N665" s="6">
        <v>1.6048</v>
      </c>
    </row>
    <row r="666">
      <c r="A666" s="491" t="s">
        <v>2019</v>
      </c>
      <c r="B666" s="491" t="s">
        <v>1857</v>
      </c>
      <c r="C666" s="491" t="s">
        <v>72</v>
      </c>
      <c r="D666" s="491" t="s">
        <v>565</v>
      </c>
      <c r="E666" s="492" t="s">
        <v>40</v>
      </c>
      <c r="F666" s="493">
        <v>90609.0</v>
      </c>
      <c r="G666" s="493">
        <v>27729.0</v>
      </c>
      <c r="H666" s="493">
        <v>30.6</v>
      </c>
      <c r="I666" s="493">
        <v>11.42</v>
      </c>
      <c r="J666" s="493">
        <v>10.2</v>
      </c>
      <c r="K666" s="493">
        <v>80393.0</v>
      </c>
      <c r="L666" s="493">
        <v>703862.0</v>
      </c>
      <c r="M666" s="493">
        <v>0.8873</v>
      </c>
      <c r="N666" s="6">
        <v>2.8992</v>
      </c>
    </row>
    <row r="667">
      <c r="A667" s="491" t="s">
        <v>2019</v>
      </c>
      <c r="B667" s="491" t="s">
        <v>1857</v>
      </c>
      <c r="C667" s="491" t="s">
        <v>72</v>
      </c>
      <c r="D667" s="491" t="s">
        <v>565</v>
      </c>
      <c r="E667" s="492" t="s">
        <v>42</v>
      </c>
      <c r="F667" s="493">
        <v>90609.0</v>
      </c>
      <c r="G667" s="493">
        <v>31588.0</v>
      </c>
      <c r="H667" s="493">
        <v>34.86</v>
      </c>
      <c r="I667" s="493">
        <v>7.55</v>
      </c>
      <c r="J667" s="493">
        <v>8.74</v>
      </c>
      <c r="K667" s="493">
        <v>53113.0</v>
      </c>
      <c r="L667" s="493">
        <v>703862.0</v>
      </c>
      <c r="M667" s="493">
        <v>0.5862</v>
      </c>
      <c r="N667" s="6">
        <v>1.6814</v>
      </c>
    </row>
    <row r="668">
      <c r="A668" s="491" t="s">
        <v>2019</v>
      </c>
      <c r="B668" s="491" t="s">
        <v>1857</v>
      </c>
      <c r="C668" s="491" t="s">
        <v>72</v>
      </c>
      <c r="D668" s="491" t="s">
        <v>565</v>
      </c>
      <c r="E668" s="492" t="s">
        <v>370</v>
      </c>
      <c r="F668" s="493">
        <v>90609.0</v>
      </c>
      <c r="G668" s="493">
        <v>26109.0</v>
      </c>
      <c r="H668" s="493">
        <v>28.82</v>
      </c>
      <c r="I668" s="493">
        <v>5.65</v>
      </c>
      <c r="J668" s="493">
        <v>6.24</v>
      </c>
      <c r="K668" s="493">
        <v>39766.0</v>
      </c>
      <c r="L668" s="493">
        <v>703862.0</v>
      </c>
      <c r="M668" s="493">
        <v>0.4389</v>
      </c>
      <c r="N668" s="6">
        <v>1.5231</v>
      </c>
    </row>
    <row r="669">
      <c r="A669" s="491" t="s">
        <v>2019</v>
      </c>
      <c r="B669" s="491" t="s">
        <v>1857</v>
      </c>
      <c r="C669" s="491" t="s">
        <v>72</v>
      </c>
      <c r="D669" s="491" t="s">
        <v>565</v>
      </c>
      <c r="E669" s="492" t="s">
        <v>368</v>
      </c>
      <c r="F669" s="493">
        <v>90609.0</v>
      </c>
      <c r="G669" s="493">
        <v>14891.0</v>
      </c>
      <c r="H669" s="493">
        <v>16.43</v>
      </c>
      <c r="I669" s="493">
        <v>4.22</v>
      </c>
      <c r="J669" s="493">
        <v>3.33</v>
      </c>
      <c r="K669" s="493">
        <v>29731.0</v>
      </c>
      <c r="L669" s="493">
        <v>703862.0</v>
      </c>
      <c r="M669" s="493">
        <v>0.3281</v>
      </c>
      <c r="N669" s="6">
        <v>1.9966</v>
      </c>
    </row>
    <row r="670">
      <c r="A670" s="491" t="s">
        <v>2019</v>
      </c>
      <c r="B670" s="491" t="s">
        <v>1857</v>
      </c>
      <c r="C670" s="491" t="s">
        <v>72</v>
      </c>
      <c r="D670" s="491" t="s">
        <v>565</v>
      </c>
      <c r="E670" s="492" t="s">
        <v>372</v>
      </c>
      <c r="F670" s="493">
        <v>90609.0</v>
      </c>
      <c r="G670" s="493">
        <v>14195.0</v>
      </c>
      <c r="H670" s="493">
        <v>15.67</v>
      </c>
      <c r="I670" s="493">
        <v>3.99</v>
      </c>
      <c r="J670" s="493">
        <v>3.29</v>
      </c>
      <c r="K670" s="493">
        <v>28064.0</v>
      </c>
      <c r="L670" s="493">
        <v>703862.0</v>
      </c>
      <c r="M670" s="493">
        <v>0.3097</v>
      </c>
      <c r="N670" s="6">
        <v>1.977</v>
      </c>
    </row>
    <row r="671">
      <c r="A671" s="491" t="s">
        <v>2019</v>
      </c>
      <c r="B671" s="491" t="s">
        <v>1857</v>
      </c>
      <c r="C671" s="491" t="s">
        <v>72</v>
      </c>
      <c r="D671" s="491" t="s">
        <v>565</v>
      </c>
      <c r="E671" s="492" t="s">
        <v>32</v>
      </c>
      <c r="F671" s="493">
        <v>90609.0</v>
      </c>
      <c r="G671" s="493">
        <v>21199.0</v>
      </c>
      <c r="H671" s="493">
        <v>23.4</v>
      </c>
      <c r="I671" s="493">
        <v>3.62</v>
      </c>
      <c r="J671" s="493">
        <v>4.25</v>
      </c>
      <c r="K671" s="493">
        <v>25501.0</v>
      </c>
      <c r="L671" s="493">
        <v>703862.0</v>
      </c>
      <c r="M671" s="493">
        <v>0.2814</v>
      </c>
      <c r="N671" s="6">
        <v>1.2029</v>
      </c>
    </row>
    <row r="672">
      <c r="A672" s="491" t="s">
        <v>2019</v>
      </c>
      <c r="B672" s="491" t="s">
        <v>1857</v>
      </c>
      <c r="C672" s="491" t="s">
        <v>72</v>
      </c>
      <c r="D672" s="491" t="s">
        <v>565</v>
      </c>
      <c r="E672" s="492" t="s">
        <v>49</v>
      </c>
      <c r="F672" s="493">
        <v>90609.0</v>
      </c>
      <c r="G672" s="493">
        <v>18416.0</v>
      </c>
      <c r="H672" s="493">
        <v>20.32</v>
      </c>
      <c r="I672" s="493">
        <v>3.57</v>
      </c>
      <c r="J672" s="493">
        <v>4.17</v>
      </c>
      <c r="K672" s="493">
        <v>25103.0</v>
      </c>
      <c r="L672" s="493">
        <v>703862.0</v>
      </c>
      <c r="M672" s="493">
        <v>0.277</v>
      </c>
      <c r="N672" s="6">
        <v>1.3631</v>
      </c>
    </row>
    <row r="673">
      <c r="A673" s="491" t="s">
        <v>2019</v>
      </c>
      <c r="B673" s="491" t="s">
        <v>1857</v>
      </c>
      <c r="C673" s="491" t="s">
        <v>72</v>
      </c>
      <c r="D673" s="491" t="s">
        <v>565</v>
      </c>
      <c r="E673" s="492" t="s">
        <v>310</v>
      </c>
      <c r="F673" s="493">
        <v>90609.0</v>
      </c>
      <c r="G673" s="493">
        <v>17561.0</v>
      </c>
      <c r="H673" s="493">
        <v>19.38</v>
      </c>
      <c r="I673" s="493">
        <v>2.94</v>
      </c>
      <c r="J673" s="493">
        <v>3.67</v>
      </c>
      <c r="K673" s="493">
        <v>20719.0</v>
      </c>
      <c r="L673" s="493">
        <v>703862.0</v>
      </c>
      <c r="M673" s="493">
        <v>0.2287</v>
      </c>
      <c r="N673" s="6">
        <v>1.1798</v>
      </c>
    </row>
    <row r="674">
      <c r="A674" s="491" t="s">
        <v>2019</v>
      </c>
      <c r="B674" s="491" t="s">
        <v>1857</v>
      </c>
      <c r="C674" s="491" t="s">
        <v>72</v>
      </c>
      <c r="D674" s="491" t="s">
        <v>565</v>
      </c>
      <c r="E674" s="492" t="s">
        <v>312</v>
      </c>
      <c r="F674" s="493">
        <v>90609.0</v>
      </c>
      <c r="G674" s="493">
        <v>15244.0</v>
      </c>
      <c r="H674" s="493">
        <v>16.82</v>
      </c>
      <c r="I674" s="493">
        <v>2.61</v>
      </c>
      <c r="J674" s="493">
        <v>3.41</v>
      </c>
      <c r="K674" s="493">
        <v>18388.0</v>
      </c>
      <c r="L674" s="493">
        <v>703862.0</v>
      </c>
      <c r="M674" s="493">
        <v>0.2029</v>
      </c>
      <c r="N674" s="6">
        <v>1.2062</v>
      </c>
    </row>
    <row r="675">
      <c r="A675" s="491" t="s">
        <v>2019</v>
      </c>
      <c r="B675" s="491" t="s">
        <v>1857</v>
      </c>
      <c r="C675" s="491" t="s">
        <v>72</v>
      </c>
      <c r="D675" s="491" t="s">
        <v>565</v>
      </c>
      <c r="E675" s="492" t="s">
        <v>366</v>
      </c>
      <c r="F675" s="493">
        <v>90609.0</v>
      </c>
      <c r="G675" s="493">
        <v>17231.0</v>
      </c>
      <c r="H675" s="493">
        <v>19.02</v>
      </c>
      <c r="I675" s="493">
        <v>2.56</v>
      </c>
      <c r="J675" s="493">
        <v>3.27</v>
      </c>
      <c r="K675" s="493">
        <v>17993.0</v>
      </c>
      <c r="L675" s="493">
        <v>703862.0</v>
      </c>
      <c r="M675" s="493">
        <v>0.1986</v>
      </c>
      <c r="N675" s="6">
        <v>1.0442</v>
      </c>
    </row>
    <row r="676">
      <c r="A676" s="491" t="s">
        <v>2019</v>
      </c>
      <c r="B676" s="491" t="s">
        <v>1857</v>
      </c>
      <c r="C676" s="491" t="s">
        <v>72</v>
      </c>
      <c r="D676" s="491" t="s">
        <v>565</v>
      </c>
      <c r="E676" s="492" t="s">
        <v>50</v>
      </c>
      <c r="F676" s="493">
        <v>90609.0</v>
      </c>
      <c r="G676" s="493">
        <v>8692.0</v>
      </c>
      <c r="H676" s="493">
        <v>9.59</v>
      </c>
      <c r="I676" s="493">
        <v>1.41</v>
      </c>
      <c r="J676" s="493">
        <v>1.34</v>
      </c>
      <c r="K676" s="493">
        <v>9944.0</v>
      </c>
      <c r="L676" s="493">
        <v>703862.0</v>
      </c>
      <c r="M676" s="493">
        <v>0.1097</v>
      </c>
      <c r="N676" s="6">
        <v>1.144</v>
      </c>
    </row>
    <row r="677">
      <c r="A677" s="491" t="s">
        <v>2019</v>
      </c>
      <c r="B677" s="491" t="s">
        <v>1857</v>
      </c>
      <c r="C677" s="491" t="s">
        <v>72</v>
      </c>
      <c r="D677" s="491" t="s">
        <v>565</v>
      </c>
      <c r="E677" s="492" t="s">
        <v>311</v>
      </c>
      <c r="F677" s="493">
        <v>90609.0</v>
      </c>
      <c r="G677" s="493">
        <v>4450.0</v>
      </c>
      <c r="H677" s="493">
        <v>4.91</v>
      </c>
      <c r="I677" s="493">
        <v>0.64</v>
      </c>
      <c r="J677" s="493">
        <v>1.05</v>
      </c>
      <c r="K677" s="493">
        <v>4537.0</v>
      </c>
      <c r="L677" s="493">
        <v>703862.0</v>
      </c>
      <c r="M677" s="493">
        <v>0.0501</v>
      </c>
      <c r="N677" s="6">
        <v>1.0196</v>
      </c>
    </row>
    <row r="678">
      <c r="A678" s="491" t="s">
        <v>2019</v>
      </c>
      <c r="B678" s="491" t="s">
        <v>1857</v>
      </c>
      <c r="C678" s="491" t="s">
        <v>72</v>
      </c>
      <c r="D678" s="491" t="s">
        <v>565</v>
      </c>
      <c r="E678" s="492" t="s">
        <v>44</v>
      </c>
      <c r="F678" s="493">
        <v>90609.0</v>
      </c>
      <c r="G678" s="493">
        <v>1003.0</v>
      </c>
      <c r="H678" s="493">
        <v>1.11</v>
      </c>
      <c r="I678" s="493">
        <v>0.17</v>
      </c>
      <c r="J678" s="493">
        <v>0.23</v>
      </c>
      <c r="K678" s="493">
        <v>1191.0</v>
      </c>
      <c r="L678" s="493">
        <v>703862.0</v>
      </c>
      <c r="M678" s="493">
        <v>0.0131</v>
      </c>
      <c r="N678" s="6">
        <v>1.1874</v>
      </c>
    </row>
    <row r="679">
      <c r="A679" s="491" t="s">
        <v>2019</v>
      </c>
      <c r="B679" s="491" t="s">
        <v>1857</v>
      </c>
      <c r="C679" s="491" t="s">
        <v>72</v>
      </c>
      <c r="D679" s="491" t="s">
        <v>565</v>
      </c>
      <c r="E679" s="492" t="s">
        <v>43</v>
      </c>
      <c r="F679" s="493">
        <v>90609.0</v>
      </c>
      <c r="G679" s="493">
        <v>670.0</v>
      </c>
      <c r="H679" s="493">
        <v>0.74</v>
      </c>
      <c r="I679" s="493">
        <v>0.1</v>
      </c>
      <c r="J679" s="493">
        <v>0.19</v>
      </c>
      <c r="K679" s="493">
        <v>703.0</v>
      </c>
      <c r="L679" s="493">
        <v>703862.0</v>
      </c>
      <c r="M679" s="493">
        <v>0.0078</v>
      </c>
      <c r="N679" s="6">
        <v>1.0493</v>
      </c>
    </row>
    <row r="680">
      <c r="A680" s="491" t="s">
        <v>2019</v>
      </c>
      <c r="B680" s="491" t="s">
        <v>1857</v>
      </c>
      <c r="C680" s="491" t="s">
        <v>72</v>
      </c>
      <c r="D680" s="491" t="s">
        <v>565</v>
      </c>
      <c r="E680" s="492" t="s">
        <v>134</v>
      </c>
      <c r="F680" s="493">
        <v>90609.0</v>
      </c>
      <c r="G680" s="493">
        <v>122.0</v>
      </c>
      <c r="H680" s="493">
        <v>0.13</v>
      </c>
      <c r="I680" s="493">
        <v>0.02</v>
      </c>
      <c r="J680" s="493">
        <v>0.02</v>
      </c>
      <c r="K680" s="493">
        <v>171.0</v>
      </c>
      <c r="L680" s="493">
        <v>703862.0</v>
      </c>
      <c r="M680" s="493">
        <v>0.0019</v>
      </c>
      <c r="N680" s="6">
        <v>1.4016</v>
      </c>
    </row>
    <row r="681">
      <c r="A681" s="491" t="s">
        <v>2019</v>
      </c>
      <c r="B681" s="491" t="s">
        <v>1857</v>
      </c>
      <c r="C681" s="491" t="s">
        <v>72</v>
      </c>
      <c r="D681" s="491" t="s">
        <v>565</v>
      </c>
      <c r="E681" s="492" t="s">
        <v>189</v>
      </c>
      <c r="F681" s="493">
        <v>90609.0</v>
      </c>
      <c r="G681" s="493">
        <v>8.0</v>
      </c>
      <c r="H681" s="493">
        <v>0.01</v>
      </c>
      <c r="I681" s="493">
        <v>0.0</v>
      </c>
      <c r="J681" s="493">
        <v>0.0</v>
      </c>
      <c r="K681" s="493">
        <v>8.0</v>
      </c>
      <c r="L681" s="493">
        <v>703862.0</v>
      </c>
      <c r="M681" s="493">
        <v>1.0E-4</v>
      </c>
      <c r="N681" s="6">
        <v>1.0</v>
      </c>
    </row>
    <row r="682">
      <c r="A682" s="491" t="s">
        <v>2019</v>
      </c>
      <c r="B682" s="491" t="s">
        <v>1857</v>
      </c>
      <c r="C682" s="491" t="s">
        <v>72</v>
      </c>
      <c r="D682" s="491" t="s">
        <v>565</v>
      </c>
      <c r="E682" s="492" t="s">
        <v>369</v>
      </c>
      <c r="F682" s="493">
        <v>90609.0</v>
      </c>
      <c r="G682" s="493">
        <v>8.0</v>
      </c>
      <c r="H682" s="493">
        <v>0.01</v>
      </c>
      <c r="I682" s="493">
        <v>0.0</v>
      </c>
      <c r="J682" s="493">
        <v>0.0</v>
      </c>
      <c r="K682" s="493">
        <v>11.0</v>
      </c>
      <c r="L682" s="493">
        <v>703862.0</v>
      </c>
      <c r="M682" s="493">
        <v>1.0E-4</v>
      </c>
      <c r="N682" s="6">
        <v>1.375</v>
      </c>
    </row>
    <row r="683">
      <c r="A683" s="491" t="s">
        <v>2019</v>
      </c>
      <c r="B683" s="491" t="s">
        <v>1857</v>
      </c>
      <c r="C683" s="491" t="s">
        <v>72</v>
      </c>
      <c r="D683" s="491" t="s">
        <v>565</v>
      </c>
      <c r="E683" s="492" t="s">
        <v>54</v>
      </c>
      <c r="F683" s="493">
        <v>90609.0</v>
      </c>
      <c r="G683" s="493">
        <v>1.0</v>
      </c>
      <c r="H683" s="493">
        <v>0.0</v>
      </c>
      <c r="I683" s="493">
        <v>0.0</v>
      </c>
      <c r="J683" s="493">
        <v>0.0</v>
      </c>
      <c r="K683" s="493">
        <v>1.0</v>
      </c>
      <c r="L683" s="493">
        <v>703862.0</v>
      </c>
      <c r="M683" s="493">
        <v>0.0</v>
      </c>
      <c r="N683" s="6">
        <v>1.0</v>
      </c>
    </row>
    <row r="684">
      <c r="A684" s="491" t="s">
        <v>2019</v>
      </c>
      <c r="B684" s="491" t="s">
        <v>1857</v>
      </c>
      <c r="C684" s="491" t="s">
        <v>1873</v>
      </c>
      <c r="D684" s="491" t="s">
        <v>2018</v>
      </c>
      <c r="E684" s="492" t="s">
        <v>367</v>
      </c>
      <c r="F684" s="493">
        <v>25116.0</v>
      </c>
      <c r="G684" s="493">
        <v>17874.0</v>
      </c>
      <c r="H684" s="493">
        <v>71.17</v>
      </c>
      <c r="I684" s="493">
        <v>75.49</v>
      </c>
      <c r="J684" s="493">
        <v>66.61</v>
      </c>
      <c r="K684" s="493">
        <v>558480.0</v>
      </c>
      <c r="L684" s="493">
        <v>739840.0</v>
      </c>
      <c r="M684" s="493">
        <v>22.236</v>
      </c>
      <c r="N684" s="6">
        <v>31.2454</v>
      </c>
    </row>
    <row r="685">
      <c r="A685" s="491" t="s">
        <v>2019</v>
      </c>
      <c r="B685" s="491" t="s">
        <v>1857</v>
      </c>
      <c r="C685" s="491" t="s">
        <v>1873</v>
      </c>
      <c r="D685" s="491" t="s">
        <v>2018</v>
      </c>
      <c r="E685" s="492" t="s">
        <v>372</v>
      </c>
      <c r="F685" s="493">
        <v>25116.0</v>
      </c>
      <c r="G685" s="493">
        <v>8671.0</v>
      </c>
      <c r="H685" s="493">
        <v>34.52</v>
      </c>
      <c r="I685" s="493">
        <v>18.13</v>
      </c>
      <c r="J685" s="493">
        <v>26.75</v>
      </c>
      <c r="K685" s="493">
        <v>134160.0</v>
      </c>
      <c r="L685" s="493">
        <v>739840.0</v>
      </c>
      <c r="M685" s="493">
        <v>5.3416</v>
      </c>
      <c r="N685" s="6">
        <v>15.4723</v>
      </c>
    </row>
    <row r="686">
      <c r="A686" s="491" t="s">
        <v>2019</v>
      </c>
      <c r="B686" s="491" t="s">
        <v>1857</v>
      </c>
      <c r="C686" s="491" t="s">
        <v>1873</v>
      </c>
      <c r="D686" s="491" t="s">
        <v>2018</v>
      </c>
      <c r="E686" s="492" t="s">
        <v>134</v>
      </c>
      <c r="F686" s="493">
        <v>25116.0</v>
      </c>
      <c r="G686" s="493">
        <v>1504.0</v>
      </c>
      <c r="H686" s="493">
        <v>5.99</v>
      </c>
      <c r="I686" s="493">
        <v>4.52</v>
      </c>
      <c r="J686" s="493">
        <v>4.26</v>
      </c>
      <c r="K686" s="493">
        <v>33465.0</v>
      </c>
      <c r="L686" s="493">
        <v>739840.0</v>
      </c>
      <c r="M686" s="493">
        <v>1.3324</v>
      </c>
      <c r="N686" s="6">
        <v>22.2507</v>
      </c>
    </row>
    <row r="687">
      <c r="A687" s="491" t="s">
        <v>2019</v>
      </c>
      <c r="B687" s="491" t="s">
        <v>1857</v>
      </c>
      <c r="C687" s="491" t="s">
        <v>1873</v>
      </c>
      <c r="D687" s="491" t="s">
        <v>2018</v>
      </c>
      <c r="E687" s="492" t="s">
        <v>370</v>
      </c>
      <c r="F687" s="493">
        <v>25116.0</v>
      </c>
      <c r="G687" s="493">
        <v>272.0</v>
      </c>
      <c r="H687" s="493">
        <v>1.08</v>
      </c>
      <c r="I687" s="493">
        <v>1.15</v>
      </c>
      <c r="J687" s="493">
        <v>1.06</v>
      </c>
      <c r="K687" s="493">
        <v>8485.0</v>
      </c>
      <c r="L687" s="493">
        <v>739840.0</v>
      </c>
      <c r="M687" s="493">
        <v>0.3378</v>
      </c>
      <c r="N687" s="6">
        <v>31.1949</v>
      </c>
    </row>
    <row r="688">
      <c r="A688" s="491" t="s">
        <v>2019</v>
      </c>
      <c r="B688" s="491" t="s">
        <v>1857</v>
      </c>
      <c r="C688" s="491" t="s">
        <v>1873</v>
      </c>
      <c r="D688" s="491" t="s">
        <v>2018</v>
      </c>
      <c r="E688" s="492" t="s">
        <v>369</v>
      </c>
      <c r="F688" s="493">
        <v>25116.0</v>
      </c>
      <c r="G688" s="493">
        <v>271.0</v>
      </c>
      <c r="H688" s="493">
        <v>1.08</v>
      </c>
      <c r="I688" s="493">
        <v>0.42</v>
      </c>
      <c r="J688" s="493">
        <v>0.8</v>
      </c>
      <c r="K688" s="493">
        <v>3130.0</v>
      </c>
      <c r="L688" s="493">
        <v>739840.0</v>
      </c>
      <c r="M688" s="493">
        <v>0.1246</v>
      </c>
      <c r="N688" s="6">
        <v>11.5498</v>
      </c>
    </row>
    <row r="689">
      <c r="A689" s="491" t="s">
        <v>2019</v>
      </c>
      <c r="B689" s="491" t="s">
        <v>1857</v>
      </c>
      <c r="C689" s="491" t="s">
        <v>1873</v>
      </c>
      <c r="D689" s="491" t="s">
        <v>2018</v>
      </c>
      <c r="E689" s="492" t="s">
        <v>189</v>
      </c>
      <c r="F689" s="493">
        <v>25116.0</v>
      </c>
      <c r="G689" s="493">
        <v>174.0</v>
      </c>
      <c r="H689" s="493">
        <v>0.69</v>
      </c>
      <c r="I689" s="493">
        <v>0.25</v>
      </c>
      <c r="J689" s="493">
        <v>0.5</v>
      </c>
      <c r="K689" s="493">
        <v>1845.0</v>
      </c>
      <c r="L689" s="493">
        <v>739840.0</v>
      </c>
      <c r="M689" s="493">
        <v>0.0735</v>
      </c>
      <c r="N689" s="6">
        <v>10.6034</v>
      </c>
    </row>
    <row r="690">
      <c r="A690" s="491" t="s">
        <v>2019</v>
      </c>
      <c r="B690" s="491" t="s">
        <v>1857</v>
      </c>
      <c r="C690" s="491" t="s">
        <v>1873</v>
      </c>
      <c r="D690" s="491" t="s">
        <v>2018</v>
      </c>
      <c r="E690" s="492" t="s">
        <v>35</v>
      </c>
      <c r="F690" s="493">
        <v>25116.0</v>
      </c>
      <c r="G690" s="493">
        <v>10.0</v>
      </c>
      <c r="H690" s="493">
        <v>0.04</v>
      </c>
      <c r="I690" s="493">
        <v>0.03</v>
      </c>
      <c r="J690" s="493">
        <v>0.02</v>
      </c>
      <c r="K690" s="493">
        <v>255.0</v>
      </c>
      <c r="L690" s="493">
        <v>739840.0</v>
      </c>
      <c r="M690" s="493">
        <v>0.0102</v>
      </c>
      <c r="N690" s="6">
        <v>25.5</v>
      </c>
    </row>
    <row r="691">
      <c r="A691" s="491" t="s">
        <v>2019</v>
      </c>
      <c r="B691" s="491" t="s">
        <v>1857</v>
      </c>
      <c r="C691" s="491" t="s">
        <v>1873</v>
      </c>
      <c r="D691" s="491" t="s">
        <v>2018</v>
      </c>
      <c r="E691" s="492" t="s">
        <v>42</v>
      </c>
      <c r="F691" s="493">
        <v>25116.0</v>
      </c>
      <c r="G691" s="493">
        <v>1.0</v>
      </c>
      <c r="H691" s="493">
        <v>0.0</v>
      </c>
      <c r="I691" s="493">
        <v>0.0</v>
      </c>
      <c r="J691" s="493">
        <v>0.0</v>
      </c>
      <c r="K691" s="493">
        <v>20.0</v>
      </c>
      <c r="L691" s="493">
        <v>739840.0</v>
      </c>
      <c r="M691" s="493">
        <v>8.0E-4</v>
      </c>
      <c r="N691" s="6">
        <v>20.0</v>
      </c>
    </row>
    <row r="692">
      <c r="A692" s="491" t="s">
        <v>2019</v>
      </c>
      <c r="B692" s="491" t="s">
        <v>1857</v>
      </c>
      <c r="C692" s="491" t="s">
        <v>1874</v>
      </c>
      <c r="D692" s="491" t="s">
        <v>2018</v>
      </c>
      <c r="E692" s="492" t="s">
        <v>372</v>
      </c>
      <c r="F692" s="493">
        <v>72635.0</v>
      </c>
      <c r="G692" s="493">
        <v>62237.0</v>
      </c>
      <c r="H692" s="493">
        <v>85.68</v>
      </c>
      <c r="I692" s="493">
        <v>47.51</v>
      </c>
      <c r="J692" s="493">
        <v>64.09</v>
      </c>
      <c r="K692" s="493">
        <v>1385285.0</v>
      </c>
      <c r="L692" s="493">
        <v>2915745.0</v>
      </c>
      <c r="M692" s="493">
        <v>19.0719</v>
      </c>
      <c r="N692" s="6">
        <v>22.2582</v>
      </c>
    </row>
    <row r="693">
      <c r="A693" s="491" t="s">
        <v>2019</v>
      </c>
      <c r="B693" s="491" t="s">
        <v>1857</v>
      </c>
      <c r="C693" s="491" t="s">
        <v>1874</v>
      </c>
      <c r="D693" s="491" t="s">
        <v>2018</v>
      </c>
      <c r="E693" s="492" t="s">
        <v>367</v>
      </c>
      <c r="F693" s="493">
        <v>72635.0</v>
      </c>
      <c r="G693" s="493">
        <v>17912.0</v>
      </c>
      <c r="H693" s="493">
        <v>24.66</v>
      </c>
      <c r="I693" s="493">
        <v>38.25</v>
      </c>
      <c r="J693" s="493">
        <v>17.7</v>
      </c>
      <c r="K693" s="493">
        <v>1115415.0</v>
      </c>
      <c r="L693" s="493">
        <v>2915745.0</v>
      </c>
      <c r="M693" s="493">
        <v>15.3564</v>
      </c>
      <c r="N693" s="6">
        <v>62.2719</v>
      </c>
    </row>
    <row r="694">
      <c r="A694" s="491" t="s">
        <v>2019</v>
      </c>
      <c r="B694" s="491" t="s">
        <v>1857</v>
      </c>
      <c r="C694" s="491" t="s">
        <v>1874</v>
      </c>
      <c r="D694" s="491" t="s">
        <v>2018</v>
      </c>
      <c r="E694" s="492" t="s">
        <v>369</v>
      </c>
      <c r="F694" s="493">
        <v>72635.0</v>
      </c>
      <c r="G694" s="493">
        <v>19945.0</v>
      </c>
      <c r="H694" s="493">
        <v>27.46</v>
      </c>
      <c r="I694" s="493">
        <v>8.85</v>
      </c>
      <c r="J694" s="493">
        <v>10.62</v>
      </c>
      <c r="K694" s="493">
        <v>257905.0</v>
      </c>
      <c r="L694" s="493">
        <v>2915745.0</v>
      </c>
      <c r="M694" s="493">
        <v>3.5507</v>
      </c>
      <c r="N694" s="6">
        <v>12.9308</v>
      </c>
    </row>
    <row r="695">
      <c r="A695" s="491" t="s">
        <v>2019</v>
      </c>
      <c r="B695" s="491" t="s">
        <v>1857</v>
      </c>
      <c r="C695" s="491" t="s">
        <v>1874</v>
      </c>
      <c r="D695" s="491" t="s">
        <v>2018</v>
      </c>
      <c r="E695" s="492" t="s">
        <v>189</v>
      </c>
      <c r="F695" s="493">
        <v>72635.0</v>
      </c>
      <c r="G695" s="493">
        <v>7394.0</v>
      </c>
      <c r="H695" s="493">
        <v>10.18</v>
      </c>
      <c r="I695" s="493">
        <v>2.57</v>
      </c>
      <c r="J695" s="493">
        <v>3.54</v>
      </c>
      <c r="K695" s="493">
        <v>74930.0</v>
      </c>
      <c r="L695" s="493">
        <v>2915745.0</v>
      </c>
      <c r="M695" s="493">
        <v>1.0316</v>
      </c>
      <c r="N695" s="6">
        <v>10.1339</v>
      </c>
    </row>
    <row r="696">
      <c r="A696" s="491" t="s">
        <v>2019</v>
      </c>
      <c r="B696" s="491" t="s">
        <v>1857</v>
      </c>
      <c r="C696" s="491" t="s">
        <v>1874</v>
      </c>
      <c r="D696" s="491" t="s">
        <v>2018</v>
      </c>
      <c r="E696" s="492" t="s">
        <v>134</v>
      </c>
      <c r="F696" s="493">
        <v>72635.0</v>
      </c>
      <c r="G696" s="493">
        <v>5641.0</v>
      </c>
      <c r="H696" s="493">
        <v>7.77</v>
      </c>
      <c r="I696" s="493">
        <v>2.31</v>
      </c>
      <c r="J696" s="493">
        <v>3.41</v>
      </c>
      <c r="K696" s="493">
        <v>67280.0</v>
      </c>
      <c r="L696" s="493">
        <v>2915745.0</v>
      </c>
      <c r="M696" s="493">
        <v>0.9263</v>
      </c>
      <c r="N696" s="6">
        <v>11.927</v>
      </c>
    </row>
    <row r="697">
      <c r="A697" s="491" t="s">
        <v>2019</v>
      </c>
      <c r="B697" s="491" t="s">
        <v>1857</v>
      </c>
      <c r="C697" s="491" t="s">
        <v>1874</v>
      </c>
      <c r="D697" s="491" t="s">
        <v>2018</v>
      </c>
      <c r="E697" s="492" t="s">
        <v>370</v>
      </c>
      <c r="F697" s="493">
        <v>72635.0</v>
      </c>
      <c r="G697" s="493">
        <v>273.0</v>
      </c>
      <c r="H697" s="493">
        <v>0.38</v>
      </c>
      <c r="I697" s="493">
        <v>0.29</v>
      </c>
      <c r="J697" s="493">
        <v>0.29</v>
      </c>
      <c r="K697" s="493">
        <v>8525.0</v>
      </c>
      <c r="L697" s="493">
        <v>2915745.0</v>
      </c>
      <c r="M697" s="493">
        <v>0.1174</v>
      </c>
      <c r="N697" s="6">
        <v>31.2271</v>
      </c>
    </row>
    <row r="698">
      <c r="A698" s="491" t="s">
        <v>2019</v>
      </c>
      <c r="B698" s="491" t="s">
        <v>1857</v>
      </c>
      <c r="C698" s="491" t="s">
        <v>1874</v>
      </c>
      <c r="D698" s="491" t="s">
        <v>2018</v>
      </c>
      <c r="E698" s="492" t="s">
        <v>44</v>
      </c>
      <c r="F698" s="493">
        <v>72635.0</v>
      </c>
      <c r="G698" s="493">
        <v>488.0</v>
      </c>
      <c r="H698" s="493">
        <v>0.67</v>
      </c>
      <c r="I698" s="493">
        <v>0.19</v>
      </c>
      <c r="J698" s="493">
        <v>0.31</v>
      </c>
      <c r="K698" s="493">
        <v>5490.0</v>
      </c>
      <c r="L698" s="493">
        <v>2915745.0</v>
      </c>
      <c r="M698" s="493">
        <v>0.0756</v>
      </c>
      <c r="N698" s="6">
        <v>11.25</v>
      </c>
    </row>
    <row r="699">
      <c r="A699" s="491" t="s">
        <v>2019</v>
      </c>
      <c r="B699" s="491" t="s">
        <v>1857</v>
      </c>
      <c r="C699" s="491" t="s">
        <v>1874</v>
      </c>
      <c r="D699" s="491" t="s">
        <v>2018</v>
      </c>
      <c r="E699" s="492" t="s">
        <v>35</v>
      </c>
      <c r="F699" s="493">
        <v>72635.0</v>
      </c>
      <c r="G699" s="493">
        <v>44.0</v>
      </c>
      <c r="H699" s="493">
        <v>0.06</v>
      </c>
      <c r="I699" s="493">
        <v>0.03</v>
      </c>
      <c r="J699" s="493">
        <v>0.03</v>
      </c>
      <c r="K699" s="493">
        <v>885.0</v>
      </c>
      <c r="L699" s="493">
        <v>2915745.0</v>
      </c>
      <c r="M699" s="493">
        <v>0.0122</v>
      </c>
      <c r="N699" s="6">
        <v>20.1136</v>
      </c>
    </row>
    <row r="700">
      <c r="A700" s="491" t="s">
        <v>2019</v>
      </c>
      <c r="B700" s="491" t="s">
        <v>1857</v>
      </c>
      <c r="C700" s="491" t="s">
        <v>1874</v>
      </c>
      <c r="D700" s="491" t="s">
        <v>2018</v>
      </c>
      <c r="E700" s="492" t="s">
        <v>368</v>
      </c>
      <c r="F700" s="493">
        <v>72635.0</v>
      </c>
      <c r="G700" s="493">
        <v>3.0</v>
      </c>
      <c r="H700" s="493">
        <v>0.0</v>
      </c>
      <c r="I700" s="493">
        <v>0.0</v>
      </c>
      <c r="J700" s="493">
        <v>0.0</v>
      </c>
      <c r="K700" s="493">
        <v>30.0</v>
      </c>
      <c r="L700" s="493">
        <v>2915745.0</v>
      </c>
      <c r="M700" s="493">
        <v>4.0E-4</v>
      </c>
      <c r="N700" s="6">
        <v>10.0</v>
      </c>
    </row>
    <row r="701">
      <c r="A701" s="491" t="s">
        <v>2019</v>
      </c>
      <c r="B701" s="491" t="s">
        <v>1857</v>
      </c>
      <c r="C701" s="491" t="s">
        <v>1875</v>
      </c>
      <c r="D701" s="491" t="s">
        <v>2018</v>
      </c>
      <c r="E701" s="492" t="s">
        <v>372</v>
      </c>
      <c r="F701" s="493">
        <v>83360.0</v>
      </c>
      <c r="G701" s="493">
        <v>74293.0</v>
      </c>
      <c r="H701" s="493">
        <v>89.12</v>
      </c>
      <c r="I701" s="493">
        <v>46.44</v>
      </c>
      <c r="J701" s="493">
        <v>63.45</v>
      </c>
      <c r="K701" s="493">
        <v>1592555.0</v>
      </c>
      <c r="L701" s="493">
        <v>3429585.0</v>
      </c>
      <c r="M701" s="493">
        <v>19.1045</v>
      </c>
      <c r="N701" s="6">
        <v>21.4361</v>
      </c>
    </row>
    <row r="702">
      <c r="A702" s="491" t="s">
        <v>2019</v>
      </c>
      <c r="B702" s="491" t="s">
        <v>1857</v>
      </c>
      <c r="C702" s="491" t="s">
        <v>1875</v>
      </c>
      <c r="D702" s="491" t="s">
        <v>2018</v>
      </c>
      <c r="E702" s="492" t="s">
        <v>367</v>
      </c>
      <c r="F702" s="493">
        <v>83360.0</v>
      </c>
      <c r="G702" s="493">
        <v>18160.0</v>
      </c>
      <c r="H702" s="493">
        <v>21.79</v>
      </c>
      <c r="I702" s="493">
        <v>32.94</v>
      </c>
      <c r="J702" s="493">
        <v>13.85</v>
      </c>
      <c r="K702" s="493">
        <v>1129695.0</v>
      </c>
      <c r="L702" s="493">
        <v>3429585.0</v>
      </c>
      <c r="M702" s="493">
        <v>13.552</v>
      </c>
      <c r="N702" s="6">
        <v>62.2079</v>
      </c>
    </row>
    <row r="703">
      <c r="A703" s="491" t="s">
        <v>2019</v>
      </c>
      <c r="B703" s="491" t="s">
        <v>1857</v>
      </c>
      <c r="C703" s="491" t="s">
        <v>1875</v>
      </c>
      <c r="D703" s="491" t="s">
        <v>2018</v>
      </c>
      <c r="E703" s="492" t="s">
        <v>369</v>
      </c>
      <c r="F703" s="493">
        <v>83360.0</v>
      </c>
      <c r="G703" s="493">
        <v>35568.0</v>
      </c>
      <c r="H703" s="493">
        <v>42.67</v>
      </c>
      <c r="I703" s="493">
        <v>14.63</v>
      </c>
      <c r="J703" s="493">
        <v>15.77</v>
      </c>
      <c r="K703" s="493">
        <v>501815.0</v>
      </c>
      <c r="L703" s="493">
        <v>3429585.0</v>
      </c>
      <c r="M703" s="493">
        <v>6.0199</v>
      </c>
      <c r="N703" s="6">
        <v>14.1086</v>
      </c>
    </row>
    <row r="704">
      <c r="A704" s="491" t="s">
        <v>2019</v>
      </c>
      <c r="B704" s="491" t="s">
        <v>1857</v>
      </c>
      <c r="C704" s="491" t="s">
        <v>1875</v>
      </c>
      <c r="D704" s="491" t="s">
        <v>2018</v>
      </c>
      <c r="E704" s="492" t="s">
        <v>189</v>
      </c>
      <c r="F704" s="493">
        <v>83360.0</v>
      </c>
      <c r="G704" s="493">
        <v>14854.0</v>
      </c>
      <c r="H704" s="493">
        <v>17.82</v>
      </c>
      <c r="I704" s="493">
        <v>4.4</v>
      </c>
      <c r="J704" s="493">
        <v>5.16</v>
      </c>
      <c r="K704" s="493">
        <v>150865.0</v>
      </c>
      <c r="L704" s="493">
        <v>3429585.0</v>
      </c>
      <c r="M704" s="493">
        <v>1.8098</v>
      </c>
      <c r="N704" s="6">
        <v>10.1565</v>
      </c>
    </row>
    <row r="705">
      <c r="A705" s="491" t="s">
        <v>2019</v>
      </c>
      <c r="B705" s="491" t="s">
        <v>1857</v>
      </c>
      <c r="C705" s="491" t="s">
        <v>1875</v>
      </c>
      <c r="D705" s="491" t="s">
        <v>2018</v>
      </c>
      <c r="E705" s="492" t="s">
        <v>134</v>
      </c>
      <c r="F705" s="493">
        <v>83360.0</v>
      </c>
      <c r="G705" s="493">
        <v>2286.0</v>
      </c>
      <c r="H705" s="493">
        <v>2.74</v>
      </c>
      <c r="I705" s="493">
        <v>0.82</v>
      </c>
      <c r="J705" s="493">
        <v>0.85</v>
      </c>
      <c r="K705" s="493">
        <v>28285.0</v>
      </c>
      <c r="L705" s="493">
        <v>3429585.0</v>
      </c>
      <c r="M705" s="493">
        <v>0.3393</v>
      </c>
      <c r="N705" s="6">
        <v>12.3731</v>
      </c>
    </row>
    <row r="706">
      <c r="A706" s="491" t="s">
        <v>2019</v>
      </c>
      <c r="B706" s="491" t="s">
        <v>1857</v>
      </c>
      <c r="C706" s="491" t="s">
        <v>1875</v>
      </c>
      <c r="D706" s="491" t="s">
        <v>2018</v>
      </c>
      <c r="E706" s="492" t="s">
        <v>44</v>
      </c>
      <c r="F706" s="493">
        <v>83360.0</v>
      </c>
      <c r="G706" s="493">
        <v>1003.0</v>
      </c>
      <c r="H706" s="493">
        <v>1.2</v>
      </c>
      <c r="I706" s="493">
        <v>0.35</v>
      </c>
      <c r="J706" s="493">
        <v>0.51</v>
      </c>
      <c r="K706" s="493">
        <v>11880.0</v>
      </c>
      <c r="L706" s="493">
        <v>3429585.0</v>
      </c>
      <c r="M706" s="493">
        <v>0.1425</v>
      </c>
      <c r="N706" s="6">
        <v>11.8445</v>
      </c>
    </row>
    <row r="707">
      <c r="A707" s="491" t="s">
        <v>2019</v>
      </c>
      <c r="B707" s="491" t="s">
        <v>1857</v>
      </c>
      <c r="C707" s="491" t="s">
        <v>1875</v>
      </c>
      <c r="D707" s="491" t="s">
        <v>2018</v>
      </c>
      <c r="E707" s="492" t="s">
        <v>370</v>
      </c>
      <c r="F707" s="493">
        <v>83360.0</v>
      </c>
      <c r="G707" s="493">
        <v>275.0</v>
      </c>
      <c r="H707" s="493">
        <v>0.33</v>
      </c>
      <c r="I707" s="493">
        <v>0.25</v>
      </c>
      <c r="J707" s="493">
        <v>0.25</v>
      </c>
      <c r="K707" s="493">
        <v>8625.0</v>
      </c>
      <c r="L707" s="493">
        <v>3429585.0</v>
      </c>
      <c r="M707" s="493">
        <v>0.1035</v>
      </c>
      <c r="N707" s="6">
        <v>31.3636</v>
      </c>
    </row>
    <row r="708">
      <c r="A708" s="491" t="s">
        <v>2019</v>
      </c>
      <c r="B708" s="491" t="s">
        <v>1857</v>
      </c>
      <c r="C708" s="491" t="s">
        <v>1875</v>
      </c>
      <c r="D708" s="491" t="s">
        <v>2018</v>
      </c>
      <c r="E708" s="492" t="s">
        <v>35</v>
      </c>
      <c r="F708" s="493">
        <v>83360.0</v>
      </c>
      <c r="G708" s="493">
        <v>361.0</v>
      </c>
      <c r="H708" s="493">
        <v>0.43</v>
      </c>
      <c r="I708" s="493">
        <v>0.17</v>
      </c>
      <c r="J708" s="493">
        <v>0.16</v>
      </c>
      <c r="K708" s="493">
        <v>5805.0</v>
      </c>
      <c r="L708" s="493">
        <v>3429585.0</v>
      </c>
      <c r="M708" s="493">
        <v>0.0696</v>
      </c>
      <c r="N708" s="6">
        <v>16.0803</v>
      </c>
    </row>
    <row r="709">
      <c r="A709" s="491" t="s">
        <v>2019</v>
      </c>
      <c r="B709" s="491" t="s">
        <v>1857</v>
      </c>
      <c r="C709" s="491" t="s">
        <v>1875</v>
      </c>
      <c r="D709" s="491" t="s">
        <v>2018</v>
      </c>
      <c r="E709" s="492" t="s">
        <v>368</v>
      </c>
      <c r="F709" s="493">
        <v>83360.0</v>
      </c>
      <c r="G709" s="493">
        <v>1.0</v>
      </c>
      <c r="H709" s="493">
        <v>0.0</v>
      </c>
      <c r="I709" s="493">
        <v>0.0</v>
      </c>
      <c r="J709" s="493">
        <v>0.0</v>
      </c>
      <c r="K709" s="493">
        <v>10.0</v>
      </c>
      <c r="L709" s="493">
        <v>3429585.0</v>
      </c>
      <c r="M709" s="493">
        <v>1.0E-4</v>
      </c>
      <c r="N709" s="6">
        <v>10.0</v>
      </c>
    </row>
    <row r="710">
      <c r="A710" s="491" t="s">
        <v>2019</v>
      </c>
      <c r="B710" s="491" t="s">
        <v>1857</v>
      </c>
      <c r="C710" s="491" t="s">
        <v>1875</v>
      </c>
      <c r="D710" s="491" t="s">
        <v>2018</v>
      </c>
      <c r="E710" s="492" t="s">
        <v>371</v>
      </c>
      <c r="F710" s="493">
        <v>83360.0</v>
      </c>
      <c r="G710" s="493">
        <v>1.0</v>
      </c>
      <c r="H710" s="493">
        <v>0.0</v>
      </c>
      <c r="I710" s="493">
        <v>0.0</v>
      </c>
      <c r="J710" s="493">
        <v>0.0</v>
      </c>
      <c r="K710" s="493">
        <v>15.0</v>
      </c>
      <c r="L710" s="493">
        <v>3429585.0</v>
      </c>
      <c r="M710" s="493">
        <v>2.0E-4</v>
      </c>
      <c r="N710" s="6">
        <v>15.0</v>
      </c>
    </row>
    <row r="711">
      <c r="A711" s="491" t="s">
        <v>2019</v>
      </c>
      <c r="B711" s="491" t="s">
        <v>1857</v>
      </c>
      <c r="C711" s="491" t="s">
        <v>1875</v>
      </c>
      <c r="D711" s="491" t="s">
        <v>2018</v>
      </c>
      <c r="E711" s="492" t="s">
        <v>54</v>
      </c>
      <c r="F711" s="493">
        <v>83360.0</v>
      </c>
      <c r="G711" s="493">
        <v>1.0</v>
      </c>
      <c r="H711" s="493">
        <v>0.0</v>
      </c>
      <c r="I711" s="493">
        <v>0.0</v>
      </c>
      <c r="J711" s="493">
        <v>0.0</v>
      </c>
      <c r="K711" s="493">
        <v>15.0</v>
      </c>
      <c r="L711" s="493">
        <v>3429585.0</v>
      </c>
      <c r="M711" s="493">
        <v>2.0E-4</v>
      </c>
      <c r="N711" s="6">
        <v>15.0</v>
      </c>
    </row>
    <row r="712">
      <c r="A712" s="491" t="s">
        <v>2019</v>
      </c>
      <c r="B712" s="491" t="s">
        <v>1857</v>
      </c>
      <c r="C712" s="491" t="s">
        <v>1875</v>
      </c>
      <c r="D712" s="491" t="s">
        <v>2018</v>
      </c>
      <c r="E712" s="492" t="s">
        <v>373</v>
      </c>
      <c r="F712" s="493">
        <v>83360.0</v>
      </c>
      <c r="G712" s="493">
        <v>2.0</v>
      </c>
      <c r="H712" s="493">
        <v>0.0</v>
      </c>
      <c r="I712" s="493">
        <v>0.0</v>
      </c>
      <c r="J712" s="493">
        <v>0.0</v>
      </c>
      <c r="K712" s="493">
        <v>20.0</v>
      </c>
      <c r="L712" s="493">
        <v>3429585.0</v>
      </c>
      <c r="M712" s="493">
        <v>2.0E-4</v>
      </c>
      <c r="N712" s="6">
        <v>10.0</v>
      </c>
    </row>
    <row r="713">
      <c r="A713" s="491" t="s">
        <v>2019</v>
      </c>
      <c r="B713" s="491" t="s">
        <v>1857</v>
      </c>
      <c r="C713" s="491" t="s">
        <v>75</v>
      </c>
      <c r="D713" s="491" t="s">
        <v>2018</v>
      </c>
      <c r="E713" s="492" t="s">
        <v>49</v>
      </c>
      <c r="F713" s="493">
        <v>113258.0</v>
      </c>
      <c r="G713" s="493">
        <v>71759.0</v>
      </c>
      <c r="H713" s="493">
        <v>63.36</v>
      </c>
      <c r="I713" s="493">
        <v>25.37</v>
      </c>
      <c r="J713" s="493">
        <v>22.56</v>
      </c>
      <c r="K713" s="493">
        <v>2.002008E7</v>
      </c>
      <c r="L713" s="493">
        <v>7.89215E7</v>
      </c>
      <c r="M713" s="493">
        <v>176.7653</v>
      </c>
      <c r="N713" s="6">
        <v>278.9905</v>
      </c>
    </row>
    <row r="714">
      <c r="A714" s="491" t="s">
        <v>2019</v>
      </c>
      <c r="B714" s="491" t="s">
        <v>1857</v>
      </c>
      <c r="C714" s="491" t="s">
        <v>75</v>
      </c>
      <c r="D714" s="491" t="s">
        <v>2018</v>
      </c>
      <c r="E714" s="492" t="s">
        <v>367</v>
      </c>
      <c r="F714" s="493">
        <v>113258.0</v>
      </c>
      <c r="G714" s="493">
        <v>95292.0</v>
      </c>
      <c r="H714" s="493">
        <v>84.14</v>
      </c>
      <c r="I714" s="493">
        <v>21.86</v>
      </c>
      <c r="J714" s="493">
        <v>21.32</v>
      </c>
      <c r="K714" s="493">
        <v>1.7250765E7</v>
      </c>
      <c r="L714" s="493">
        <v>7.89215E7</v>
      </c>
      <c r="M714" s="493">
        <v>152.3139</v>
      </c>
      <c r="N714" s="6">
        <v>181.0306</v>
      </c>
    </row>
    <row r="715">
      <c r="A715" s="491" t="s">
        <v>2019</v>
      </c>
      <c r="B715" s="491" t="s">
        <v>1857</v>
      </c>
      <c r="C715" s="491" t="s">
        <v>75</v>
      </c>
      <c r="D715" s="491" t="s">
        <v>2018</v>
      </c>
      <c r="E715" s="492" t="s">
        <v>371</v>
      </c>
      <c r="F715" s="493">
        <v>113258.0</v>
      </c>
      <c r="G715" s="493">
        <v>90156.0</v>
      </c>
      <c r="H715" s="493">
        <v>79.6</v>
      </c>
      <c r="I715" s="493">
        <v>13.76</v>
      </c>
      <c r="J715" s="493">
        <v>14.27</v>
      </c>
      <c r="K715" s="493">
        <v>1.0861515E7</v>
      </c>
      <c r="L715" s="493">
        <v>7.89215E7</v>
      </c>
      <c r="M715" s="493">
        <v>95.9006</v>
      </c>
      <c r="N715" s="6">
        <v>120.4747</v>
      </c>
    </row>
    <row r="716">
      <c r="A716" s="491" t="s">
        <v>2019</v>
      </c>
      <c r="B716" s="491" t="s">
        <v>1857</v>
      </c>
      <c r="C716" s="491" t="s">
        <v>75</v>
      </c>
      <c r="D716" s="491" t="s">
        <v>2018</v>
      </c>
      <c r="E716" s="492" t="s">
        <v>372</v>
      </c>
      <c r="F716" s="493">
        <v>113258.0</v>
      </c>
      <c r="G716" s="493">
        <v>78589.0</v>
      </c>
      <c r="H716" s="493">
        <v>69.39</v>
      </c>
      <c r="I716" s="493">
        <v>12.77</v>
      </c>
      <c r="J716" s="493">
        <v>16.44</v>
      </c>
      <c r="K716" s="493">
        <v>1.0075315E7</v>
      </c>
      <c r="L716" s="493">
        <v>7.89215E7</v>
      </c>
      <c r="M716" s="493">
        <v>88.959</v>
      </c>
      <c r="N716" s="6">
        <v>128.2026</v>
      </c>
    </row>
    <row r="717">
      <c r="A717" s="491" t="s">
        <v>2019</v>
      </c>
      <c r="B717" s="491" t="s">
        <v>1857</v>
      </c>
      <c r="C717" s="491" t="s">
        <v>75</v>
      </c>
      <c r="D717" s="491" t="s">
        <v>2018</v>
      </c>
      <c r="E717" s="492" t="s">
        <v>44</v>
      </c>
      <c r="F717" s="493">
        <v>113258.0</v>
      </c>
      <c r="G717" s="493">
        <v>59024.0</v>
      </c>
      <c r="H717" s="493">
        <v>52.11</v>
      </c>
      <c r="I717" s="493">
        <v>9.46</v>
      </c>
      <c r="J717" s="493">
        <v>9.26</v>
      </c>
      <c r="K717" s="493">
        <v>7465650.0</v>
      </c>
      <c r="L717" s="493">
        <v>7.89215E7</v>
      </c>
      <c r="M717" s="493">
        <v>65.9172</v>
      </c>
      <c r="N717" s="6">
        <v>126.485</v>
      </c>
    </row>
    <row r="718">
      <c r="A718" s="491" t="s">
        <v>2019</v>
      </c>
      <c r="B718" s="491" t="s">
        <v>1857</v>
      </c>
      <c r="C718" s="491" t="s">
        <v>75</v>
      </c>
      <c r="D718" s="491" t="s">
        <v>2018</v>
      </c>
      <c r="E718" s="492" t="s">
        <v>368</v>
      </c>
      <c r="F718" s="493">
        <v>113258.0</v>
      </c>
      <c r="G718" s="493">
        <v>42208.0</v>
      </c>
      <c r="H718" s="493">
        <v>37.27</v>
      </c>
      <c r="I718" s="493">
        <v>6.67</v>
      </c>
      <c r="J718" s="493">
        <v>5.78</v>
      </c>
      <c r="K718" s="493">
        <v>5263430.0</v>
      </c>
      <c r="L718" s="493">
        <v>7.89215E7</v>
      </c>
      <c r="M718" s="493">
        <v>46.4729</v>
      </c>
      <c r="N718" s="6">
        <v>124.7022</v>
      </c>
    </row>
    <row r="719">
      <c r="A719" s="491" t="s">
        <v>2019</v>
      </c>
      <c r="B719" s="491" t="s">
        <v>1857</v>
      </c>
      <c r="C719" s="491" t="s">
        <v>75</v>
      </c>
      <c r="D719" s="491" t="s">
        <v>2018</v>
      </c>
      <c r="E719" s="492" t="s">
        <v>32</v>
      </c>
      <c r="F719" s="493">
        <v>113258.0</v>
      </c>
      <c r="G719" s="493">
        <v>46947.0</v>
      </c>
      <c r="H719" s="493">
        <v>41.45</v>
      </c>
      <c r="I719" s="493">
        <v>3.35</v>
      </c>
      <c r="J719" s="493">
        <v>3.31</v>
      </c>
      <c r="K719" s="493">
        <v>2646510.0</v>
      </c>
      <c r="L719" s="493">
        <v>7.89215E7</v>
      </c>
      <c r="M719" s="493">
        <v>23.3671</v>
      </c>
      <c r="N719" s="6">
        <v>56.3723</v>
      </c>
    </row>
    <row r="720">
      <c r="A720" s="491" t="s">
        <v>2019</v>
      </c>
      <c r="B720" s="491" t="s">
        <v>1857</v>
      </c>
      <c r="C720" s="491" t="s">
        <v>75</v>
      </c>
      <c r="D720" s="491" t="s">
        <v>2018</v>
      </c>
      <c r="E720" s="492" t="s">
        <v>366</v>
      </c>
      <c r="F720" s="493">
        <v>113258.0</v>
      </c>
      <c r="G720" s="493">
        <v>30397.0</v>
      </c>
      <c r="H720" s="493">
        <v>26.84</v>
      </c>
      <c r="I720" s="493">
        <v>1.86</v>
      </c>
      <c r="J720" s="493">
        <v>2.03</v>
      </c>
      <c r="K720" s="493">
        <v>1470750.0</v>
      </c>
      <c r="L720" s="493">
        <v>7.89215E7</v>
      </c>
      <c r="M720" s="493">
        <v>12.9858</v>
      </c>
      <c r="N720" s="6">
        <v>48.3847</v>
      </c>
    </row>
    <row r="721">
      <c r="A721" s="491" t="s">
        <v>2019</v>
      </c>
      <c r="B721" s="491" t="s">
        <v>1857</v>
      </c>
      <c r="C721" s="491" t="s">
        <v>75</v>
      </c>
      <c r="D721" s="491" t="s">
        <v>2018</v>
      </c>
      <c r="E721" s="492" t="s">
        <v>365</v>
      </c>
      <c r="F721" s="493">
        <v>113258.0</v>
      </c>
      <c r="G721" s="493">
        <v>30138.0</v>
      </c>
      <c r="H721" s="493">
        <v>26.61</v>
      </c>
      <c r="I721" s="493">
        <v>1.74</v>
      </c>
      <c r="J721" s="493">
        <v>1.37</v>
      </c>
      <c r="K721" s="493">
        <v>1372970.0</v>
      </c>
      <c r="L721" s="493">
        <v>7.89215E7</v>
      </c>
      <c r="M721" s="493">
        <v>12.1225</v>
      </c>
      <c r="N721" s="6">
        <v>45.5561</v>
      </c>
    </row>
    <row r="722">
      <c r="A722" s="491" t="s">
        <v>2019</v>
      </c>
      <c r="B722" s="491" t="s">
        <v>1857</v>
      </c>
      <c r="C722" s="491" t="s">
        <v>75</v>
      </c>
      <c r="D722" s="491" t="s">
        <v>2018</v>
      </c>
      <c r="E722" s="492" t="s">
        <v>43</v>
      </c>
      <c r="F722" s="493">
        <v>113258.0</v>
      </c>
      <c r="G722" s="493">
        <v>24999.0</v>
      </c>
      <c r="H722" s="493">
        <v>22.07</v>
      </c>
      <c r="I722" s="493">
        <v>1.25</v>
      </c>
      <c r="J722" s="493">
        <v>1.34</v>
      </c>
      <c r="K722" s="493">
        <v>984245.0</v>
      </c>
      <c r="L722" s="493">
        <v>7.89215E7</v>
      </c>
      <c r="M722" s="493">
        <v>8.6903</v>
      </c>
      <c r="N722" s="6">
        <v>39.3714</v>
      </c>
    </row>
    <row r="723">
      <c r="A723" s="491" t="s">
        <v>2019</v>
      </c>
      <c r="B723" s="491" t="s">
        <v>1857</v>
      </c>
      <c r="C723" s="491" t="s">
        <v>75</v>
      </c>
      <c r="D723" s="491" t="s">
        <v>2018</v>
      </c>
      <c r="E723" s="492" t="s">
        <v>370</v>
      </c>
      <c r="F723" s="493">
        <v>113258.0</v>
      </c>
      <c r="G723" s="493">
        <v>13136.0</v>
      </c>
      <c r="H723" s="493">
        <v>11.6</v>
      </c>
      <c r="I723" s="493">
        <v>1.12</v>
      </c>
      <c r="J723" s="493">
        <v>1.32</v>
      </c>
      <c r="K723" s="493">
        <v>887660.0</v>
      </c>
      <c r="L723" s="493">
        <v>7.89215E7</v>
      </c>
      <c r="M723" s="493">
        <v>7.8375</v>
      </c>
      <c r="N723" s="6">
        <v>67.5746</v>
      </c>
    </row>
    <row r="724">
      <c r="A724" s="491" t="s">
        <v>2019</v>
      </c>
      <c r="B724" s="491" t="s">
        <v>1857</v>
      </c>
      <c r="C724" s="491" t="s">
        <v>75</v>
      </c>
      <c r="D724" s="491" t="s">
        <v>2018</v>
      </c>
      <c r="E724" s="492" t="s">
        <v>369</v>
      </c>
      <c r="F724" s="493">
        <v>113258.0</v>
      </c>
      <c r="G724" s="493">
        <v>7531.0</v>
      </c>
      <c r="H724" s="493">
        <v>6.65</v>
      </c>
      <c r="I724" s="493">
        <v>0.37</v>
      </c>
      <c r="J724" s="493">
        <v>0.46</v>
      </c>
      <c r="K724" s="493">
        <v>290820.0</v>
      </c>
      <c r="L724" s="493">
        <v>7.89215E7</v>
      </c>
      <c r="M724" s="493">
        <v>2.5678</v>
      </c>
      <c r="N724" s="6">
        <v>38.6164</v>
      </c>
    </row>
    <row r="725">
      <c r="A725" s="491" t="s">
        <v>2019</v>
      </c>
      <c r="B725" s="491" t="s">
        <v>1857</v>
      </c>
      <c r="C725" s="491" t="s">
        <v>75</v>
      </c>
      <c r="D725" s="491" t="s">
        <v>2018</v>
      </c>
      <c r="E725" s="492" t="s">
        <v>35</v>
      </c>
      <c r="F725" s="493">
        <v>113258.0</v>
      </c>
      <c r="G725" s="493">
        <v>5079.0</v>
      </c>
      <c r="H725" s="493">
        <v>4.48</v>
      </c>
      <c r="I725" s="493">
        <v>0.23</v>
      </c>
      <c r="J725" s="493">
        <v>0.25</v>
      </c>
      <c r="K725" s="493">
        <v>181770.0</v>
      </c>
      <c r="L725" s="493">
        <v>7.89215E7</v>
      </c>
      <c r="M725" s="493">
        <v>1.6049</v>
      </c>
      <c r="N725" s="6">
        <v>35.7885</v>
      </c>
    </row>
    <row r="726">
      <c r="A726" s="491" t="s">
        <v>2019</v>
      </c>
      <c r="B726" s="491" t="s">
        <v>1857</v>
      </c>
      <c r="C726" s="491" t="s">
        <v>75</v>
      </c>
      <c r="D726" s="491" t="s">
        <v>2018</v>
      </c>
      <c r="E726" s="492" t="s">
        <v>189</v>
      </c>
      <c r="F726" s="493">
        <v>113258.0</v>
      </c>
      <c r="G726" s="493">
        <v>3111.0</v>
      </c>
      <c r="H726" s="493">
        <v>2.75</v>
      </c>
      <c r="I726" s="493">
        <v>0.12</v>
      </c>
      <c r="J726" s="493">
        <v>0.14</v>
      </c>
      <c r="K726" s="493">
        <v>97710.0</v>
      </c>
      <c r="L726" s="493">
        <v>7.89215E7</v>
      </c>
      <c r="M726" s="493">
        <v>0.8627</v>
      </c>
      <c r="N726" s="6">
        <v>31.4079</v>
      </c>
    </row>
    <row r="727">
      <c r="A727" s="491" t="s">
        <v>2019</v>
      </c>
      <c r="B727" s="491" t="s">
        <v>1857</v>
      </c>
      <c r="C727" s="491" t="s">
        <v>75</v>
      </c>
      <c r="D727" s="491" t="s">
        <v>2018</v>
      </c>
      <c r="E727" s="492" t="s">
        <v>50</v>
      </c>
      <c r="F727" s="493">
        <v>113258.0</v>
      </c>
      <c r="G727" s="493">
        <v>732.0</v>
      </c>
      <c r="H727" s="493">
        <v>0.65</v>
      </c>
      <c r="I727" s="493">
        <v>0.05</v>
      </c>
      <c r="J727" s="493">
        <v>0.12</v>
      </c>
      <c r="K727" s="493">
        <v>37235.0</v>
      </c>
      <c r="L727" s="493">
        <v>7.89215E7</v>
      </c>
      <c r="M727" s="493">
        <v>0.3288</v>
      </c>
      <c r="N727" s="6">
        <v>50.8675</v>
      </c>
    </row>
    <row r="728">
      <c r="A728" s="491" t="s">
        <v>2019</v>
      </c>
      <c r="B728" s="491" t="s">
        <v>1857</v>
      </c>
      <c r="C728" s="491" t="s">
        <v>75</v>
      </c>
      <c r="D728" s="491" t="s">
        <v>2018</v>
      </c>
      <c r="E728" s="492" t="s">
        <v>134</v>
      </c>
      <c r="F728" s="493">
        <v>113258.0</v>
      </c>
      <c r="G728" s="493">
        <v>894.0</v>
      </c>
      <c r="H728" s="493">
        <v>0.79</v>
      </c>
      <c r="I728" s="493">
        <v>0.02</v>
      </c>
      <c r="J728" s="493">
        <v>0.04</v>
      </c>
      <c r="K728" s="493">
        <v>15015.0</v>
      </c>
      <c r="L728" s="493">
        <v>7.89215E7</v>
      </c>
      <c r="M728" s="493">
        <v>0.1326</v>
      </c>
      <c r="N728" s="6">
        <v>16.7953</v>
      </c>
    </row>
    <row r="729">
      <c r="A729" s="491" t="s">
        <v>2019</v>
      </c>
      <c r="B729" s="491" t="s">
        <v>1857</v>
      </c>
      <c r="C729" s="491" t="s">
        <v>75</v>
      </c>
      <c r="D729" s="491" t="s">
        <v>2018</v>
      </c>
      <c r="E729" s="492" t="s">
        <v>42</v>
      </c>
      <c r="F729" s="493">
        <v>113258.0</v>
      </c>
      <c r="G729" s="493">
        <v>1.0</v>
      </c>
      <c r="H729" s="493">
        <v>0.0</v>
      </c>
      <c r="I729" s="493">
        <v>0.0</v>
      </c>
      <c r="J729" s="493">
        <v>0.0</v>
      </c>
      <c r="K729" s="493">
        <v>30.0</v>
      </c>
      <c r="L729" s="493">
        <v>7.89215E7</v>
      </c>
      <c r="M729" s="493">
        <v>3.0E-4</v>
      </c>
      <c r="N729" s="6">
        <v>30.0</v>
      </c>
    </row>
    <row r="730">
      <c r="A730" s="491" t="s">
        <v>2019</v>
      </c>
      <c r="B730" s="491" t="s">
        <v>1857</v>
      </c>
      <c r="C730" s="491" t="s">
        <v>75</v>
      </c>
      <c r="D730" s="491" t="s">
        <v>2018</v>
      </c>
      <c r="E730" s="492" t="s">
        <v>373</v>
      </c>
      <c r="F730" s="493">
        <v>113258.0</v>
      </c>
      <c r="G730" s="493">
        <v>2.0</v>
      </c>
      <c r="H730" s="493">
        <v>0.0</v>
      </c>
      <c r="I730" s="493">
        <v>0.0</v>
      </c>
      <c r="J730" s="493">
        <v>0.0</v>
      </c>
      <c r="K730" s="493">
        <v>30.0</v>
      </c>
      <c r="L730" s="493">
        <v>7.89215E7</v>
      </c>
      <c r="M730" s="493">
        <v>3.0E-4</v>
      </c>
      <c r="N730" s="6">
        <v>15.0</v>
      </c>
    </row>
    <row r="731">
      <c r="A731" s="491" t="s">
        <v>2020</v>
      </c>
      <c r="B731" s="491" t="s">
        <v>163</v>
      </c>
      <c r="C731" s="491" t="s">
        <v>71</v>
      </c>
      <c r="D731" s="491" t="s">
        <v>565</v>
      </c>
      <c r="E731" s="492" t="s">
        <v>371</v>
      </c>
      <c r="F731" s="493">
        <v>127086.0</v>
      </c>
      <c r="G731" s="493">
        <v>91171.0</v>
      </c>
      <c r="H731" s="493">
        <v>71.74</v>
      </c>
      <c r="I731" s="493">
        <v>34.7</v>
      </c>
      <c r="J731" s="493">
        <v>33.48</v>
      </c>
      <c r="K731" s="493">
        <v>236580.0</v>
      </c>
      <c r="L731" s="493">
        <v>681793.0</v>
      </c>
      <c r="M731" s="493">
        <v>1.8616</v>
      </c>
      <c r="N731" s="6">
        <v>2.5949</v>
      </c>
    </row>
    <row r="732">
      <c r="A732" s="491" t="s">
        <v>2020</v>
      </c>
      <c r="B732" s="491" t="s">
        <v>163</v>
      </c>
      <c r="C732" s="491" t="s">
        <v>71</v>
      </c>
      <c r="D732" s="491" t="s">
        <v>565</v>
      </c>
      <c r="E732" s="492" t="s">
        <v>370</v>
      </c>
      <c r="F732" s="493">
        <v>127086.0</v>
      </c>
      <c r="G732" s="493">
        <v>86766.0</v>
      </c>
      <c r="H732" s="493">
        <v>68.27</v>
      </c>
      <c r="I732" s="493">
        <v>21.86</v>
      </c>
      <c r="J732" s="493">
        <v>30.04</v>
      </c>
      <c r="K732" s="493">
        <v>149016.0</v>
      </c>
      <c r="L732" s="493">
        <v>681793.0</v>
      </c>
      <c r="M732" s="493">
        <v>1.1726</v>
      </c>
      <c r="N732" s="6">
        <v>1.7174</v>
      </c>
    </row>
    <row r="733">
      <c r="A733" s="491" t="s">
        <v>2020</v>
      </c>
      <c r="B733" s="491" t="s">
        <v>163</v>
      </c>
      <c r="C733" s="491" t="s">
        <v>71</v>
      </c>
      <c r="D733" s="491" t="s">
        <v>565</v>
      </c>
      <c r="E733" s="492" t="s">
        <v>372</v>
      </c>
      <c r="F733" s="493">
        <v>127086.0</v>
      </c>
      <c r="G733" s="493">
        <v>42725.0</v>
      </c>
      <c r="H733" s="493">
        <v>33.62</v>
      </c>
      <c r="I733" s="493">
        <v>10.66</v>
      </c>
      <c r="J733" s="493">
        <v>7.61</v>
      </c>
      <c r="K733" s="493">
        <v>72680.0</v>
      </c>
      <c r="L733" s="493">
        <v>681793.0</v>
      </c>
      <c r="M733" s="493">
        <v>0.5719</v>
      </c>
      <c r="N733" s="6">
        <v>1.7011</v>
      </c>
    </row>
    <row r="734">
      <c r="A734" s="491" t="s">
        <v>2020</v>
      </c>
      <c r="B734" s="491" t="s">
        <v>163</v>
      </c>
      <c r="C734" s="491" t="s">
        <v>71</v>
      </c>
      <c r="D734" s="491" t="s">
        <v>565</v>
      </c>
      <c r="E734" s="492" t="s">
        <v>49</v>
      </c>
      <c r="F734" s="493">
        <v>127086.0</v>
      </c>
      <c r="G734" s="493">
        <v>38668.0</v>
      </c>
      <c r="H734" s="493">
        <v>30.43</v>
      </c>
      <c r="I734" s="493">
        <v>9.59</v>
      </c>
      <c r="J734" s="493">
        <v>8.14</v>
      </c>
      <c r="K734" s="493">
        <v>65398.0</v>
      </c>
      <c r="L734" s="493">
        <v>681793.0</v>
      </c>
      <c r="M734" s="493">
        <v>0.5146</v>
      </c>
      <c r="N734" s="6">
        <v>1.6913</v>
      </c>
    </row>
    <row r="735">
      <c r="A735" s="491" t="s">
        <v>2020</v>
      </c>
      <c r="B735" s="491" t="s">
        <v>163</v>
      </c>
      <c r="C735" s="491" t="s">
        <v>71</v>
      </c>
      <c r="D735" s="491" t="s">
        <v>565</v>
      </c>
      <c r="E735" s="492" t="s">
        <v>42</v>
      </c>
      <c r="F735" s="493">
        <v>127086.0</v>
      </c>
      <c r="G735" s="493">
        <v>30305.0</v>
      </c>
      <c r="H735" s="493">
        <v>23.85</v>
      </c>
      <c r="I735" s="493">
        <v>7.48</v>
      </c>
      <c r="J735" s="493">
        <v>7.28</v>
      </c>
      <c r="K735" s="493">
        <v>50981.0</v>
      </c>
      <c r="L735" s="493">
        <v>681793.0</v>
      </c>
      <c r="M735" s="493">
        <v>0.4012</v>
      </c>
      <c r="N735" s="6">
        <v>1.6823</v>
      </c>
    </row>
    <row r="736">
      <c r="A736" s="491" t="s">
        <v>2020</v>
      </c>
      <c r="B736" s="491" t="s">
        <v>163</v>
      </c>
      <c r="C736" s="491" t="s">
        <v>71</v>
      </c>
      <c r="D736" s="491" t="s">
        <v>565</v>
      </c>
      <c r="E736" s="492" t="s">
        <v>44</v>
      </c>
      <c r="F736" s="493">
        <v>127086.0</v>
      </c>
      <c r="G736" s="493">
        <v>31292.0</v>
      </c>
      <c r="H736" s="493">
        <v>24.62</v>
      </c>
      <c r="I736" s="493">
        <v>6.66</v>
      </c>
      <c r="J736" s="493">
        <v>4.66</v>
      </c>
      <c r="K736" s="493">
        <v>45389.0</v>
      </c>
      <c r="L736" s="493">
        <v>681793.0</v>
      </c>
      <c r="M736" s="493">
        <v>0.3572</v>
      </c>
      <c r="N736" s="6">
        <v>1.4505</v>
      </c>
    </row>
    <row r="737">
      <c r="A737" s="491" t="s">
        <v>2020</v>
      </c>
      <c r="B737" s="491" t="s">
        <v>163</v>
      </c>
      <c r="C737" s="491" t="s">
        <v>71</v>
      </c>
      <c r="D737" s="491" t="s">
        <v>565</v>
      </c>
      <c r="E737" s="492" t="s">
        <v>50</v>
      </c>
      <c r="F737" s="493">
        <v>127086.0</v>
      </c>
      <c r="G737" s="493">
        <v>21394.0</v>
      </c>
      <c r="H737" s="493">
        <v>16.83</v>
      </c>
      <c r="I737" s="493">
        <v>4.11</v>
      </c>
      <c r="J737" s="493">
        <v>3.07</v>
      </c>
      <c r="K737" s="493">
        <v>28049.0</v>
      </c>
      <c r="L737" s="493">
        <v>681793.0</v>
      </c>
      <c r="M737" s="493">
        <v>0.2207</v>
      </c>
      <c r="N737" s="6">
        <v>1.3111</v>
      </c>
    </row>
    <row r="738">
      <c r="A738" s="491" t="s">
        <v>2020</v>
      </c>
      <c r="B738" s="491" t="s">
        <v>163</v>
      </c>
      <c r="C738" s="491" t="s">
        <v>71</v>
      </c>
      <c r="D738" s="491" t="s">
        <v>565</v>
      </c>
      <c r="E738" s="492" t="s">
        <v>366</v>
      </c>
      <c r="F738" s="493">
        <v>127086.0</v>
      </c>
      <c r="G738" s="493">
        <v>21394.0</v>
      </c>
      <c r="H738" s="493">
        <v>16.83</v>
      </c>
      <c r="I738" s="493">
        <v>3.25</v>
      </c>
      <c r="J738" s="493">
        <v>3.92</v>
      </c>
      <c r="K738" s="493">
        <v>22168.0</v>
      </c>
      <c r="L738" s="493">
        <v>681793.0</v>
      </c>
      <c r="M738" s="493">
        <v>0.1744</v>
      </c>
      <c r="N738" s="6">
        <v>1.0362</v>
      </c>
    </row>
    <row r="739">
      <c r="A739" s="491" t="s">
        <v>2020</v>
      </c>
      <c r="B739" s="491" t="s">
        <v>163</v>
      </c>
      <c r="C739" s="491" t="s">
        <v>71</v>
      </c>
      <c r="D739" s="491" t="s">
        <v>565</v>
      </c>
      <c r="E739" s="492" t="s">
        <v>134</v>
      </c>
      <c r="F739" s="493">
        <v>127086.0</v>
      </c>
      <c r="G739" s="493">
        <v>7699.0</v>
      </c>
      <c r="H739" s="493">
        <v>6.06</v>
      </c>
      <c r="I739" s="493">
        <v>1.37</v>
      </c>
      <c r="J739" s="493">
        <v>1.5</v>
      </c>
      <c r="K739" s="493">
        <v>9310.0</v>
      </c>
      <c r="L739" s="493">
        <v>681793.0</v>
      </c>
      <c r="M739" s="493">
        <v>0.0733</v>
      </c>
      <c r="N739" s="6">
        <v>1.2092</v>
      </c>
    </row>
    <row r="740">
      <c r="A740" s="491" t="s">
        <v>2020</v>
      </c>
      <c r="B740" s="491" t="s">
        <v>163</v>
      </c>
      <c r="C740" s="491" t="s">
        <v>71</v>
      </c>
      <c r="D740" s="491" t="s">
        <v>565</v>
      </c>
      <c r="E740" s="492" t="s">
        <v>43</v>
      </c>
      <c r="F740" s="493">
        <v>127086.0</v>
      </c>
      <c r="G740" s="493">
        <v>1969.0</v>
      </c>
      <c r="H740" s="493">
        <v>1.55</v>
      </c>
      <c r="I740" s="493">
        <v>0.3</v>
      </c>
      <c r="J740" s="493">
        <v>0.27</v>
      </c>
      <c r="K740" s="493">
        <v>2049.0</v>
      </c>
      <c r="L740" s="493">
        <v>681793.0</v>
      </c>
      <c r="M740" s="493">
        <v>0.0161</v>
      </c>
      <c r="N740" s="6">
        <v>1.0406</v>
      </c>
    </row>
    <row r="741">
      <c r="A741" s="491" t="s">
        <v>2020</v>
      </c>
      <c r="B741" s="491" t="s">
        <v>163</v>
      </c>
      <c r="C741" s="491" t="s">
        <v>71</v>
      </c>
      <c r="D741" s="491" t="s">
        <v>565</v>
      </c>
      <c r="E741" s="492" t="s">
        <v>369</v>
      </c>
      <c r="F741" s="493">
        <v>127086.0</v>
      </c>
      <c r="G741" s="493">
        <v>82.0</v>
      </c>
      <c r="H741" s="493">
        <v>0.06</v>
      </c>
      <c r="I741" s="493">
        <v>0.01</v>
      </c>
      <c r="J741" s="493">
        <v>0.01</v>
      </c>
      <c r="K741" s="493">
        <v>85.0</v>
      </c>
      <c r="L741" s="493">
        <v>681793.0</v>
      </c>
      <c r="M741" s="493">
        <v>7.0E-4</v>
      </c>
      <c r="N741" s="6">
        <v>1.0366</v>
      </c>
    </row>
    <row r="742">
      <c r="A742" s="491" t="s">
        <v>2020</v>
      </c>
      <c r="B742" s="491" t="s">
        <v>163</v>
      </c>
      <c r="C742" s="491" t="s">
        <v>71</v>
      </c>
      <c r="D742" s="491" t="s">
        <v>565</v>
      </c>
      <c r="E742" s="492" t="s">
        <v>35</v>
      </c>
      <c r="F742" s="493">
        <v>127086.0</v>
      </c>
      <c r="G742" s="493">
        <v>40.0</v>
      </c>
      <c r="H742" s="493">
        <v>0.03</v>
      </c>
      <c r="I742" s="493">
        <v>0.01</v>
      </c>
      <c r="J742" s="493">
        <v>0.01</v>
      </c>
      <c r="K742" s="493">
        <v>42.0</v>
      </c>
      <c r="L742" s="493">
        <v>681793.0</v>
      </c>
      <c r="M742" s="493">
        <v>3.0E-4</v>
      </c>
      <c r="N742" s="6">
        <v>1.05</v>
      </c>
    </row>
    <row r="743">
      <c r="A743" s="491" t="s">
        <v>2020</v>
      </c>
      <c r="B743" s="491" t="s">
        <v>163</v>
      </c>
      <c r="C743" s="491" t="s">
        <v>71</v>
      </c>
      <c r="D743" s="491" t="s">
        <v>565</v>
      </c>
      <c r="E743" s="492" t="s">
        <v>373</v>
      </c>
      <c r="F743" s="493">
        <v>127086.0</v>
      </c>
      <c r="G743" s="493">
        <v>3.0</v>
      </c>
      <c r="H743" s="493">
        <v>0.0</v>
      </c>
      <c r="I743" s="493">
        <v>0.0</v>
      </c>
      <c r="J743" s="493">
        <v>0.0</v>
      </c>
      <c r="K743" s="493">
        <v>6.0</v>
      </c>
      <c r="L743" s="493">
        <v>681793.0</v>
      </c>
      <c r="M743" s="493">
        <v>0.0</v>
      </c>
      <c r="N743" s="6">
        <v>2.0</v>
      </c>
    </row>
    <row r="744">
      <c r="A744" s="491" t="s">
        <v>2020</v>
      </c>
      <c r="B744" s="491" t="s">
        <v>163</v>
      </c>
      <c r="C744" s="491" t="s">
        <v>71</v>
      </c>
      <c r="D744" s="491" t="s">
        <v>565</v>
      </c>
      <c r="E744" s="492" t="s">
        <v>32</v>
      </c>
      <c r="F744" s="493">
        <v>127086.0</v>
      </c>
      <c r="G744" s="493">
        <v>11.0</v>
      </c>
      <c r="H744" s="493">
        <v>0.01</v>
      </c>
      <c r="I744" s="493">
        <v>0.0</v>
      </c>
      <c r="J744" s="493">
        <v>0.0</v>
      </c>
      <c r="K744" s="493">
        <v>18.0</v>
      </c>
      <c r="L744" s="493">
        <v>681793.0</v>
      </c>
      <c r="M744" s="493">
        <v>1.0E-4</v>
      </c>
      <c r="N744" s="6">
        <v>1.6364</v>
      </c>
    </row>
    <row r="745">
      <c r="A745" s="491" t="s">
        <v>2020</v>
      </c>
      <c r="B745" s="491" t="s">
        <v>163</v>
      </c>
      <c r="C745" s="491" t="s">
        <v>71</v>
      </c>
      <c r="D745" s="491" t="s">
        <v>565</v>
      </c>
      <c r="E745" s="492" t="s">
        <v>189</v>
      </c>
      <c r="F745" s="493">
        <v>127086.0</v>
      </c>
      <c r="G745" s="493">
        <v>8.0</v>
      </c>
      <c r="H745" s="493">
        <v>0.01</v>
      </c>
      <c r="I745" s="493">
        <v>0.0</v>
      </c>
      <c r="J745" s="493">
        <v>0.0</v>
      </c>
      <c r="K745" s="493">
        <v>8.0</v>
      </c>
      <c r="L745" s="493">
        <v>681793.0</v>
      </c>
      <c r="M745" s="493">
        <v>1.0E-4</v>
      </c>
      <c r="N745" s="6">
        <v>1.0</v>
      </c>
    </row>
    <row r="746">
      <c r="A746" s="491" t="s">
        <v>2020</v>
      </c>
      <c r="B746" s="491" t="s">
        <v>163</v>
      </c>
      <c r="C746" s="491" t="s">
        <v>71</v>
      </c>
      <c r="D746" s="491" t="s">
        <v>565</v>
      </c>
      <c r="E746" s="492" t="s">
        <v>368</v>
      </c>
      <c r="F746" s="493">
        <v>127086.0</v>
      </c>
      <c r="G746" s="493">
        <v>5.0</v>
      </c>
      <c r="H746" s="493">
        <v>0.0</v>
      </c>
      <c r="I746" s="493">
        <v>0.0</v>
      </c>
      <c r="J746" s="493">
        <v>0.0</v>
      </c>
      <c r="K746" s="493">
        <v>9.0</v>
      </c>
      <c r="L746" s="493">
        <v>681793.0</v>
      </c>
      <c r="M746" s="493">
        <v>1.0E-4</v>
      </c>
      <c r="N746" s="6">
        <v>1.8</v>
      </c>
    </row>
    <row r="747">
      <c r="A747" s="491" t="s">
        <v>2020</v>
      </c>
      <c r="B747" s="491" t="s">
        <v>163</v>
      </c>
      <c r="C747" s="491" t="s">
        <v>71</v>
      </c>
      <c r="D747" s="491" t="s">
        <v>565</v>
      </c>
      <c r="E747" s="492" t="s">
        <v>312</v>
      </c>
      <c r="F747" s="493">
        <v>127086.0</v>
      </c>
      <c r="G747" s="493">
        <v>4.0</v>
      </c>
      <c r="H747" s="493">
        <v>0.0</v>
      </c>
      <c r="I747" s="493">
        <v>0.0</v>
      </c>
      <c r="J747" s="493">
        <v>0.0</v>
      </c>
      <c r="K747" s="493">
        <v>5.0</v>
      </c>
      <c r="L747" s="493">
        <v>681793.0</v>
      </c>
      <c r="M747" s="493">
        <v>0.0</v>
      </c>
      <c r="N747" s="6">
        <v>1.25</v>
      </c>
    </row>
    <row r="748">
      <c r="A748" s="491" t="s">
        <v>2020</v>
      </c>
      <c r="B748" s="491" t="s">
        <v>163</v>
      </c>
      <c r="C748" s="491" t="s">
        <v>70</v>
      </c>
      <c r="D748" s="491" t="s">
        <v>565</v>
      </c>
      <c r="E748" s="492" t="s">
        <v>371</v>
      </c>
      <c r="F748" s="493">
        <v>141717.0</v>
      </c>
      <c r="G748" s="493">
        <v>112941.0</v>
      </c>
      <c r="H748" s="493">
        <v>79.69</v>
      </c>
      <c r="I748" s="493">
        <v>32.2</v>
      </c>
      <c r="J748" s="493">
        <v>31.09</v>
      </c>
      <c r="K748" s="493">
        <v>421273.0</v>
      </c>
      <c r="L748" s="493">
        <v>1308339.0</v>
      </c>
      <c r="M748" s="493">
        <v>2.9726</v>
      </c>
      <c r="N748" s="6">
        <v>3.73</v>
      </c>
    </row>
    <row r="749">
      <c r="A749" s="491" t="s">
        <v>2020</v>
      </c>
      <c r="B749" s="491" t="s">
        <v>163</v>
      </c>
      <c r="C749" s="491" t="s">
        <v>70</v>
      </c>
      <c r="D749" s="491" t="s">
        <v>565</v>
      </c>
      <c r="E749" s="492" t="s">
        <v>372</v>
      </c>
      <c r="F749" s="493">
        <v>141717.0</v>
      </c>
      <c r="G749" s="493">
        <v>92745.0</v>
      </c>
      <c r="H749" s="493">
        <v>65.44</v>
      </c>
      <c r="I749" s="493">
        <v>20.82</v>
      </c>
      <c r="J749" s="493">
        <v>21.53</v>
      </c>
      <c r="K749" s="493">
        <v>272455.0</v>
      </c>
      <c r="L749" s="493">
        <v>1308339.0</v>
      </c>
      <c r="M749" s="493">
        <v>1.9225</v>
      </c>
      <c r="N749" s="6">
        <v>2.9377</v>
      </c>
    </row>
    <row r="750">
      <c r="A750" s="491" t="s">
        <v>2020</v>
      </c>
      <c r="B750" s="491" t="s">
        <v>163</v>
      </c>
      <c r="C750" s="491" t="s">
        <v>70</v>
      </c>
      <c r="D750" s="491" t="s">
        <v>565</v>
      </c>
      <c r="E750" s="492" t="s">
        <v>370</v>
      </c>
      <c r="F750" s="493">
        <v>141717.0</v>
      </c>
      <c r="G750" s="493">
        <v>87271.0</v>
      </c>
      <c r="H750" s="493">
        <v>61.58</v>
      </c>
      <c r="I750" s="493">
        <v>11.5</v>
      </c>
      <c r="J750" s="493">
        <v>14.7</v>
      </c>
      <c r="K750" s="493">
        <v>150448.0</v>
      </c>
      <c r="L750" s="493">
        <v>1308339.0</v>
      </c>
      <c r="M750" s="493">
        <v>1.0616</v>
      </c>
      <c r="N750" s="6">
        <v>1.7239</v>
      </c>
    </row>
    <row r="751">
      <c r="A751" s="491" t="s">
        <v>2020</v>
      </c>
      <c r="B751" s="491" t="s">
        <v>163</v>
      </c>
      <c r="C751" s="491" t="s">
        <v>70</v>
      </c>
      <c r="D751" s="491" t="s">
        <v>565</v>
      </c>
      <c r="E751" s="492" t="s">
        <v>44</v>
      </c>
      <c r="F751" s="493">
        <v>141717.0</v>
      </c>
      <c r="G751" s="493">
        <v>55188.0</v>
      </c>
      <c r="H751" s="493">
        <v>38.94</v>
      </c>
      <c r="I751" s="493">
        <v>7.12</v>
      </c>
      <c r="J751" s="493">
        <v>5.92</v>
      </c>
      <c r="K751" s="493">
        <v>93177.0</v>
      </c>
      <c r="L751" s="493">
        <v>1308339.0</v>
      </c>
      <c r="M751" s="493">
        <v>0.6575</v>
      </c>
      <c r="N751" s="6">
        <v>1.6884</v>
      </c>
    </row>
    <row r="752">
      <c r="A752" s="491" t="s">
        <v>2020</v>
      </c>
      <c r="B752" s="491" t="s">
        <v>163</v>
      </c>
      <c r="C752" s="491" t="s">
        <v>70</v>
      </c>
      <c r="D752" s="491" t="s">
        <v>565</v>
      </c>
      <c r="E752" s="492" t="s">
        <v>369</v>
      </c>
      <c r="F752" s="493">
        <v>141717.0</v>
      </c>
      <c r="G752" s="493">
        <v>63005.0</v>
      </c>
      <c r="H752" s="493">
        <v>44.46</v>
      </c>
      <c r="I752" s="493">
        <v>6.69</v>
      </c>
      <c r="J752" s="493">
        <v>7.13</v>
      </c>
      <c r="K752" s="493">
        <v>87496.0</v>
      </c>
      <c r="L752" s="493">
        <v>1308339.0</v>
      </c>
      <c r="M752" s="493">
        <v>0.6174</v>
      </c>
      <c r="N752" s="6">
        <v>1.3887</v>
      </c>
    </row>
    <row r="753">
      <c r="A753" s="491" t="s">
        <v>2020</v>
      </c>
      <c r="B753" s="491" t="s">
        <v>163</v>
      </c>
      <c r="C753" s="491" t="s">
        <v>70</v>
      </c>
      <c r="D753" s="491" t="s">
        <v>565</v>
      </c>
      <c r="E753" s="492" t="s">
        <v>368</v>
      </c>
      <c r="F753" s="493">
        <v>141717.0</v>
      </c>
      <c r="G753" s="493">
        <v>31645.0</v>
      </c>
      <c r="H753" s="493">
        <v>22.33</v>
      </c>
      <c r="I753" s="493">
        <v>6.16</v>
      </c>
      <c r="J753" s="493">
        <v>5.36</v>
      </c>
      <c r="K753" s="493">
        <v>80578.0</v>
      </c>
      <c r="L753" s="493">
        <v>1308339.0</v>
      </c>
      <c r="M753" s="493">
        <v>0.5686</v>
      </c>
      <c r="N753" s="6">
        <v>2.5463</v>
      </c>
    </row>
    <row r="754">
      <c r="A754" s="491" t="s">
        <v>2020</v>
      </c>
      <c r="B754" s="491" t="s">
        <v>163</v>
      </c>
      <c r="C754" s="491" t="s">
        <v>70</v>
      </c>
      <c r="D754" s="491" t="s">
        <v>565</v>
      </c>
      <c r="E754" s="492" t="s">
        <v>49</v>
      </c>
      <c r="F754" s="493">
        <v>141717.0</v>
      </c>
      <c r="G754" s="493">
        <v>38668.0</v>
      </c>
      <c r="H754" s="493">
        <v>27.29</v>
      </c>
      <c r="I754" s="493">
        <v>5.0</v>
      </c>
      <c r="J754" s="493">
        <v>4.15</v>
      </c>
      <c r="K754" s="493">
        <v>65398.0</v>
      </c>
      <c r="L754" s="493">
        <v>1308339.0</v>
      </c>
      <c r="M754" s="493">
        <v>0.4615</v>
      </c>
      <c r="N754" s="6">
        <v>1.6913</v>
      </c>
    </row>
    <row r="755">
      <c r="A755" s="491" t="s">
        <v>2020</v>
      </c>
      <c r="B755" s="491" t="s">
        <v>163</v>
      </c>
      <c r="C755" s="491" t="s">
        <v>70</v>
      </c>
      <c r="D755" s="491" t="s">
        <v>565</v>
      </c>
      <c r="E755" s="492" t="s">
        <v>189</v>
      </c>
      <c r="F755" s="493">
        <v>141717.0</v>
      </c>
      <c r="G755" s="493">
        <v>34011.0</v>
      </c>
      <c r="H755" s="493">
        <v>24.0</v>
      </c>
      <c r="I755" s="493">
        <v>2.66</v>
      </c>
      <c r="J755" s="493">
        <v>2.86</v>
      </c>
      <c r="K755" s="493">
        <v>34768.0</v>
      </c>
      <c r="L755" s="493">
        <v>1308339.0</v>
      </c>
      <c r="M755" s="493">
        <v>0.2453</v>
      </c>
      <c r="N755" s="6">
        <v>1.0223</v>
      </c>
    </row>
    <row r="756">
      <c r="A756" s="491" t="s">
        <v>2020</v>
      </c>
      <c r="B756" s="491" t="s">
        <v>163</v>
      </c>
      <c r="C756" s="491" t="s">
        <v>70</v>
      </c>
      <c r="D756" s="491" t="s">
        <v>565</v>
      </c>
      <c r="E756" s="492" t="s">
        <v>35</v>
      </c>
      <c r="F756" s="493">
        <v>141717.0</v>
      </c>
      <c r="G756" s="493">
        <v>27113.0</v>
      </c>
      <c r="H756" s="493">
        <v>19.13</v>
      </c>
      <c r="I756" s="493">
        <v>2.29</v>
      </c>
      <c r="J756" s="493">
        <v>2.24</v>
      </c>
      <c r="K756" s="493">
        <v>30015.0</v>
      </c>
      <c r="L756" s="493">
        <v>1308339.0</v>
      </c>
      <c r="M756" s="493">
        <v>0.2118</v>
      </c>
      <c r="N756" s="6">
        <v>1.107</v>
      </c>
    </row>
    <row r="757">
      <c r="A757" s="491" t="s">
        <v>2020</v>
      </c>
      <c r="B757" s="491" t="s">
        <v>163</v>
      </c>
      <c r="C757" s="491" t="s">
        <v>70</v>
      </c>
      <c r="D757" s="491" t="s">
        <v>565</v>
      </c>
      <c r="E757" s="492" t="s">
        <v>366</v>
      </c>
      <c r="F757" s="493">
        <v>141717.0</v>
      </c>
      <c r="G757" s="493">
        <v>22714.0</v>
      </c>
      <c r="H757" s="493">
        <v>16.03</v>
      </c>
      <c r="I757" s="493">
        <v>1.99</v>
      </c>
      <c r="J757" s="493">
        <v>2.01</v>
      </c>
      <c r="K757" s="493">
        <v>26037.0</v>
      </c>
      <c r="L757" s="493">
        <v>1308339.0</v>
      </c>
      <c r="M757" s="493">
        <v>0.1837</v>
      </c>
      <c r="N757" s="6">
        <v>1.1463</v>
      </c>
    </row>
    <row r="758">
      <c r="A758" s="491" t="s">
        <v>2020</v>
      </c>
      <c r="B758" s="491" t="s">
        <v>163</v>
      </c>
      <c r="C758" s="491" t="s">
        <v>70</v>
      </c>
      <c r="D758" s="491" t="s">
        <v>565</v>
      </c>
      <c r="E758" s="492" t="s">
        <v>42</v>
      </c>
      <c r="F758" s="493">
        <v>141717.0</v>
      </c>
      <c r="G758" s="493">
        <v>13329.0</v>
      </c>
      <c r="H758" s="493">
        <v>9.41</v>
      </c>
      <c r="I758" s="493">
        <v>1.31</v>
      </c>
      <c r="J758" s="493">
        <v>1.29</v>
      </c>
      <c r="K758" s="493">
        <v>17135.0</v>
      </c>
      <c r="L758" s="493">
        <v>1308339.0</v>
      </c>
      <c r="M758" s="493">
        <v>0.1209</v>
      </c>
      <c r="N758" s="6">
        <v>1.2855</v>
      </c>
    </row>
    <row r="759">
      <c r="A759" s="491" t="s">
        <v>2020</v>
      </c>
      <c r="B759" s="491" t="s">
        <v>163</v>
      </c>
      <c r="C759" s="491" t="s">
        <v>70</v>
      </c>
      <c r="D759" s="491" t="s">
        <v>565</v>
      </c>
      <c r="E759" s="492" t="s">
        <v>50</v>
      </c>
      <c r="F759" s="493">
        <v>141717.0</v>
      </c>
      <c r="G759" s="493">
        <v>12602.0</v>
      </c>
      <c r="H759" s="493">
        <v>8.89</v>
      </c>
      <c r="I759" s="493">
        <v>1.16</v>
      </c>
      <c r="J759" s="493">
        <v>0.78</v>
      </c>
      <c r="K759" s="493">
        <v>15180.0</v>
      </c>
      <c r="L759" s="493">
        <v>1308339.0</v>
      </c>
      <c r="M759" s="493">
        <v>0.1071</v>
      </c>
      <c r="N759" s="6">
        <v>1.2046</v>
      </c>
    </row>
    <row r="760">
      <c r="A760" s="491" t="s">
        <v>2020</v>
      </c>
      <c r="B760" s="491" t="s">
        <v>163</v>
      </c>
      <c r="C760" s="491" t="s">
        <v>70</v>
      </c>
      <c r="D760" s="491" t="s">
        <v>565</v>
      </c>
      <c r="E760" s="492" t="s">
        <v>134</v>
      </c>
      <c r="F760" s="493">
        <v>141717.0</v>
      </c>
      <c r="G760" s="493">
        <v>9230.0</v>
      </c>
      <c r="H760" s="493">
        <v>6.51</v>
      </c>
      <c r="I760" s="493">
        <v>0.93</v>
      </c>
      <c r="J760" s="493">
        <v>0.76</v>
      </c>
      <c r="K760" s="493">
        <v>12227.0</v>
      </c>
      <c r="L760" s="493">
        <v>1308339.0</v>
      </c>
      <c r="M760" s="493">
        <v>0.0863</v>
      </c>
      <c r="N760" s="6">
        <v>1.3247</v>
      </c>
    </row>
    <row r="761">
      <c r="A761" s="491" t="s">
        <v>2020</v>
      </c>
      <c r="B761" s="491" t="s">
        <v>163</v>
      </c>
      <c r="C761" s="491" t="s">
        <v>70</v>
      </c>
      <c r="D761" s="491" t="s">
        <v>565</v>
      </c>
      <c r="E761" s="492" t="s">
        <v>43</v>
      </c>
      <c r="F761" s="493">
        <v>141717.0</v>
      </c>
      <c r="G761" s="493">
        <v>2018.0</v>
      </c>
      <c r="H761" s="493">
        <v>1.42</v>
      </c>
      <c r="I761" s="493">
        <v>0.16</v>
      </c>
      <c r="J761" s="493">
        <v>0.16</v>
      </c>
      <c r="K761" s="493">
        <v>2103.0</v>
      </c>
      <c r="L761" s="493">
        <v>1308339.0</v>
      </c>
      <c r="M761" s="493">
        <v>0.0148</v>
      </c>
      <c r="N761" s="6">
        <v>1.0421</v>
      </c>
    </row>
    <row r="762">
      <c r="A762" s="491" t="s">
        <v>2020</v>
      </c>
      <c r="B762" s="491" t="s">
        <v>163</v>
      </c>
      <c r="C762" s="491" t="s">
        <v>70</v>
      </c>
      <c r="D762" s="491" t="s">
        <v>565</v>
      </c>
      <c r="E762" s="492" t="s">
        <v>311</v>
      </c>
      <c r="F762" s="493">
        <v>141717.0</v>
      </c>
      <c r="G762" s="493">
        <v>1.0</v>
      </c>
      <c r="H762" s="493">
        <v>0.0</v>
      </c>
      <c r="I762" s="493">
        <v>0.0</v>
      </c>
      <c r="J762" s="493">
        <v>0.0</v>
      </c>
      <c r="K762" s="493">
        <v>2.0</v>
      </c>
      <c r="L762" s="493">
        <v>1308339.0</v>
      </c>
      <c r="M762" s="493">
        <v>0.0</v>
      </c>
      <c r="N762" s="6">
        <v>2.0</v>
      </c>
    </row>
    <row r="763">
      <c r="A763" s="491" t="s">
        <v>2020</v>
      </c>
      <c r="B763" s="491" t="s">
        <v>163</v>
      </c>
      <c r="C763" s="491" t="s">
        <v>70</v>
      </c>
      <c r="D763" s="491" t="s">
        <v>565</v>
      </c>
      <c r="E763" s="492" t="s">
        <v>373</v>
      </c>
      <c r="F763" s="493">
        <v>141717.0</v>
      </c>
      <c r="G763" s="493">
        <v>3.0</v>
      </c>
      <c r="H763" s="493">
        <v>0.0</v>
      </c>
      <c r="I763" s="493">
        <v>0.0</v>
      </c>
      <c r="J763" s="493">
        <v>0.0</v>
      </c>
      <c r="K763" s="493">
        <v>10.0</v>
      </c>
      <c r="L763" s="493">
        <v>1308339.0</v>
      </c>
      <c r="M763" s="493">
        <v>1.0E-4</v>
      </c>
      <c r="N763" s="6">
        <v>3.3333</v>
      </c>
    </row>
    <row r="764">
      <c r="A764" s="491" t="s">
        <v>2020</v>
      </c>
      <c r="B764" s="491" t="s">
        <v>163</v>
      </c>
      <c r="C764" s="491" t="s">
        <v>70</v>
      </c>
      <c r="D764" s="491" t="s">
        <v>565</v>
      </c>
      <c r="E764" s="492" t="s">
        <v>32</v>
      </c>
      <c r="F764" s="493">
        <v>141717.0</v>
      </c>
      <c r="G764" s="493">
        <v>33.0</v>
      </c>
      <c r="H764" s="493">
        <v>0.02</v>
      </c>
      <c r="I764" s="493">
        <v>0.0</v>
      </c>
      <c r="J764" s="493">
        <v>0.01</v>
      </c>
      <c r="K764" s="493">
        <v>37.0</v>
      </c>
      <c r="L764" s="493">
        <v>1308339.0</v>
      </c>
      <c r="M764" s="493">
        <v>3.0E-4</v>
      </c>
      <c r="N764" s="6">
        <v>1.1212</v>
      </c>
    </row>
    <row r="765">
      <c r="A765" s="491" t="s">
        <v>2020</v>
      </c>
      <c r="B765" s="491" t="s">
        <v>163</v>
      </c>
      <c r="C765" s="491" t="s">
        <v>74</v>
      </c>
      <c r="D765" s="491" t="s">
        <v>565</v>
      </c>
      <c r="E765" s="492" t="s">
        <v>371</v>
      </c>
      <c r="F765" s="493">
        <v>110242.0</v>
      </c>
      <c r="G765" s="493">
        <v>86836.0</v>
      </c>
      <c r="H765" s="493">
        <v>78.77</v>
      </c>
      <c r="I765" s="493">
        <v>38.93</v>
      </c>
      <c r="J765" s="493">
        <v>44.17</v>
      </c>
      <c r="K765" s="493">
        <v>179039.0</v>
      </c>
      <c r="L765" s="493">
        <v>459844.0</v>
      </c>
      <c r="M765" s="493">
        <v>1.6241</v>
      </c>
      <c r="N765" s="6">
        <v>2.0618</v>
      </c>
    </row>
    <row r="766">
      <c r="A766" s="491" t="s">
        <v>2020</v>
      </c>
      <c r="B766" s="491" t="s">
        <v>163</v>
      </c>
      <c r="C766" s="491" t="s">
        <v>74</v>
      </c>
      <c r="D766" s="491" t="s">
        <v>565</v>
      </c>
      <c r="E766" s="492" t="s">
        <v>42</v>
      </c>
      <c r="F766" s="493">
        <v>110242.0</v>
      </c>
      <c r="G766" s="493">
        <v>50364.0</v>
      </c>
      <c r="H766" s="493">
        <v>45.68</v>
      </c>
      <c r="I766" s="493">
        <v>22.23</v>
      </c>
      <c r="J766" s="493">
        <v>20.98</v>
      </c>
      <c r="K766" s="493">
        <v>102223.0</v>
      </c>
      <c r="L766" s="493">
        <v>459844.0</v>
      </c>
      <c r="M766" s="493">
        <v>0.9273</v>
      </c>
      <c r="N766" s="6">
        <v>2.0297</v>
      </c>
    </row>
    <row r="767">
      <c r="A767" s="491" t="s">
        <v>2020</v>
      </c>
      <c r="B767" s="491" t="s">
        <v>163</v>
      </c>
      <c r="C767" s="491" t="s">
        <v>74</v>
      </c>
      <c r="D767" s="491" t="s">
        <v>565</v>
      </c>
      <c r="E767" s="492" t="s">
        <v>365</v>
      </c>
      <c r="F767" s="493">
        <v>110242.0</v>
      </c>
      <c r="G767" s="493">
        <v>18158.0</v>
      </c>
      <c r="H767" s="493">
        <v>16.47</v>
      </c>
      <c r="I767" s="493">
        <v>8.32</v>
      </c>
      <c r="J767" s="493">
        <v>5.26</v>
      </c>
      <c r="K767" s="493">
        <v>38273.0</v>
      </c>
      <c r="L767" s="493">
        <v>459844.0</v>
      </c>
      <c r="M767" s="493">
        <v>0.3472</v>
      </c>
      <c r="N767" s="6">
        <v>2.1078</v>
      </c>
    </row>
    <row r="768">
      <c r="A768" s="491" t="s">
        <v>2020</v>
      </c>
      <c r="B768" s="491" t="s">
        <v>163</v>
      </c>
      <c r="C768" s="491" t="s">
        <v>74</v>
      </c>
      <c r="D768" s="491" t="s">
        <v>565</v>
      </c>
      <c r="E768" s="492" t="s">
        <v>50</v>
      </c>
      <c r="F768" s="493">
        <v>110242.0</v>
      </c>
      <c r="G768" s="493">
        <v>21684.0</v>
      </c>
      <c r="H768" s="493">
        <v>19.67</v>
      </c>
      <c r="I768" s="493">
        <v>6.37</v>
      </c>
      <c r="J768" s="493">
        <v>6.11</v>
      </c>
      <c r="K768" s="493">
        <v>29292.0</v>
      </c>
      <c r="L768" s="493">
        <v>459844.0</v>
      </c>
      <c r="M768" s="493">
        <v>0.2657</v>
      </c>
      <c r="N768" s="6">
        <v>1.3509</v>
      </c>
    </row>
    <row r="769">
      <c r="A769" s="491" t="s">
        <v>2020</v>
      </c>
      <c r="B769" s="491" t="s">
        <v>163</v>
      </c>
      <c r="C769" s="491" t="s">
        <v>74</v>
      </c>
      <c r="D769" s="491" t="s">
        <v>565</v>
      </c>
      <c r="E769" s="492" t="s">
        <v>366</v>
      </c>
      <c r="F769" s="493">
        <v>110242.0</v>
      </c>
      <c r="G769" s="493">
        <v>26944.0</v>
      </c>
      <c r="H769" s="493">
        <v>24.44</v>
      </c>
      <c r="I769" s="493">
        <v>6.22</v>
      </c>
      <c r="J769" s="493">
        <v>7.78</v>
      </c>
      <c r="K769" s="493">
        <v>28609.0</v>
      </c>
      <c r="L769" s="493">
        <v>459844.0</v>
      </c>
      <c r="M769" s="493">
        <v>0.2595</v>
      </c>
      <c r="N769" s="6">
        <v>1.0618</v>
      </c>
    </row>
    <row r="770">
      <c r="A770" s="491" t="s">
        <v>2020</v>
      </c>
      <c r="B770" s="491" t="s">
        <v>163</v>
      </c>
      <c r="C770" s="491" t="s">
        <v>74</v>
      </c>
      <c r="D770" s="491" t="s">
        <v>565</v>
      </c>
      <c r="E770" s="492" t="s">
        <v>134</v>
      </c>
      <c r="F770" s="493">
        <v>110242.0</v>
      </c>
      <c r="G770" s="493">
        <v>20595.0</v>
      </c>
      <c r="H770" s="493">
        <v>18.68</v>
      </c>
      <c r="I770" s="493">
        <v>6.18</v>
      </c>
      <c r="J770" s="493">
        <v>6.55</v>
      </c>
      <c r="K770" s="493">
        <v>28431.0</v>
      </c>
      <c r="L770" s="493">
        <v>459844.0</v>
      </c>
      <c r="M770" s="493">
        <v>0.2579</v>
      </c>
      <c r="N770" s="6">
        <v>1.3805</v>
      </c>
    </row>
    <row r="771">
      <c r="A771" s="491" t="s">
        <v>2020</v>
      </c>
      <c r="B771" s="491" t="s">
        <v>163</v>
      </c>
      <c r="C771" s="491" t="s">
        <v>74</v>
      </c>
      <c r="D771" s="491" t="s">
        <v>565</v>
      </c>
      <c r="E771" s="492" t="s">
        <v>370</v>
      </c>
      <c r="F771" s="493">
        <v>110242.0</v>
      </c>
      <c r="G771" s="493">
        <v>15590.0</v>
      </c>
      <c r="H771" s="493">
        <v>14.14</v>
      </c>
      <c r="I771" s="493">
        <v>3.93</v>
      </c>
      <c r="J771" s="493">
        <v>3.09</v>
      </c>
      <c r="K771" s="493">
        <v>18065.0</v>
      </c>
      <c r="L771" s="493">
        <v>459844.0</v>
      </c>
      <c r="M771" s="493">
        <v>0.1639</v>
      </c>
      <c r="N771" s="6">
        <v>1.1588</v>
      </c>
    </row>
    <row r="772">
      <c r="A772" s="491" t="s">
        <v>2020</v>
      </c>
      <c r="B772" s="491" t="s">
        <v>163</v>
      </c>
      <c r="C772" s="491" t="s">
        <v>74</v>
      </c>
      <c r="D772" s="491" t="s">
        <v>565</v>
      </c>
      <c r="E772" s="492" t="s">
        <v>367</v>
      </c>
      <c r="F772" s="493">
        <v>110242.0</v>
      </c>
      <c r="G772" s="493">
        <v>14816.0</v>
      </c>
      <c r="H772" s="493">
        <v>13.44</v>
      </c>
      <c r="I772" s="493">
        <v>3.35</v>
      </c>
      <c r="J772" s="493">
        <v>2.47</v>
      </c>
      <c r="K772" s="493">
        <v>15407.0</v>
      </c>
      <c r="L772" s="493">
        <v>459844.0</v>
      </c>
      <c r="M772" s="493">
        <v>0.1398</v>
      </c>
      <c r="N772" s="6">
        <v>1.0399</v>
      </c>
    </row>
    <row r="773">
      <c r="A773" s="491" t="s">
        <v>2020</v>
      </c>
      <c r="B773" s="491" t="s">
        <v>163</v>
      </c>
      <c r="C773" s="491" t="s">
        <v>74</v>
      </c>
      <c r="D773" s="491" t="s">
        <v>565</v>
      </c>
      <c r="E773" s="492" t="s">
        <v>40</v>
      </c>
      <c r="F773" s="493">
        <v>110242.0</v>
      </c>
      <c r="G773" s="493">
        <v>5246.0</v>
      </c>
      <c r="H773" s="493">
        <v>4.76</v>
      </c>
      <c r="I773" s="493">
        <v>2.39</v>
      </c>
      <c r="J773" s="493">
        <v>1.73</v>
      </c>
      <c r="K773" s="493">
        <v>10995.0</v>
      </c>
      <c r="L773" s="493">
        <v>459844.0</v>
      </c>
      <c r="M773" s="493">
        <v>0.0997</v>
      </c>
      <c r="N773" s="6">
        <v>2.0959</v>
      </c>
    </row>
    <row r="774">
      <c r="A774" s="491" t="s">
        <v>2020</v>
      </c>
      <c r="B774" s="491" t="s">
        <v>163</v>
      </c>
      <c r="C774" s="491" t="s">
        <v>74</v>
      </c>
      <c r="D774" s="491" t="s">
        <v>565</v>
      </c>
      <c r="E774" s="492" t="s">
        <v>44</v>
      </c>
      <c r="F774" s="493">
        <v>110242.0</v>
      </c>
      <c r="G774" s="493">
        <v>1985.0</v>
      </c>
      <c r="H774" s="493">
        <v>1.8</v>
      </c>
      <c r="I774" s="493">
        <v>0.55</v>
      </c>
      <c r="J774" s="493">
        <v>0.36</v>
      </c>
      <c r="K774" s="493">
        <v>2517.0</v>
      </c>
      <c r="L774" s="493">
        <v>459844.0</v>
      </c>
      <c r="M774" s="493">
        <v>0.0228</v>
      </c>
      <c r="N774" s="6">
        <v>1.268</v>
      </c>
    </row>
    <row r="775">
      <c r="A775" s="491" t="s">
        <v>2020</v>
      </c>
      <c r="B775" s="491" t="s">
        <v>163</v>
      </c>
      <c r="C775" s="491" t="s">
        <v>74</v>
      </c>
      <c r="D775" s="491" t="s">
        <v>565</v>
      </c>
      <c r="E775" s="492" t="s">
        <v>310</v>
      </c>
      <c r="F775" s="493">
        <v>110242.0</v>
      </c>
      <c r="G775" s="493">
        <v>2152.0</v>
      </c>
      <c r="H775" s="493">
        <v>1.95</v>
      </c>
      <c r="I775" s="493">
        <v>0.49</v>
      </c>
      <c r="J775" s="493">
        <v>0.47</v>
      </c>
      <c r="K775" s="493">
        <v>2276.0</v>
      </c>
      <c r="L775" s="493">
        <v>459844.0</v>
      </c>
      <c r="M775" s="493">
        <v>0.0206</v>
      </c>
      <c r="N775" s="6">
        <v>1.0576</v>
      </c>
    </row>
    <row r="776">
      <c r="A776" s="491" t="s">
        <v>2020</v>
      </c>
      <c r="B776" s="491" t="s">
        <v>163</v>
      </c>
      <c r="C776" s="491" t="s">
        <v>74</v>
      </c>
      <c r="D776" s="491" t="s">
        <v>565</v>
      </c>
      <c r="E776" s="492" t="s">
        <v>32</v>
      </c>
      <c r="F776" s="493">
        <v>110242.0</v>
      </c>
      <c r="G776" s="493">
        <v>1997.0</v>
      </c>
      <c r="H776" s="493">
        <v>1.81</v>
      </c>
      <c r="I776" s="493">
        <v>0.45</v>
      </c>
      <c r="J776" s="493">
        <v>0.49</v>
      </c>
      <c r="K776" s="493">
        <v>2063.0</v>
      </c>
      <c r="L776" s="493">
        <v>459844.0</v>
      </c>
      <c r="M776" s="493">
        <v>0.0187</v>
      </c>
      <c r="N776" s="6">
        <v>1.033</v>
      </c>
    </row>
    <row r="777">
      <c r="A777" s="491" t="s">
        <v>2020</v>
      </c>
      <c r="B777" s="491" t="s">
        <v>163</v>
      </c>
      <c r="C777" s="491" t="s">
        <v>74</v>
      </c>
      <c r="D777" s="491" t="s">
        <v>565</v>
      </c>
      <c r="E777" s="492" t="s">
        <v>312</v>
      </c>
      <c r="F777" s="493">
        <v>110242.0</v>
      </c>
      <c r="G777" s="493">
        <v>1688.0</v>
      </c>
      <c r="H777" s="493">
        <v>1.53</v>
      </c>
      <c r="I777" s="493">
        <v>0.39</v>
      </c>
      <c r="J777" s="493">
        <v>0.35</v>
      </c>
      <c r="K777" s="493">
        <v>1806.0</v>
      </c>
      <c r="L777" s="493">
        <v>459844.0</v>
      </c>
      <c r="M777" s="493">
        <v>0.0164</v>
      </c>
      <c r="N777" s="6">
        <v>1.0699</v>
      </c>
    </row>
    <row r="778">
      <c r="A778" s="491" t="s">
        <v>2020</v>
      </c>
      <c r="B778" s="491" t="s">
        <v>163</v>
      </c>
      <c r="C778" s="491" t="s">
        <v>74</v>
      </c>
      <c r="D778" s="491" t="s">
        <v>565</v>
      </c>
      <c r="E778" s="492" t="s">
        <v>311</v>
      </c>
      <c r="F778" s="493">
        <v>110242.0</v>
      </c>
      <c r="G778" s="493">
        <v>423.0</v>
      </c>
      <c r="H778" s="493">
        <v>0.38</v>
      </c>
      <c r="I778" s="493">
        <v>0.09</v>
      </c>
      <c r="J778" s="493">
        <v>0.13</v>
      </c>
      <c r="K778" s="493">
        <v>435.0</v>
      </c>
      <c r="L778" s="493">
        <v>459844.0</v>
      </c>
      <c r="M778" s="493">
        <v>0.0039</v>
      </c>
      <c r="N778" s="6">
        <v>1.0284</v>
      </c>
    </row>
    <row r="779">
      <c r="A779" s="491" t="s">
        <v>2020</v>
      </c>
      <c r="B779" s="491" t="s">
        <v>163</v>
      </c>
      <c r="C779" s="491" t="s">
        <v>74</v>
      </c>
      <c r="D779" s="491" t="s">
        <v>565</v>
      </c>
      <c r="E779" s="492" t="s">
        <v>368</v>
      </c>
      <c r="F779" s="493">
        <v>110242.0</v>
      </c>
      <c r="G779" s="493">
        <v>179.0</v>
      </c>
      <c r="H779" s="493">
        <v>0.16</v>
      </c>
      <c r="I779" s="493">
        <v>0.05</v>
      </c>
      <c r="J779" s="493">
        <v>0.03</v>
      </c>
      <c r="K779" s="493">
        <v>231.0</v>
      </c>
      <c r="L779" s="493">
        <v>459844.0</v>
      </c>
      <c r="M779" s="493">
        <v>0.0021</v>
      </c>
      <c r="N779" s="6">
        <v>1.2905</v>
      </c>
    </row>
    <row r="780">
      <c r="A780" s="491" t="s">
        <v>2020</v>
      </c>
      <c r="B780" s="491" t="s">
        <v>163</v>
      </c>
      <c r="C780" s="491" t="s">
        <v>74</v>
      </c>
      <c r="D780" s="491" t="s">
        <v>565</v>
      </c>
      <c r="E780" s="492" t="s">
        <v>369</v>
      </c>
      <c r="F780" s="493">
        <v>110242.0</v>
      </c>
      <c r="G780" s="493">
        <v>82.0</v>
      </c>
      <c r="H780" s="493">
        <v>0.07</v>
      </c>
      <c r="I780" s="493">
        <v>0.02</v>
      </c>
      <c r="J780" s="493">
        <v>0.01</v>
      </c>
      <c r="K780" s="493">
        <v>85.0</v>
      </c>
      <c r="L780" s="493">
        <v>459844.0</v>
      </c>
      <c r="M780" s="493">
        <v>8.0E-4</v>
      </c>
      <c r="N780" s="6">
        <v>1.0366</v>
      </c>
    </row>
    <row r="781">
      <c r="A781" s="491" t="s">
        <v>2020</v>
      </c>
      <c r="B781" s="491" t="s">
        <v>163</v>
      </c>
      <c r="C781" s="491" t="s">
        <v>74</v>
      </c>
      <c r="D781" s="491" t="s">
        <v>565</v>
      </c>
      <c r="E781" s="492" t="s">
        <v>43</v>
      </c>
      <c r="F781" s="493">
        <v>110242.0</v>
      </c>
      <c r="G781" s="493">
        <v>75.0</v>
      </c>
      <c r="H781" s="493">
        <v>0.07</v>
      </c>
      <c r="I781" s="493">
        <v>0.02</v>
      </c>
      <c r="J781" s="493">
        <v>0.02</v>
      </c>
      <c r="K781" s="493">
        <v>79.0</v>
      </c>
      <c r="L781" s="493">
        <v>459844.0</v>
      </c>
      <c r="M781" s="493">
        <v>7.0E-4</v>
      </c>
      <c r="N781" s="6">
        <v>1.0533</v>
      </c>
    </row>
    <row r="782">
      <c r="A782" s="491" t="s">
        <v>2020</v>
      </c>
      <c r="B782" s="491" t="s">
        <v>163</v>
      </c>
      <c r="C782" s="491" t="s">
        <v>74</v>
      </c>
      <c r="D782" s="491" t="s">
        <v>565</v>
      </c>
      <c r="E782" s="492" t="s">
        <v>373</v>
      </c>
      <c r="F782" s="493">
        <v>110242.0</v>
      </c>
      <c r="G782" s="493">
        <v>3.0</v>
      </c>
      <c r="H782" s="493">
        <v>0.0</v>
      </c>
      <c r="I782" s="493">
        <v>0.0</v>
      </c>
      <c r="J782" s="493">
        <v>0.0</v>
      </c>
      <c r="K782" s="493">
        <v>10.0</v>
      </c>
      <c r="L782" s="493">
        <v>459844.0</v>
      </c>
      <c r="M782" s="493">
        <v>1.0E-4</v>
      </c>
      <c r="N782" s="6">
        <v>3.3333</v>
      </c>
    </row>
    <row r="783">
      <c r="A783" s="491" t="s">
        <v>2020</v>
      </c>
      <c r="B783" s="491" t="s">
        <v>163</v>
      </c>
      <c r="C783" s="491" t="s">
        <v>74</v>
      </c>
      <c r="D783" s="491" t="s">
        <v>565</v>
      </c>
      <c r="E783" s="492" t="s">
        <v>189</v>
      </c>
      <c r="F783" s="493">
        <v>110242.0</v>
      </c>
      <c r="G783" s="493">
        <v>8.0</v>
      </c>
      <c r="H783" s="493">
        <v>0.01</v>
      </c>
      <c r="I783" s="493">
        <v>0.0</v>
      </c>
      <c r="J783" s="493">
        <v>0.0</v>
      </c>
      <c r="K783" s="493">
        <v>8.0</v>
      </c>
      <c r="L783" s="493">
        <v>459844.0</v>
      </c>
      <c r="M783" s="493">
        <v>1.0E-4</v>
      </c>
      <c r="N783" s="6">
        <v>1.0</v>
      </c>
    </row>
    <row r="784">
      <c r="A784" s="491" t="s">
        <v>2020</v>
      </c>
      <c r="B784" s="491" t="s">
        <v>163</v>
      </c>
      <c r="C784" s="491" t="s">
        <v>1872</v>
      </c>
      <c r="D784" s="491" t="s">
        <v>1872</v>
      </c>
      <c r="E784" s="492" t="s">
        <v>371</v>
      </c>
      <c r="F784" s="493">
        <v>150670.0</v>
      </c>
      <c r="G784" s="493">
        <v>141902.0</v>
      </c>
      <c r="H784" s="493">
        <v>94.18</v>
      </c>
      <c r="I784" s="493">
        <v>20.49</v>
      </c>
      <c r="J784" s="493">
        <v>24.64</v>
      </c>
      <c r="K784" s="493">
        <v>1.7471745E7</v>
      </c>
      <c r="L784" s="493">
        <v>8.5251895E7</v>
      </c>
      <c r="M784" s="493">
        <v>115.9603</v>
      </c>
      <c r="N784" s="6">
        <v>123.1254</v>
      </c>
    </row>
    <row r="785">
      <c r="A785" s="491" t="s">
        <v>2020</v>
      </c>
      <c r="B785" s="491" t="s">
        <v>163</v>
      </c>
      <c r="C785" s="491" t="s">
        <v>1872</v>
      </c>
      <c r="D785" s="491" t="s">
        <v>1872</v>
      </c>
      <c r="E785" s="492" t="s">
        <v>367</v>
      </c>
      <c r="F785" s="493">
        <v>150670.0</v>
      </c>
      <c r="G785" s="493">
        <v>126642.0</v>
      </c>
      <c r="H785" s="493">
        <v>84.05</v>
      </c>
      <c r="I785" s="493">
        <v>18.71</v>
      </c>
      <c r="J785" s="493">
        <v>18.9</v>
      </c>
      <c r="K785" s="493">
        <v>1.594877E7</v>
      </c>
      <c r="L785" s="493">
        <v>8.5251895E7</v>
      </c>
      <c r="M785" s="493">
        <v>105.8523</v>
      </c>
      <c r="N785" s="6">
        <v>125.9359</v>
      </c>
    </row>
    <row r="786">
      <c r="A786" s="491" t="s">
        <v>2020</v>
      </c>
      <c r="B786" s="491" t="s">
        <v>163</v>
      </c>
      <c r="C786" s="491" t="s">
        <v>1872</v>
      </c>
      <c r="D786" s="491" t="s">
        <v>1872</v>
      </c>
      <c r="E786" s="492" t="s">
        <v>42</v>
      </c>
      <c r="F786" s="493">
        <v>150670.0</v>
      </c>
      <c r="G786" s="493">
        <v>52210.0</v>
      </c>
      <c r="H786" s="493">
        <v>34.65</v>
      </c>
      <c r="I786" s="493">
        <v>8.34</v>
      </c>
      <c r="J786" s="493">
        <v>7.2</v>
      </c>
      <c r="K786" s="493">
        <v>7106205.0</v>
      </c>
      <c r="L786" s="493">
        <v>8.5251895E7</v>
      </c>
      <c r="M786" s="493">
        <v>47.164</v>
      </c>
      <c r="N786" s="6">
        <v>136.1081</v>
      </c>
    </row>
    <row r="787">
      <c r="A787" s="491" t="s">
        <v>2020</v>
      </c>
      <c r="B787" s="491" t="s">
        <v>163</v>
      </c>
      <c r="C787" s="491" t="s">
        <v>1872</v>
      </c>
      <c r="D787" s="491" t="s">
        <v>1872</v>
      </c>
      <c r="E787" s="492" t="s">
        <v>368</v>
      </c>
      <c r="F787" s="493">
        <v>150670.0</v>
      </c>
      <c r="G787" s="493">
        <v>61336.0</v>
      </c>
      <c r="H787" s="493">
        <v>40.71</v>
      </c>
      <c r="I787" s="493">
        <v>7.69</v>
      </c>
      <c r="J787" s="493">
        <v>8.44</v>
      </c>
      <c r="K787" s="493">
        <v>6555920.0</v>
      </c>
      <c r="L787" s="493">
        <v>8.5251895E7</v>
      </c>
      <c r="M787" s="493">
        <v>43.5118</v>
      </c>
      <c r="N787" s="6">
        <v>106.8854</v>
      </c>
    </row>
    <row r="788">
      <c r="A788" s="491" t="s">
        <v>2020</v>
      </c>
      <c r="B788" s="491" t="s">
        <v>163</v>
      </c>
      <c r="C788" s="491" t="s">
        <v>1872</v>
      </c>
      <c r="D788" s="491" t="s">
        <v>1872</v>
      </c>
      <c r="E788" s="492" t="s">
        <v>366</v>
      </c>
      <c r="F788" s="493">
        <v>150670.0</v>
      </c>
      <c r="G788" s="493">
        <v>91635.0</v>
      </c>
      <c r="H788" s="493">
        <v>60.82</v>
      </c>
      <c r="I788" s="493">
        <v>7.4</v>
      </c>
      <c r="J788" s="493">
        <v>9.51</v>
      </c>
      <c r="K788" s="493">
        <v>6311935.0</v>
      </c>
      <c r="L788" s="493">
        <v>8.5251895E7</v>
      </c>
      <c r="M788" s="493">
        <v>41.8924</v>
      </c>
      <c r="N788" s="6">
        <v>68.8813</v>
      </c>
    </row>
    <row r="789">
      <c r="A789" s="491" t="s">
        <v>2020</v>
      </c>
      <c r="B789" s="491" t="s">
        <v>163</v>
      </c>
      <c r="C789" s="491" t="s">
        <v>1872</v>
      </c>
      <c r="D789" s="491" t="s">
        <v>1872</v>
      </c>
      <c r="E789" s="492" t="s">
        <v>50</v>
      </c>
      <c r="F789" s="493">
        <v>150670.0</v>
      </c>
      <c r="G789" s="493">
        <v>56773.0</v>
      </c>
      <c r="H789" s="493">
        <v>37.68</v>
      </c>
      <c r="I789" s="493">
        <v>6.85</v>
      </c>
      <c r="J789" s="493">
        <v>5.58</v>
      </c>
      <c r="K789" s="493">
        <v>5837040.0</v>
      </c>
      <c r="L789" s="493">
        <v>8.5251895E7</v>
      </c>
      <c r="M789" s="493">
        <v>38.7406</v>
      </c>
      <c r="N789" s="6">
        <v>102.8137</v>
      </c>
    </row>
    <row r="790">
      <c r="A790" s="491" t="s">
        <v>2020</v>
      </c>
      <c r="B790" s="491" t="s">
        <v>163</v>
      </c>
      <c r="C790" s="491" t="s">
        <v>1872</v>
      </c>
      <c r="D790" s="491" t="s">
        <v>1872</v>
      </c>
      <c r="E790" s="492" t="s">
        <v>372</v>
      </c>
      <c r="F790" s="493">
        <v>150670.0</v>
      </c>
      <c r="G790" s="493">
        <v>99732.0</v>
      </c>
      <c r="H790" s="493">
        <v>66.19</v>
      </c>
      <c r="I790" s="493">
        <v>6.68</v>
      </c>
      <c r="J790" s="493">
        <v>8.48</v>
      </c>
      <c r="K790" s="493">
        <v>5694025.0</v>
      </c>
      <c r="L790" s="493">
        <v>8.5251895E7</v>
      </c>
      <c r="M790" s="493">
        <v>37.7914</v>
      </c>
      <c r="N790" s="6">
        <v>57.0933</v>
      </c>
    </row>
    <row r="791">
      <c r="A791" s="491" t="s">
        <v>2020</v>
      </c>
      <c r="B791" s="491" t="s">
        <v>163</v>
      </c>
      <c r="C791" s="491" t="s">
        <v>1872</v>
      </c>
      <c r="D791" s="491" t="s">
        <v>1872</v>
      </c>
      <c r="E791" s="492" t="s">
        <v>40</v>
      </c>
      <c r="F791" s="493">
        <v>150670.0</v>
      </c>
      <c r="G791" s="493">
        <v>33758.0</v>
      </c>
      <c r="H791" s="493">
        <v>22.41</v>
      </c>
      <c r="I791" s="493">
        <v>5.17</v>
      </c>
      <c r="J791" s="493">
        <v>3.78</v>
      </c>
      <c r="K791" s="493">
        <v>4404140.0</v>
      </c>
      <c r="L791" s="493">
        <v>8.5251895E7</v>
      </c>
      <c r="M791" s="493">
        <v>29.2304</v>
      </c>
      <c r="N791" s="6">
        <v>130.4621</v>
      </c>
    </row>
    <row r="792">
      <c r="A792" s="491" t="s">
        <v>2020</v>
      </c>
      <c r="B792" s="491" t="s">
        <v>163</v>
      </c>
      <c r="C792" s="491" t="s">
        <v>1872</v>
      </c>
      <c r="D792" s="491" t="s">
        <v>1872</v>
      </c>
      <c r="E792" s="492" t="s">
        <v>370</v>
      </c>
      <c r="F792" s="493">
        <v>150670.0</v>
      </c>
      <c r="G792" s="493">
        <v>40924.0</v>
      </c>
      <c r="H792" s="493">
        <v>27.16</v>
      </c>
      <c r="I792" s="493">
        <v>4.88</v>
      </c>
      <c r="J792" s="493">
        <v>3.06</v>
      </c>
      <c r="K792" s="493">
        <v>4161595.0</v>
      </c>
      <c r="L792" s="493">
        <v>8.5251895E7</v>
      </c>
      <c r="M792" s="493">
        <v>27.6206</v>
      </c>
      <c r="N792" s="6">
        <v>101.6908</v>
      </c>
    </row>
    <row r="793">
      <c r="A793" s="491" t="s">
        <v>2020</v>
      </c>
      <c r="B793" s="491" t="s">
        <v>163</v>
      </c>
      <c r="C793" s="491" t="s">
        <v>1872</v>
      </c>
      <c r="D793" s="491" t="s">
        <v>1872</v>
      </c>
      <c r="E793" s="492" t="s">
        <v>365</v>
      </c>
      <c r="F793" s="493">
        <v>150670.0</v>
      </c>
      <c r="G793" s="493">
        <v>40486.0</v>
      </c>
      <c r="H793" s="493">
        <v>26.87</v>
      </c>
      <c r="I793" s="493">
        <v>4.3</v>
      </c>
      <c r="J793" s="493">
        <v>2.8</v>
      </c>
      <c r="K793" s="493">
        <v>3669375.0</v>
      </c>
      <c r="L793" s="493">
        <v>8.5251895E7</v>
      </c>
      <c r="M793" s="493">
        <v>24.3537</v>
      </c>
      <c r="N793" s="6">
        <v>90.6332</v>
      </c>
    </row>
    <row r="794">
      <c r="A794" s="491" t="s">
        <v>2020</v>
      </c>
      <c r="B794" s="491" t="s">
        <v>163</v>
      </c>
      <c r="C794" s="491" t="s">
        <v>1872</v>
      </c>
      <c r="D794" s="491" t="s">
        <v>1872</v>
      </c>
      <c r="E794" s="492" t="s">
        <v>134</v>
      </c>
      <c r="F794" s="493">
        <v>150670.0</v>
      </c>
      <c r="G794" s="493">
        <v>25252.0</v>
      </c>
      <c r="H794" s="493">
        <v>16.76</v>
      </c>
      <c r="I794" s="493">
        <v>1.79</v>
      </c>
      <c r="J794" s="493">
        <v>1.66</v>
      </c>
      <c r="K794" s="493">
        <v>1529455.0</v>
      </c>
      <c r="L794" s="493">
        <v>8.5251895E7</v>
      </c>
      <c r="M794" s="493">
        <v>10.151</v>
      </c>
      <c r="N794" s="6">
        <v>60.5677</v>
      </c>
    </row>
    <row r="795">
      <c r="A795" s="491" t="s">
        <v>2020</v>
      </c>
      <c r="B795" s="491" t="s">
        <v>163</v>
      </c>
      <c r="C795" s="491" t="s">
        <v>1872</v>
      </c>
      <c r="D795" s="491" t="s">
        <v>1872</v>
      </c>
      <c r="E795" s="492" t="s">
        <v>310</v>
      </c>
      <c r="F795" s="493">
        <v>150670.0</v>
      </c>
      <c r="G795" s="493">
        <v>11629.0</v>
      </c>
      <c r="H795" s="493">
        <v>7.72</v>
      </c>
      <c r="I795" s="493">
        <v>1.44</v>
      </c>
      <c r="J795" s="493">
        <v>1.07</v>
      </c>
      <c r="K795" s="493">
        <v>1228100.0</v>
      </c>
      <c r="L795" s="493">
        <v>8.5251895E7</v>
      </c>
      <c r="M795" s="493">
        <v>8.1509</v>
      </c>
      <c r="N795" s="6">
        <v>105.6067</v>
      </c>
    </row>
    <row r="796">
      <c r="A796" s="491" t="s">
        <v>2020</v>
      </c>
      <c r="B796" s="491" t="s">
        <v>163</v>
      </c>
      <c r="C796" s="491" t="s">
        <v>1872</v>
      </c>
      <c r="D796" s="491" t="s">
        <v>1872</v>
      </c>
      <c r="E796" s="492" t="s">
        <v>44</v>
      </c>
      <c r="F796" s="493">
        <v>150670.0</v>
      </c>
      <c r="G796" s="493">
        <v>56171.0</v>
      </c>
      <c r="H796" s="493">
        <v>37.28</v>
      </c>
      <c r="I796" s="493">
        <v>1.41</v>
      </c>
      <c r="J796" s="493">
        <v>1.24</v>
      </c>
      <c r="K796" s="493">
        <v>1200300.0</v>
      </c>
      <c r="L796" s="493">
        <v>8.5251895E7</v>
      </c>
      <c r="M796" s="493">
        <v>7.9664</v>
      </c>
      <c r="N796" s="6">
        <v>21.3687</v>
      </c>
    </row>
    <row r="797">
      <c r="A797" s="491" t="s">
        <v>2020</v>
      </c>
      <c r="B797" s="491" t="s">
        <v>163</v>
      </c>
      <c r="C797" s="491" t="s">
        <v>1872</v>
      </c>
      <c r="D797" s="491" t="s">
        <v>1872</v>
      </c>
      <c r="E797" s="492" t="s">
        <v>32</v>
      </c>
      <c r="F797" s="493">
        <v>150670.0</v>
      </c>
      <c r="G797" s="493">
        <v>11355.0</v>
      </c>
      <c r="H797" s="493">
        <v>7.54</v>
      </c>
      <c r="I797" s="493">
        <v>1.35</v>
      </c>
      <c r="J797" s="493">
        <v>1.09</v>
      </c>
      <c r="K797" s="493">
        <v>1149910.0</v>
      </c>
      <c r="L797" s="493">
        <v>8.5251895E7</v>
      </c>
      <c r="M797" s="493">
        <v>7.632</v>
      </c>
      <c r="N797" s="6">
        <v>101.269</v>
      </c>
    </row>
    <row r="798">
      <c r="A798" s="491" t="s">
        <v>2020</v>
      </c>
      <c r="B798" s="491" t="s">
        <v>163</v>
      </c>
      <c r="C798" s="491" t="s">
        <v>1872</v>
      </c>
      <c r="D798" s="491" t="s">
        <v>1872</v>
      </c>
      <c r="E798" s="492" t="s">
        <v>312</v>
      </c>
      <c r="F798" s="493">
        <v>150670.0</v>
      </c>
      <c r="G798" s="493">
        <v>8718.0</v>
      </c>
      <c r="H798" s="493">
        <v>5.79</v>
      </c>
      <c r="I798" s="493">
        <v>1.11</v>
      </c>
      <c r="J798" s="493">
        <v>0.83</v>
      </c>
      <c r="K798" s="493">
        <v>946175.0</v>
      </c>
      <c r="L798" s="493">
        <v>8.5251895E7</v>
      </c>
      <c r="M798" s="493">
        <v>6.2798</v>
      </c>
      <c r="N798" s="6">
        <v>108.5312</v>
      </c>
    </row>
    <row r="799">
      <c r="A799" s="491" t="s">
        <v>2020</v>
      </c>
      <c r="B799" s="491" t="s">
        <v>163</v>
      </c>
      <c r="C799" s="491" t="s">
        <v>1872</v>
      </c>
      <c r="D799" s="491" t="s">
        <v>1872</v>
      </c>
      <c r="E799" s="492" t="s">
        <v>369</v>
      </c>
      <c r="F799" s="493">
        <v>150670.0</v>
      </c>
      <c r="G799" s="493">
        <v>26046.0</v>
      </c>
      <c r="H799" s="493">
        <v>17.29</v>
      </c>
      <c r="I799" s="493">
        <v>1.02</v>
      </c>
      <c r="J799" s="493">
        <v>0.69</v>
      </c>
      <c r="K799" s="493">
        <v>871905.0</v>
      </c>
      <c r="L799" s="493">
        <v>8.5251895E7</v>
      </c>
      <c r="M799" s="493">
        <v>5.7869</v>
      </c>
      <c r="N799" s="6">
        <v>33.4756</v>
      </c>
    </row>
    <row r="800">
      <c r="A800" s="491" t="s">
        <v>2020</v>
      </c>
      <c r="B800" s="491" t="s">
        <v>163</v>
      </c>
      <c r="C800" s="491" t="s">
        <v>1872</v>
      </c>
      <c r="D800" s="491" t="s">
        <v>1872</v>
      </c>
      <c r="E800" s="492" t="s">
        <v>35</v>
      </c>
      <c r="F800" s="493">
        <v>150670.0</v>
      </c>
      <c r="G800" s="493">
        <v>14036.0</v>
      </c>
      <c r="H800" s="493">
        <v>9.32</v>
      </c>
      <c r="I800" s="493">
        <v>0.48</v>
      </c>
      <c r="J800" s="493">
        <v>0.35</v>
      </c>
      <c r="K800" s="493">
        <v>409500.0</v>
      </c>
      <c r="L800" s="493">
        <v>8.5251895E7</v>
      </c>
      <c r="M800" s="493">
        <v>2.7179</v>
      </c>
      <c r="N800" s="6">
        <v>29.175</v>
      </c>
    </row>
    <row r="801">
      <c r="A801" s="491" t="s">
        <v>2020</v>
      </c>
      <c r="B801" s="491" t="s">
        <v>163</v>
      </c>
      <c r="C801" s="491" t="s">
        <v>1872</v>
      </c>
      <c r="D801" s="491" t="s">
        <v>1872</v>
      </c>
      <c r="E801" s="492" t="s">
        <v>189</v>
      </c>
      <c r="F801" s="493">
        <v>150670.0</v>
      </c>
      <c r="G801" s="493">
        <v>13362.0</v>
      </c>
      <c r="H801" s="493">
        <v>8.87</v>
      </c>
      <c r="I801" s="493">
        <v>0.41</v>
      </c>
      <c r="J801" s="493">
        <v>0.27</v>
      </c>
      <c r="K801" s="493">
        <v>345900.0</v>
      </c>
      <c r="L801" s="493">
        <v>8.5251895E7</v>
      </c>
      <c r="M801" s="493">
        <v>2.2957</v>
      </c>
      <c r="N801" s="6">
        <v>25.8868</v>
      </c>
    </row>
    <row r="802">
      <c r="A802" s="491" t="s">
        <v>2020</v>
      </c>
      <c r="B802" s="491" t="s">
        <v>163</v>
      </c>
      <c r="C802" s="491" t="s">
        <v>1872</v>
      </c>
      <c r="D802" s="491" t="s">
        <v>1872</v>
      </c>
      <c r="E802" s="492" t="s">
        <v>311</v>
      </c>
      <c r="F802" s="493">
        <v>150670.0</v>
      </c>
      <c r="G802" s="493">
        <v>2524.0</v>
      </c>
      <c r="H802" s="493">
        <v>1.68</v>
      </c>
      <c r="I802" s="493">
        <v>0.28</v>
      </c>
      <c r="J802" s="493">
        <v>0.28</v>
      </c>
      <c r="K802" s="493">
        <v>237850.0</v>
      </c>
      <c r="L802" s="493">
        <v>8.5251895E7</v>
      </c>
      <c r="M802" s="493">
        <v>1.5786</v>
      </c>
      <c r="N802" s="6">
        <v>94.2353</v>
      </c>
    </row>
    <row r="803">
      <c r="A803" s="491" t="s">
        <v>2020</v>
      </c>
      <c r="B803" s="491" t="s">
        <v>163</v>
      </c>
      <c r="C803" s="491" t="s">
        <v>1872</v>
      </c>
      <c r="D803" s="491" t="s">
        <v>1872</v>
      </c>
      <c r="E803" s="492" t="s">
        <v>43</v>
      </c>
      <c r="F803" s="493">
        <v>150670.0</v>
      </c>
      <c r="G803" s="493">
        <v>1147.0</v>
      </c>
      <c r="H803" s="493">
        <v>0.76</v>
      </c>
      <c r="I803" s="493">
        <v>0.2</v>
      </c>
      <c r="J803" s="493">
        <v>0.13</v>
      </c>
      <c r="K803" s="493">
        <v>172050.0</v>
      </c>
      <c r="L803" s="493">
        <v>8.5251895E7</v>
      </c>
      <c r="M803" s="493">
        <v>1.1419</v>
      </c>
      <c r="N803" s="6">
        <v>150.0</v>
      </c>
    </row>
    <row r="804">
      <c r="A804" s="491" t="s">
        <v>2020</v>
      </c>
      <c r="B804" s="491" t="s">
        <v>163</v>
      </c>
      <c r="C804" s="491" t="s">
        <v>69</v>
      </c>
      <c r="D804" s="491" t="s">
        <v>565</v>
      </c>
      <c r="E804" s="492" t="s">
        <v>371</v>
      </c>
      <c r="F804" s="493">
        <v>141008.0</v>
      </c>
      <c r="G804" s="493">
        <v>110119.0</v>
      </c>
      <c r="H804" s="493">
        <v>78.09</v>
      </c>
      <c r="I804" s="493">
        <v>33.68</v>
      </c>
      <c r="J804" s="493">
        <v>32.62</v>
      </c>
      <c r="K804" s="493">
        <v>425013.0</v>
      </c>
      <c r="L804" s="493">
        <v>1261884.0</v>
      </c>
      <c r="M804" s="493">
        <v>3.0141</v>
      </c>
      <c r="N804" s="6">
        <v>3.8596</v>
      </c>
    </row>
    <row r="805">
      <c r="A805" s="491" t="s">
        <v>2020</v>
      </c>
      <c r="B805" s="491" t="s">
        <v>163</v>
      </c>
      <c r="C805" s="491" t="s">
        <v>69</v>
      </c>
      <c r="D805" s="491" t="s">
        <v>565</v>
      </c>
      <c r="E805" s="492" t="s">
        <v>372</v>
      </c>
      <c r="F805" s="493">
        <v>141008.0</v>
      </c>
      <c r="G805" s="493">
        <v>82555.0</v>
      </c>
      <c r="H805" s="493">
        <v>58.55</v>
      </c>
      <c r="I805" s="493">
        <v>18.3</v>
      </c>
      <c r="J805" s="493">
        <v>17.44</v>
      </c>
      <c r="K805" s="493">
        <v>230945.0</v>
      </c>
      <c r="L805" s="493">
        <v>1261884.0</v>
      </c>
      <c r="M805" s="493">
        <v>1.6378</v>
      </c>
      <c r="N805" s="6">
        <v>2.7975</v>
      </c>
    </row>
    <row r="806">
      <c r="A806" s="491" t="s">
        <v>2020</v>
      </c>
      <c r="B806" s="491" t="s">
        <v>163</v>
      </c>
      <c r="C806" s="491" t="s">
        <v>69</v>
      </c>
      <c r="D806" s="491" t="s">
        <v>565</v>
      </c>
      <c r="E806" s="492" t="s">
        <v>368</v>
      </c>
      <c r="F806" s="493">
        <v>141008.0</v>
      </c>
      <c r="G806" s="493">
        <v>49214.0</v>
      </c>
      <c r="H806" s="493">
        <v>34.9</v>
      </c>
      <c r="I806" s="493">
        <v>13.3</v>
      </c>
      <c r="J806" s="493">
        <v>11.43</v>
      </c>
      <c r="K806" s="493">
        <v>167834.0</v>
      </c>
      <c r="L806" s="493">
        <v>1261884.0</v>
      </c>
      <c r="M806" s="493">
        <v>1.1902</v>
      </c>
      <c r="N806" s="6">
        <v>3.4103</v>
      </c>
    </row>
    <row r="807">
      <c r="A807" s="491" t="s">
        <v>2020</v>
      </c>
      <c r="B807" s="491" t="s">
        <v>163</v>
      </c>
      <c r="C807" s="491" t="s">
        <v>69</v>
      </c>
      <c r="D807" s="491" t="s">
        <v>565</v>
      </c>
      <c r="E807" s="492" t="s">
        <v>370</v>
      </c>
      <c r="F807" s="493">
        <v>141008.0</v>
      </c>
      <c r="G807" s="493">
        <v>87633.0</v>
      </c>
      <c r="H807" s="493">
        <v>62.15</v>
      </c>
      <c r="I807" s="493">
        <v>11.96</v>
      </c>
      <c r="J807" s="493">
        <v>15.9</v>
      </c>
      <c r="K807" s="493">
        <v>150894.0</v>
      </c>
      <c r="L807" s="493">
        <v>1261884.0</v>
      </c>
      <c r="M807" s="493">
        <v>1.0701</v>
      </c>
      <c r="N807" s="6">
        <v>1.7219</v>
      </c>
    </row>
    <row r="808">
      <c r="A808" s="491" t="s">
        <v>2020</v>
      </c>
      <c r="B808" s="491" t="s">
        <v>163</v>
      </c>
      <c r="C808" s="491" t="s">
        <v>69</v>
      </c>
      <c r="D808" s="491" t="s">
        <v>565</v>
      </c>
      <c r="E808" s="492" t="s">
        <v>44</v>
      </c>
      <c r="F808" s="493">
        <v>141008.0</v>
      </c>
      <c r="G808" s="493">
        <v>82273.0</v>
      </c>
      <c r="H808" s="493">
        <v>58.35</v>
      </c>
      <c r="I808" s="493">
        <v>11.52</v>
      </c>
      <c r="J808" s="493">
        <v>13.01</v>
      </c>
      <c r="K808" s="493">
        <v>145406.0</v>
      </c>
      <c r="L808" s="493">
        <v>1261884.0</v>
      </c>
      <c r="M808" s="493">
        <v>1.0312</v>
      </c>
      <c r="N808" s="6">
        <v>1.7674</v>
      </c>
    </row>
    <row r="809">
      <c r="A809" s="491" t="s">
        <v>2020</v>
      </c>
      <c r="B809" s="491" t="s">
        <v>163</v>
      </c>
      <c r="C809" s="491" t="s">
        <v>69</v>
      </c>
      <c r="D809" s="491" t="s">
        <v>565</v>
      </c>
      <c r="E809" s="492" t="s">
        <v>49</v>
      </c>
      <c r="F809" s="493">
        <v>141008.0</v>
      </c>
      <c r="G809" s="493">
        <v>38668.0</v>
      </c>
      <c r="H809" s="493">
        <v>27.42</v>
      </c>
      <c r="I809" s="493">
        <v>5.18</v>
      </c>
      <c r="J809" s="493">
        <v>4.36</v>
      </c>
      <c r="K809" s="493">
        <v>65398.0</v>
      </c>
      <c r="L809" s="493">
        <v>1261884.0</v>
      </c>
      <c r="M809" s="493">
        <v>0.4638</v>
      </c>
      <c r="N809" s="6">
        <v>1.6913</v>
      </c>
    </row>
    <row r="810">
      <c r="A810" s="491" t="s">
        <v>2020</v>
      </c>
      <c r="B810" s="491" t="s">
        <v>163</v>
      </c>
      <c r="C810" s="491" t="s">
        <v>69</v>
      </c>
      <c r="D810" s="491" t="s">
        <v>565</v>
      </c>
      <c r="E810" s="492" t="s">
        <v>366</v>
      </c>
      <c r="F810" s="493">
        <v>141008.0</v>
      </c>
      <c r="G810" s="493">
        <v>21522.0</v>
      </c>
      <c r="H810" s="493">
        <v>15.26</v>
      </c>
      <c r="I810" s="493">
        <v>1.84</v>
      </c>
      <c r="J810" s="493">
        <v>2.09</v>
      </c>
      <c r="K810" s="493">
        <v>23265.0</v>
      </c>
      <c r="L810" s="493">
        <v>1261884.0</v>
      </c>
      <c r="M810" s="493">
        <v>0.165</v>
      </c>
      <c r="N810" s="6">
        <v>1.081</v>
      </c>
    </row>
    <row r="811">
      <c r="A811" s="491" t="s">
        <v>2020</v>
      </c>
      <c r="B811" s="491" t="s">
        <v>163</v>
      </c>
      <c r="C811" s="491" t="s">
        <v>69</v>
      </c>
      <c r="D811" s="491" t="s">
        <v>565</v>
      </c>
      <c r="E811" s="492" t="s">
        <v>369</v>
      </c>
      <c r="F811" s="493">
        <v>141008.0</v>
      </c>
      <c r="G811" s="493">
        <v>12643.0</v>
      </c>
      <c r="H811" s="493">
        <v>8.97</v>
      </c>
      <c r="I811" s="493">
        <v>1.23</v>
      </c>
      <c r="J811" s="493">
        <v>0.83</v>
      </c>
      <c r="K811" s="493">
        <v>15580.0</v>
      </c>
      <c r="L811" s="493">
        <v>1261884.0</v>
      </c>
      <c r="M811" s="493">
        <v>0.1105</v>
      </c>
      <c r="N811" s="6">
        <v>1.2323</v>
      </c>
    </row>
    <row r="812">
      <c r="A812" s="491" t="s">
        <v>2020</v>
      </c>
      <c r="B812" s="491" t="s">
        <v>163</v>
      </c>
      <c r="C812" s="491" t="s">
        <v>69</v>
      </c>
      <c r="D812" s="491" t="s">
        <v>565</v>
      </c>
      <c r="E812" s="492" t="s">
        <v>134</v>
      </c>
      <c r="F812" s="493">
        <v>141008.0</v>
      </c>
      <c r="G812" s="493">
        <v>8705.0</v>
      </c>
      <c r="H812" s="493">
        <v>6.17</v>
      </c>
      <c r="I812" s="493">
        <v>0.94</v>
      </c>
      <c r="J812" s="493">
        <v>0.61</v>
      </c>
      <c r="K812" s="493">
        <v>11869.0</v>
      </c>
      <c r="L812" s="493">
        <v>1261884.0</v>
      </c>
      <c r="M812" s="493">
        <v>0.0842</v>
      </c>
      <c r="N812" s="6">
        <v>1.3635</v>
      </c>
    </row>
    <row r="813">
      <c r="A813" s="491" t="s">
        <v>2020</v>
      </c>
      <c r="B813" s="491" t="s">
        <v>163</v>
      </c>
      <c r="C813" s="491" t="s">
        <v>69</v>
      </c>
      <c r="D813" s="491" t="s">
        <v>565</v>
      </c>
      <c r="E813" s="492" t="s">
        <v>42</v>
      </c>
      <c r="F813" s="493">
        <v>141008.0</v>
      </c>
      <c r="G813" s="493">
        <v>7344.0</v>
      </c>
      <c r="H813" s="493">
        <v>5.21</v>
      </c>
      <c r="I813" s="493">
        <v>0.69</v>
      </c>
      <c r="J813" s="493">
        <v>0.68</v>
      </c>
      <c r="K813" s="493">
        <v>8686.0</v>
      </c>
      <c r="L813" s="493">
        <v>1261884.0</v>
      </c>
      <c r="M813" s="493">
        <v>0.0616</v>
      </c>
      <c r="N813" s="6">
        <v>1.1827</v>
      </c>
    </row>
    <row r="814">
      <c r="A814" s="491" t="s">
        <v>2020</v>
      </c>
      <c r="B814" s="491" t="s">
        <v>163</v>
      </c>
      <c r="C814" s="491" t="s">
        <v>69</v>
      </c>
      <c r="D814" s="491" t="s">
        <v>565</v>
      </c>
      <c r="E814" s="492" t="s">
        <v>50</v>
      </c>
      <c r="F814" s="493">
        <v>141008.0</v>
      </c>
      <c r="G814" s="493">
        <v>5822.0</v>
      </c>
      <c r="H814" s="493">
        <v>4.13</v>
      </c>
      <c r="I814" s="493">
        <v>0.52</v>
      </c>
      <c r="J814" s="493">
        <v>0.35</v>
      </c>
      <c r="K814" s="493">
        <v>6523.0</v>
      </c>
      <c r="L814" s="493">
        <v>1261884.0</v>
      </c>
      <c r="M814" s="493">
        <v>0.0463</v>
      </c>
      <c r="N814" s="6">
        <v>1.1204</v>
      </c>
    </row>
    <row r="815">
      <c r="A815" s="491" t="s">
        <v>2020</v>
      </c>
      <c r="B815" s="491" t="s">
        <v>163</v>
      </c>
      <c r="C815" s="491" t="s">
        <v>69</v>
      </c>
      <c r="D815" s="491" t="s">
        <v>565</v>
      </c>
      <c r="E815" s="492" t="s">
        <v>35</v>
      </c>
      <c r="F815" s="493">
        <v>141008.0</v>
      </c>
      <c r="G815" s="493">
        <v>4127.0</v>
      </c>
      <c r="H815" s="493">
        <v>2.93</v>
      </c>
      <c r="I815" s="493">
        <v>0.36</v>
      </c>
      <c r="J815" s="493">
        <v>0.27</v>
      </c>
      <c r="K815" s="493">
        <v>4531.0</v>
      </c>
      <c r="L815" s="493">
        <v>1261884.0</v>
      </c>
      <c r="M815" s="493">
        <v>0.0321</v>
      </c>
      <c r="N815" s="6">
        <v>1.0979</v>
      </c>
    </row>
    <row r="816">
      <c r="A816" s="491" t="s">
        <v>2020</v>
      </c>
      <c r="B816" s="491" t="s">
        <v>163</v>
      </c>
      <c r="C816" s="491" t="s">
        <v>69</v>
      </c>
      <c r="D816" s="491" t="s">
        <v>565</v>
      </c>
      <c r="E816" s="492" t="s">
        <v>189</v>
      </c>
      <c r="F816" s="493">
        <v>141008.0</v>
      </c>
      <c r="G816" s="493">
        <v>3461.0</v>
      </c>
      <c r="H816" s="493">
        <v>2.45</v>
      </c>
      <c r="I816" s="493">
        <v>0.28</v>
      </c>
      <c r="J816" s="493">
        <v>0.21</v>
      </c>
      <c r="K816" s="493">
        <v>3571.0</v>
      </c>
      <c r="L816" s="493">
        <v>1261884.0</v>
      </c>
      <c r="M816" s="493">
        <v>0.0253</v>
      </c>
      <c r="N816" s="6">
        <v>1.0318</v>
      </c>
    </row>
    <row r="817">
      <c r="A817" s="491" t="s">
        <v>2020</v>
      </c>
      <c r="B817" s="491" t="s">
        <v>163</v>
      </c>
      <c r="C817" s="491" t="s">
        <v>69</v>
      </c>
      <c r="D817" s="491" t="s">
        <v>565</v>
      </c>
      <c r="E817" s="492" t="s">
        <v>43</v>
      </c>
      <c r="F817" s="493">
        <v>141008.0</v>
      </c>
      <c r="G817" s="493">
        <v>2214.0</v>
      </c>
      <c r="H817" s="493">
        <v>1.57</v>
      </c>
      <c r="I817" s="493">
        <v>0.18</v>
      </c>
      <c r="J817" s="493">
        <v>0.18</v>
      </c>
      <c r="K817" s="493">
        <v>2295.0</v>
      </c>
      <c r="L817" s="493">
        <v>1261884.0</v>
      </c>
      <c r="M817" s="493">
        <v>0.0163</v>
      </c>
      <c r="N817" s="6">
        <v>1.0366</v>
      </c>
    </row>
    <row r="818">
      <c r="A818" s="491" t="s">
        <v>2020</v>
      </c>
      <c r="B818" s="491" t="s">
        <v>163</v>
      </c>
      <c r="C818" s="491" t="s">
        <v>69</v>
      </c>
      <c r="D818" s="491" t="s">
        <v>565</v>
      </c>
      <c r="E818" s="492" t="s">
        <v>374</v>
      </c>
      <c r="F818" s="493">
        <v>141008.0</v>
      </c>
      <c r="G818" s="493">
        <v>1.0</v>
      </c>
      <c r="H818" s="493">
        <v>0.0</v>
      </c>
      <c r="I818" s="493">
        <v>0.0</v>
      </c>
      <c r="J818" s="493">
        <v>0.0</v>
      </c>
      <c r="K818" s="493">
        <v>2.0</v>
      </c>
      <c r="L818" s="493">
        <v>1261884.0</v>
      </c>
      <c r="M818" s="493">
        <v>0.0</v>
      </c>
      <c r="N818" s="6">
        <v>2.0</v>
      </c>
    </row>
    <row r="819">
      <c r="A819" s="491" t="s">
        <v>2020</v>
      </c>
      <c r="B819" s="491" t="s">
        <v>163</v>
      </c>
      <c r="C819" s="491" t="s">
        <v>69</v>
      </c>
      <c r="D819" s="491" t="s">
        <v>565</v>
      </c>
      <c r="E819" s="492" t="s">
        <v>310</v>
      </c>
      <c r="F819" s="493">
        <v>141008.0</v>
      </c>
      <c r="G819" s="493">
        <v>2.0</v>
      </c>
      <c r="H819" s="493">
        <v>0.0</v>
      </c>
      <c r="I819" s="493">
        <v>0.0</v>
      </c>
      <c r="J819" s="493">
        <v>0.0</v>
      </c>
      <c r="K819" s="493">
        <v>3.0</v>
      </c>
      <c r="L819" s="493">
        <v>1261884.0</v>
      </c>
      <c r="M819" s="493">
        <v>0.0</v>
      </c>
      <c r="N819" s="6">
        <v>1.5</v>
      </c>
    </row>
    <row r="820">
      <c r="A820" s="491" t="s">
        <v>2020</v>
      </c>
      <c r="B820" s="491" t="s">
        <v>163</v>
      </c>
      <c r="C820" s="491" t="s">
        <v>69</v>
      </c>
      <c r="D820" s="491" t="s">
        <v>565</v>
      </c>
      <c r="E820" s="492" t="s">
        <v>312</v>
      </c>
      <c r="F820" s="493">
        <v>141008.0</v>
      </c>
      <c r="G820" s="493">
        <v>5.0</v>
      </c>
      <c r="H820" s="493">
        <v>0.0</v>
      </c>
      <c r="I820" s="493">
        <v>0.0</v>
      </c>
      <c r="J820" s="493">
        <v>0.0</v>
      </c>
      <c r="K820" s="493">
        <v>5.0</v>
      </c>
      <c r="L820" s="493">
        <v>1261884.0</v>
      </c>
      <c r="M820" s="493">
        <v>0.0</v>
      </c>
      <c r="N820" s="6">
        <v>1.0</v>
      </c>
    </row>
    <row r="821">
      <c r="A821" s="491" t="s">
        <v>2020</v>
      </c>
      <c r="B821" s="491" t="s">
        <v>163</v>
      </c>
      <c r="C821" s="491" t="s">
        <v>69</v>
      </c>
      <c r="D821" s="491" t="s">
        <v>565</v>
      </c>
      <c r="E821" s="492" t="s">
        <v>311</v>
      </c>
      <c r="F821" s="493">
        <v>141008.0</v>
      </c>
      <c r="G821" s="493">
        <v>1.0</v>
      </c>
      <c r="H821" s="493">
        <v>0.0</v>
      </c>
      <c r="I821" s="493">
        <v>0.0</v>
      </c>
      <c r="J821" s="493">
        <v>0.0</v>
      </c>
      <c r="K821" s="493">
        <v>1.0</v>
      </c>
      <c r="L821" s="493">
        <v>1261884.0</v>
      </c>
      <c r="M821" s="493">
        <v>0.0</v>
      </c>
      <c r="N821" s="6">
        <v>1.0</v>
      </c>
    </row>
    <row r="822">
      <c r="A822" s="491" t="s">
        <v>2020</v>
      </c>
      <c r="B822" s="491" t="s">
        <v>163</v>
      </c>
      <c r="C822" s="491" t="s">
        <v>69</v>
      </c>
      <c r="D822" s="491" t="s">
        <v>565</v>
      </c>
      <c r="E822" s="492" t="s">
        <v>32</v>
      </c>
      <c r="F822" s="493">
        <v>141008.0</v>
      </c>
      <c r="G822" s="493">
        <v>52.0</v>
      </c>
      <c r="H822" s="493">
        <v>0.04</v>
      </c>
      <c r="I822" s="493">
        <v>0.0</v>
      </c>
      <c r="J822" s="493">
        <v>0.01</v>
      </c>
      <c r="K822" s="493">
        <v>63.0</v>
      </c>
      <c r="L822" s="493">
        <v>1261884.0</v>
      </c>
      <c r="M822" s="493">
        <v>4.0E-4</v>
      </c>
      <c r="N822" s="6">
        <v>1.2115</v>
      </c>
    </row>
    <row r="823">
      <c r="A823" s="491" t="s">
        <v>2020</v>
      </c>
      <c r="B823" s="491" t="s">
        <v>163</v>
      </c>
      <c r="C823" s="491" t="s">
        <v>73</v>
      </c>
      <c r="D823" s="491" t="s">
        <v>565</v>
      </c>
      <c r="E823" s="492" t="s">
        <v>371</v>
      </c>
      <c r="F823" s="493">
        <v>126195.0</v>
      </c>
      <c r="G823" s="493">
        <v>95923.0</v>
      </c>
      <c r="H823" s="493">
        <v>76.01</v>
      </c>
      <c r="I823" s="493">
        <v>26.28</v>
      </c>
      <c r="J823" s="493">
        <v>30.44</v>
      </c>
      <c r="K823" s="493">
        <v>238561.0</v>
      </c>
      <c r="L823" s="493">
        <v>907778.0</v>
      </c>
      <c r="M823" s="493">
        <v>1.8904</v>
      </c>
      <c r="N823" s="6">
        <v>2.487</v>
      </c>
    </row>
    <row r="824">
      <c r="A824" s="491" t="s">
        <v>2020</v>
      </c>
      <c r="B824" s="491" t="s">
        <v>163</v>
      </c>
      <c r="C824" s="491" t="s">
        <v>73</v>
      </c>
      <c r="D824" s="491" t="s">
        <v>565</v>
      </c>
      <c r="E824" s="492" t="s">
        <v>367</v>
      </c>
      <c r="F824" s="493">
        <v>126195.0</v>
      </c>
      <c r="G824" s="493">
        <v>57098.0</v>
      </c>
      <c r="H824" s="493">
        <v>45.25</v>
      </c>
      <c r="I824" s="493">
        <v>11.3</v>
      </c>
      <c r="J824" s="493">
        <v>9.39</v>
      </c>
      <c r="K824" s="493">
        <v>102612.0</v>
      </c>
      <c r="L824" s="493">
        <v>907778.0</v>
      </c>
      <c r="M824" s="493">
        <v>0.8131</v>
      </c>
      <c r="N824" s="6">
        <v>1.7971</v>
      </c>
    </row>
    <row r="825">
      <c r="A825" s="491" t="s">
        <v>2020</v>
      </c>
      <c r="B825" s="491" t="s">
        <v>163</v>
      </c>
      <c r="C825" s="491" t="s">
        <v>73</v>
      </c>
      <c r="D825" s="491" t="s">
        <v>565</v>
      </c>
      <c r="E825" s="492" t="s">
        <v>365</v>
      </c>
      <c r="F825" s="493">
        <v>126195.0</v>
      </c>
      <c r="G825" s="493">
        <v>26582.0</v>
      </c>
      <c r="H825" s="493">
        <v>21.06</v>
      </c>
      <c r="I825" s="493">
        <v>9.01</v>
      </c>
      <c r="J825" s="493">
        <v>5.52</v>
      </c>
      <c r="K825" s="493">
        <v>81754.0</v>
      </c>
      <c r="L825" s="493">
        <v>907778.0</v>
      </c>
      <c r="M825" s="493">
        <v>0.6478</v>
      </c>
      <c r="N825" s="6">
        <v>3.0755</v>
      </c>
    </row>
    <row r="826">
      <c r="A826" s="491" t="s">
        <v>2020</v>
      </c>
      <c r="B826" s="491" t="s">
        <v>163</v>
      </c>
      <c r="C826" s="491" t="s">
        <v>73</v>
      </c>
      <c r="D826" s="491" t="s">
        <v>565</v>
      </c>
      <c r="E826" s="492" t="s">
        <v>372</v>
      </c>
      <c r="F826" s="493">
        <v>126195.0</v>
      </c>
      <c r="G826" s="493">
        <v>51162.0</v>
      </c>
      <c r="H826" s="493">
        <v>40.54</v>
      </c>
      <c r="I826" s="493">
        <v>8.81</v>
      </c>
      <c r="J826" s="493">
        <v>8.38</v>
      </c>
      <c r="K826" s="493">
        <v>79945.0</v>
      </c>
      <c r="L826" s="493">
        <v>907778.0</v>
      </c>
      <c r="M826" s="493">
        <v>0.6335</v>
      </c>
      <c r="N826" s="6">
        <v>1.5626</v>
      </c>
    </row>
    <row r="827">
      <c r="A827" s="491" t="s">
        <v>2020</v>
      </c>
      <c r="B827" s="491" t="s">
        <v>163</v>
      </c>
      <c r="C827" s="491" t="s">
        <v>73</v>
      </c>
      <c r="D827" s="491" t="s">
        <v>565</v>
      </c>
      <c r="E827" s="492" t="s">
        <v>366</v>
      </c>
      <c r="F827" s="493">
        <v>126195.0</v>
      </c>
      <c r="G827" s="493">
        <v>55005.0</v>
      </c>
      <c r="H827" s="493">
        <v>43.59</v>
      </c>
      <c r="I827" s="493">
        <v>7.69</v>
      </c>
      <c r="J827" s="493">
        <v>10.7</v>
      </c>
      <c r="K827" s="493">
        <v>69805.0</v>
      </c>
      <c r="L827" s="493">
        <v>907778.0</v>
      </c>
      <c r="M827" s="493">
        <v>0.5532</v>
      </c>
      <c r="N827" s="6">
        <v>1.2691</v>
      </c>
    </row>
    <row r="828">
      <c r="A828" s="491" t="s">
        <v>2020</v>
      </c>
      <c r="B828" s="491" t="s">
        <v>163</v>
      </c>
      <c r="C828" s="491" t="s">
        <v>73</v>
      </c>
      <c r="D828" s="491" t="s">
        <v>565</v>
      </c>
      <c r="E828" s="492" t="s">
        <v>42</v>
      </c>
      <c r="F828" s="493">
        <v>126195.0</v>
      </c>
      <c r="G828" s="493">
        <v>37577.0</v>
      </c>
      <c r="H828" s="493">
        <v>29.78</v>
      </c>
      <c r="I828" s="493">
        <v>7.05</v>
      </c>
      <c r="J828" s="493">
        <v>7.12</v>
      </c>
      <c r="K828" s="493">
        <v>63982.0</v>
      </c>
      <c r="L828" s="493">
        <v>907778.0</v>
      </c>
      <c r="M828" s="493">
        <v>0.507</v>
      </c>
      <c r="N828" s="6">
        <v>1.7027</v>
      </c>
    </row>
    <row r="829">
      <c r="A829" s="491" t="s">
        <v>2020</v>
      </c>
      <c r="B829" s="491" t="s">
        <v>163</v>
      </c>
      <c r="C829" s="491" t="s">
        <v>73</v>
      </c>
      <c r="D829" s="491" t="s">
        <v>565</v>
      </c>
      <c r="E829" s="492" t="s">
        <v>370</v>
      </c>
      <c r="F829" s="493">
        <v>126195.0</v>
      </c>
      <c r="G829" s="493">
        <v>33175.0</v>
      </c>
      <c r="H829" s="493">
        <v>26.29</v>
      </c>
      <c r="I829" s="493">
        <v>5.58</v>
      </c>
      <c r="J829" s="493">
        <v>5.31</v>
      </c>
      <c r="K829" s="493">
        <v>50690.0</v>
      </c>
      <c r="L829" s="493">
        <v>907778.0</v>
      </c>
      <c r="M829" s="493">
        <v>0.4017</v>
      </c>
      <c r="N829" s="6">
        <v>1.528</v>
      </c>
    </row>
    <row r="830">
      <c r="A830" s="491" t="s">
        <v>2020</v>
      </c>
      <c r="B830" s="491" t="s">
        <v>163</v>
      </c>
      <c r="C830" s="491" t="s">
        <v>73</v>
      </c>
      <c r="D830" s="491" t="s">
        <v>565</v>
      </c>
      <c r="E830" s="492" t="s">
        <v>44</v>
      </c>
      <c r="F830" s="493">
        <v>126195.0</v>
      </c>
      <c r="G830" s="493">
        <v>31292.0</v>
      </c>
      <c r="H830" s="493">
        <v>24.8</v>
      </c>
      <c r="I830" s="493">
        <v>5.0</v>
      </c>
      <c r="J830" s="493">
        <v>3.47</v>
      </c>
      <c r="K830" s="493">
        <v>45389.0</v>
      </c>
      <c r="L830" s="493">
        <v>907778.0</v>
      </c>
      <c r="M830" s="493">
        <v>0.3597</v>
      </c>
      <c r="N830" s="6">
        <v>1.4505</v>
      </c>
    </row>
    <row r="831">
      <c r="A831" s="491" t="s">
        <v>2020</v>
      </c>
      <c r="B831" s="491" t="s">
        <v>163</v>
      </c>
      <c r="C831" s="491" t="s">
        <v>73</v>
      </c>
      <c r="D831" s="491" t="s">
        <v>565</v>
      </c>
      <c r="E831" s="492" t="s">
        <v>50</v>
      </c>
      <c r="F831" s="493">
        <v>126195.0</v>
      </c>
      <c r="G831" s="493">
        <v>28931.0</v>
      </c>
      <c r="H831" s="493">
        <v>22.93</v>
      </c>
      <c r="I831" s="493">
        <v>4.32</v>
      </c>
      <c r="J831" s="493">
        <v>4.17</v>
      </c>
      <c r="K831" s="493">
        <v>39223.0</v>
      </c>
      <c r="L831" s="493">
        <v>907778.0</v>
      </c>
      <c r="M831" s="493">
        <v>0.3108</v>
      </c>
      <c r="N831" s="6">
        <v>1.3557</v>
      </c>
    </row>
    <row r="832">
      <c r="A832" s="491" t="s">
        <v>2020</v>
      </c>
      <c r="B832" s="491" t="s">
        <v>163</v>
      </c>
      <c r="C832" s="491" t="s">
        <v>73</v>
      </c>
      <c r="D832" s="491" t="s">
        <v>565</v>
      </c>
      <c r="E832" s="492" t="s">
        <v>134</v>
      </c>
      <c r="F832" s="493">
        <v>126195.0</v>
      </c>
      <c r="G832" s="493">
        <v>19281.0</v>
      </c>
      <c r="H832" s="493">
        <v>15.28</v>
      </c>
      <c r="I832" s="493">
        <v>3.35</v>
      </c>
      <c r="J832" s="493">
        <v>4.03</v>
      </c>
      <c r="K832" s="493">
        <v>30409.0</v>
      </c>
      <c r="L832" s="493">
        <v>907778.0</v>
      </c>
      <c r="M832" s="493">
        <v>0.241</v>
      </c>
      <c r="N832" s="6">
        <v>1.5771</v>
      </c>
    </row>
    <row r="833">
      <c r="A833" s="491" t="s">
        <v>2020</v>
      </c>
      <c r="B833" s="491" t="s">
        <v>163</v>
      </c>
      <c r="C833" s="491" t="s">
        <v>73</v>
      </c>
      <c r="D833" s="491" t="s">
        <v>565</v>
      </c>
      <c r="E833" s="492" t="s">
        <v>40</v>
      </c>
      <c r="F833" s="493">
        <v>126195.0</v>
      </c>
      <c r="G833" s="493">
        <v>8645.0</v>
      </c>
      <c r="H833" s="493">
        <v>6.85</v>
      </c>
      <c r="I833" s="493">
        <v>3.02</v>
      </c>
      <c r="J833" s="493">
        <v>2.27</v>
      </c>
      <c r="K833" s="493">
        <v>27380.0</v>
      </c>
      <c r="L833" s="493">
        <v>907778.0</v>
      </c>
      <c r="M833" s="493">
        <v>0.217</v>
      </c>
      <c r="N833" s="6">
        <v>3.1671</v>
      </c>
    </row>
    <row r="834">
      <c r="A834" s="491" t="s">
        <v>2020</v>
      </c>
      <c r="B834" s="491" t="s">
        <v>163</v>
      </c>
      <c r="C834" s="491" t="s">
        <v>73</v>
      </c>
      <c r="D834" s="491" t="s">
        <v>565</v>
      </c>
      <c r="E834" s="492" t="s">
        <v>310</v>
      </c>
      <c r="F834" s="493">
        <v>126195.0</v>
      </c>
      <c r="G834" s="493">
        <v>21736.0</v>
      </c>
      <c r="H834" s="493">
        <v>17.22</v>
      </c>
      <c r="I834" s="493">
        <v>2.86</v>
      </c>
      <c r="J834" s="493">
        <v>2.91</v>
      </c>
      <c r="K834" s="493">
        <v>25993.0</v>
      </c>
      <c r="L834" s="493">
        <v>907778.0</v>
      </c>
      <c r="M834" s="493">
        <v>0.206</v>
      </c>
      <c r="N834" s="6">
        <v>1.1959</v>
      </c>
    </row>
    <row r="835">
      <c r="A835" s="491" t="s">
        <v>2020</v>
      </c>
      <c r="B835" s="491" t="s">
        <v>163</v>
      </c>
      <c r="C835" s="491" t="s">
        <v>73</v>
      </c>
      <c r="D835" s="491" t="s">
        <v>565</v>
      </c>
      <c r="E835" s="492" t="s">
        <v>32</v>
      </c>
      <c r="F835" s="493">
        <v>126195.0</v>
      </c>
      <c r="G835" s="493">
        <v>21193.0</v>
      </c>
      <c r="H835" s="493">
        <v>16.79</v>
      </c>
      <c r="I835" s="493">
        <v>2.74</v>
      </c>
      <c r="J835" s="493">
        <v>2.96</v>
      </c>
      <c r="K835" s="493">
        <v>24850.0</v>
      </c>
      <c r="L835" s="493">
        <v>907778.0</v>
      </c>
      <c r="M835" s="493">
        <v>0.1969</v>
      </c>
      <c r="N835" s="6">
        <v>1.1726</v>
      </c>
    </row>
    <row r="836">
      <c r="A836" s="491" t="s">
        <v>2020</v>
      </c>
      <c r="B836" s="491" t="s">
        <v>163</v>
      </c>
      <c r="C836" s="491" t="s">
        <v>73</v>
      </c>
      <c r="D836" s="491" t="s">
        <v>565</v>
      </c>
      <c r="E836" s="492" t="s">
        <v>312</v>
      </c>
      <c r="F836" s="493">
        <v>126195.0</v>
      </c>
      <c r="G836" s="493">
        <v>16894.0</v>
      </c>
      <c r="H836" s="493">
        <v>13.39</v>
      </c>
      <c r="I836" s="493">
        <v>2.25</v>
      </c>
      <c r="J836" s="493">
        <v>2.38</v>
      </c>
      <c r="K836" s="493">
        <v>20388.0</v>
      </c>
      <c r="L836" s="493">
        <v>907778.0</v>
      </c>
      <c r="M836" s="493">
        <v>0.1616</v>
      </c>
      <c r="N836" s="6">
        <v>1.2068</v>
      </c>
    </row>
    <row r="837">
      <c r="A837" s="491" t="s">
        <v>2020</v>
      </c>
      <c r="B837" s="491" t="s">
        <v>163</v>
      </c>
      <c r="C837" s="491" t="s">
        <v>73</v>
      </c>
      <c r="D837" s="491" t="s">
        <v>565</v>
      </c>
      <c r="E837" s="492" t="s">
        <v>311</v>
      </c>
      <c r="F837" s="493">
        <v>126195.0</v>
      </c>
      <c r="G837" s="493">
        <v>5334.0</v>
      </c>
      <c r="H837" s="493">
        <v>4.23</v>
      </c>
      <c r="I837" s="493">
        <v>0.6</v>
      </c>
      <c r="J837" s="493">
        <v>0.8</v>
      </c>
      <c r="K837" s="493">
        <v>5480.0</v>
      </c>
      <c r="L837" s="493">
        <v>907778.0</v>
      </c>
      <c r="M837" s="493">
        <v>0.0434</v>
      </c>
      <c r="N837" s="6">
        <v>1.0274</v>
      </c>
    </row>
    <row r="838">
      <c r="A838" s="491" t="s">
        <v>2020</v>
      </c>
      <c r="B838" s="491" t="s">
        <v>163</v>
      </c>
      <c r="C838" s="491" t="s">
        <v>73</v>
      </c>
      <c r="D838" s="491" t="s">
        <v>565</v>
      </c>
      <c r="E838" s="492" t="s">
        <v>43</v>
      </c>
      <c r="F838" s="493">
        <v>126195.0</v>
      </c>
      <c r="G838" s="493">
        <v>1127.0</v>
      </c>
      <c r="H838" s="493">
        <v>0.89</v>
      </c>
      <c r="I838" s="493">
        <v>0.13</v>
      </c>
      <c r="J838" s="493">
        <v>0.14</v>
      </c>
      <c r="K838" s="493">
        <v>1196.0</v>
      </c>
      <c r="L838" s="493">
        <v>907778.0</v>
      </c>
      <c r="M838" s="493">
        <v>0.0095</v>
      </c>
      <c r="N838" s="6">
        <v>1.0612</v>
      </c>
    </row>
    <row r="839">
      <c r="A839" s="491" t="s">
        <v>2020</v>
      </c>
      <c r="B839" s="491" t="s">
        <v>163</v>
      </c>
      <c r="C839" s="491" t="s">
        <v>73</v>
      </c>
      <c r="D839" s="491" t="s">
        <v>565</v>
      </c>
      <c r="E839" s="492" t="s">
        <v>35</v>
      </c>
      <c r="F839" s="493">
        <v>126195.0</v>
      </c>
      <c r="G839" s="493">
        <v>86.0</v>
      </c>
      <c r="H839" s="493">
        <v>0.07</v>
      </c>
      <c r="I839" s="493">
        <v>0.01</v>
      </c>
      <c r="J839" s="493">
        <v>0.01</v>
      </c>
      <c r="K839" s="493">
        <v>90.0</v>
      </c>
      <c r="L839" s="493">
        <v>907778.0</v>
      </c>
      <c r="M839" s="493">
        <v>7.0E-4</v>
      </c>
      <c r="N839" s="6">
        <v>1.0465</v>
      </c>
    </row>
    <row r="840">
      <c r="A840" s="491" t="s">
        <v>2020</v>
      </c>
      <c r="B840" s="491" t="s">
        <v>163</v>
      </c>
      <c r="C840" s="491" t="s">
        <v>73</v>
      </c>
      <c r="D840" s="491" t="s">
        <v>565</v>
      </c>
      <c r="E840" s="492" t="s">
        <v>369</v>
      </c>
      <c r="F840" s="493">
        <v>126195.0</v>
      </c>
      <c r="G840" s="493">
        <v>1.0</v>
      </c>
      <c r="H840" s="493">
        <v>0.0</v>
      </c>
      <c r="I840" s="493">
        <v>0.0</v>
      </c>
      <c r="J840" s="493">
        <v>0.0</v>
      </c>
      <c r="K840" s="493">
        <v>1.0</v>
      </c>
      <c r="L840" s="493">
        <v>907778.0</v>
      </c>
      <c r="M840" s="493">
        <v>0.0</v>
      </c>
      <c r="N840" s="6">
        <v>1.0</v>
      </c>
    </row>
    <row r="841">
      <c r="A841" s="491" t="s">
        <v>2020</v>
      </c>
      <c r="B841" s="491" t="s">
        <v>163</v>
      </c>
      <c r="C841" s="491" t="s">
        <v>73</v>
      </c>
      <c r="D841" s="491" t="s">
        <v>565</v>
      </c>
      <c r="E841" s="492" t="s">
        <v>368</v>
      </c>
      <c r="F841" s="493">
        <v>126195.0</v>
      </c>
      <c r="G841" s="493">
        <v>10.0</v>
      </c>
      <c r="H841" s="493">
        <v>0.01</v>
      </c>
      <c r="I841" s="493">
        <v>0.0</v>
      </c>
      <c r="J841" s="493">
        <v>0.0</v>
      </c>
      <c r="K841" s="493">
        <v>21.0</v>
      </c>
      <c r="L841" s="493">
        <v>907778.0</v>
      </c>
      <c r="M841" s="493">
        <v>2.0E-4</v>
      </c>
      <c r="N841" s="6">
        <v>2.1</v>
      </c>
    </row>
    <row r="842">
      <c r="A842" s="491" t="s">
        <v>2020</v>
      </c>
      <c r="B842" s="491" t="s">
        <v>163</v>
      </c>
      <c r="C842" s="491" t="s">
        <v>73</v>
      </c>
      <c r="D842" s="491" t="s">
        <v>565</v>
      </c>
      <c r="E842" s="492" t="s">
        <v>189</v>
      </c>
      <c r="F842" s="493">
        <v>126195.0</v>
      </c>
      <c r="G842" s="493">
        <v>9.0</v>
      </c>
      <c r="H842" s="493">
        <v>0.01</v>
      </c>
      <c r="I842" s="493">
        <v>0.0</v>
      </c>
      <c r="J842" s="493">
        <v>0.0</v>
      </c>
      <c r="K842" s="493">
        <v>9.0</v>
      </c>
      <c r="L842" s="493">
        <v>907778.0</v>
      </c>
      <c r="M842" s="493">
        <v>1.0E-4</v>
      </c>
      <c r="N842" s="6">
        <v>1.0</v>
      </c>
    </row>
    <row r="843">
      <c r="A843" s="491" t="s">
        <v>2020</v>
      </c>
      <c r="B843" s="491" t="s">
        <v>163</v>
      </c>
      <c r="C843" s="491" t="s">
        <v>72</v>
      </c>
      <c r="D843" s="491" t="s">
        <v>565</v>
      </c>
      <c r="E843" s="492" t="s">
        <v>371</v>
      </c>
      <c r="F843" s="493">
        <v>125966.0</v>
      </c>
      <c r="G843" s="493">
        <v>83276.0</v>
      </c>
      <c r="H843" s="493">
        <v>66.11</v>
      </c>
      <c r="I843" s="493">
        <v>18.29</v>
      </c>
      <c r="J843" s="493">
        <v>21.41</v>
      </c>
      <c r="K843" s="493">
        <v>179099.0</v>
      </c>
      <c r="L843" s="493">
        <v>979432.0</v>
      </c>
      <c r="M843" s="493">
        <v>1.4218</v>
      </c>
      <c r="N843" s="6">
        <v>2.1507</v>
      </c>
    </row>
    <row r="844">
      <c r="A844" s="491" t="s">
        <v>2020</v>
      </c>
      <c r="B844" s="491" t="s">
        <v>163</v>
      </c>
      <c r="C844" s="491" t="s">
        <v>72</v>
      </c>
      <c r="D844" s="491" t="s">
        <v>565</v>
      </c>
      <c r="E844" s="492" t="s">
        <v>367</v>
      </c>
      <c r="F844" s="493">
        <v>125966.0</v>
      </c>
      <c r="G844" s="493">
        <v>70327.0</v>
      </c>
      <c r="H844" s="493">
        <v>55.83</v>
      </c>
      <c r="I844" s="493">
        <v>15.78</v>
      </c>
      <c r="J844" s="493">
        <v>14.34</v>
      </c>
      <c r="K844" s="493">
        <v>154587.0</v>
      </c>
      <c r="L844" s="493">
        <v>979432.0</v>
      </c>
      <c r="M844" s="493">
        <v>1.2272</v>
      </c>
      <c r="N844" s="6">
        <v>2.1981</v>
      </c>
    </row>
    <row r="845">
      <c r="A845" s="491" t="s">
        <v>2020</v>
      </c>
      <c r="B845" s="491" t="s">
        <v>163</v>
      </c>
      <c r="C845" s="491" t="s">
        <v>72</v>
      </c>
      <c r="D845" s="491" t="s">
        <v>565</v>
      </c>
      <c r="E845" s="492" t="s">
        <v>365</v>
      </c>
      <c r="F845" s="493">
        <v>125966.0</v>
      </c>
      <c r="G845" s="493">
        <v>26722.0</v>
      </c>
      <c r="H845" s="493">
        <v>21.21</v>
      </c>
      <c r="I845" s="493">
        <v>8.32</v>
      </c>
      <c r="J845" s="493">
        <v>5.2</v>
      </c>
      <c r="K845" s="493">
        <v>81461.0</v>
      </c>
      <c r="L845" s="493">
        <v>979432.0</v>
      </c>
      <c r="M845" s="493">
        <v>0.6467</v>
      </c>
      <c r="N845" s="6">
        <v>3.0485</v>
      </c>
    </row>
    <row r="846">
      <c r="A846" s="491" t="s">
        <v>2020</v>
      </c>
      <c r="B846" s="491" t="s">
        <v>163</v>
      </c>
      <c r="C846" s="491" t="s">
        <v>72</v>
      </c>
      <c r="D846" s="491" t="s">
        <v>565</v>
      </c>
      <c r="E846" s="492" t="s">
        <v>368</v>
      </c>
      <c r="F846" s="493">
        <v>125966.0</v>
      </c>
      <c r="G846" s="493">
        <v>31810.0</v>
      </c>
      <c r="H846" s="493">
        <v>25.25</v>
      </c>
      <c r="I846" s="493">
        <v>8.25</v>
      </c>
      <c r="J846" s="493">
        <v>8.99</v>
      </c>
      <c r="K846" s="493">
        <v>80803.0</v>
      </c>
      <c r="L846" s="493">
        <v>979432.0</v>
      </c>
      <c r="M846" s="493">
        <v>0.6415</v>
      </c>
      <c r="N846" s="6">
        <v>2.5402</v>
      </c>
    </row>
    <row r="847">
      <c r="A847" s="491" t="s">
        <v>2020</v>
      </c>
      <c r="B847" s="491" t="s">
        <v>163</v>
      </c>
      <c r="C847" s="491" t="s">
        <v>72</v>
      </c>
      <c r="D847" s="491" t="s">
        <v>565</v>
      </c>
      <c r="E847" s="492" t="s">
        <v>49</v>
      </c>
      <c r="F847" s="493">
        <v>125966.0</v>
      </c>
      <c r="G847" s="493">
        <v>38668.0</v>
      </c>
      <c r="H847" s="493">
        <v>30.7</v>
      </c>
      <c r="I847" s="493">
        <v>6.68</v>
      </c>
      <c r="J847" s="493">
        <v>6.42</v>
      </c>
      <c r="K847" s="493">
        <v>65398.0</v>
      </c>
      <c r="L847" s="493">
        <v>979432.0</v>
      </c>
      <c r="M847" s="493">
        <v>0.5192</v>
      </c>
      <c r="N847" s="6">
        <v>1.6913</v>
      </c>
    </row>
    <row r="848">
      <c r="A848" s="491" t="s">
        <v>2020</v>
      </c>
      <c r="B848" s="491" t="s">
        <v>163</v>
      </c>
      <c r="C848" s="491" t="s">
        <v>72</v>
      </c>
      <c r="D848" s="491" t="s">
        <v>565</v>
      </c>
      <c r="E848" s="492" t="s">
        <v>370</v>
      </c>
      <c r="F848" s="493">
        <v>125966.0</v>
      </c>
      <c r="G848" s="493">
        <v>42969.0</v>
      </c>
      <c r="H848" s="493">
        <v>34.11</v>
      </c>
      <c r="I848" s="493">
        <v>6.45</v>
      </c>
      <c r="J848" s="493">
        <v>6.73</v>
      </c>
      <c r="K848" s="493">
        <v>63190.0</v>
      </c>
      <c r="L848" s="493">
        <v>979432.0</v>
      </c>
      <c r="M848" s="493">
        <v>0.5016</v>
      </c>
      <c r="N848" s="6">
        <v>1.4706</v>
      </c>
    </row>
    <row r="849">
      <c r="A849" s="491" t="s">
        <v>2020</v>
      </c>
      <c r="B849" s="491" t="s">
        <v>163</v>
      </c>
      <c r="C849" s="491" t="s">
        <v>72</v>
      </c>
      <c r="D849" s="491" t="s">
        <v>565</v>
      </c>
      <c r="E849" s="492" t="s">
        <v>40</v>
      </c>
      <c r="F849" s="493">
        <v>125966.0</v>
      </c>
      <c r="G849" s="493">
        <v>28226.0</v>
      </c>
      <c r="H849" s="493">
        <v>22.41</v>
      </c>
      <c r="I849" s="493">
        <v>6.02</v>
      </c>
      <c r="J849" s="493">
        <v>5.67</v>
      </c>
      <c r="K849" s="493">
        <v>58988.0</v>
      </c>
      <c r="L849" s="493">
        <v>979432.0</v>
      </c>
      <c r="M849" s="493">
        <v>0.4683</v>
      </c>
      <c r="N849" s="6">
        <v>2.0898</v>
      </c>
    </row>
    <row r="850">
      <c r="A850" s="491" t="s">
        <v>2020</v>
      </c>
      <c r="B850" s="491" t="s">
        <v>163</v>
      </c>
      <c r="C850" s="491" t="s">
        <v>72</v>
      </c>
      <c r="D850" s="491" t="s">
        <v>565</v>
      </c>
      <c r="E850" s="492" t="s">
        <v>42</v>
      </c>
      <c r="F850" s="493">
        <v>125966.0</v>
      </c>
      <c r="G850" s="493">
        <v>32295.0</v>
      </c>
      <c r="H850" s="493">
        <v>25.64</v>
      </c>
      <c r="I850" s="493">
        <v>4.91</v>
      </c>
      <c r="J850" s="493">
        <v>5.26</v>
      </c>
      <c r="K850" s="493">
        <v>48113.0</v>
      </c>
      <c r="L850" s="493">
        <v>979432.0</v>
      </c>
      <c r="M850" s="493">
        <v>0.382</v>
      </c>
      <c r="N850" s="6">
        <v>1.4898</v>
      </c>
    </row>
    <row r="851">
      <c r="A851" s="491" t="s">
        <v>2020</v>
      </c>
      <c r="B851" s="491" t="s">
        <v>163</v>
      </c>
      <c r="C851" s="491" t="s">
        <v>72</v>
      </c>
      <c r="D851" s="491" t="s">
        <v>565</v>
      </c>
      <c r="E851" s="492" t="s">
        <v>366</v>
      </c>
      <c r="F851" s="493">
        <v>125966.0</v>
      </c>
      <c r="G851" s="493">
        <v>39509.0</v>
      </c>
      <c r="H851" s="493">
        <v>31.36</v>
      </c>
      <c r="I851" s="493">
        <v>4.71</v>
      </c>
      <c r="J851" s="493">
        <v>6.23</v>
      </c>
      <c r="K851" s="493">
        <v>46117.0</v>
      </c>
      <c r="L851" s="493">
        <v>979432.0</v>
      </c>
      <c r="M851" s="493">
        <v>0.3661</v>
      </c>
      <c r="N851" s="6">
        <v>1.1673</v>
      </c>
    </row>
    <row r="852">
      <c r="A852" s="491" t="s">
        <v>2020</v>
      </c>
      <c r="B852" s="491" t="s">
        <v>163</v>
      </c>
      <c r="C852" s="491" t="s">
        <v>72</v>
      </c>
      <c r="D852" s="491" t="s">
        <v>565</v>
      </c>
      <c r="E852" s="492" t="s">
        <v>50</v>
      </c>
      <c r="F852" s="493">
        <v>125966.0</v>
      </c>
      <c r="G852" s="493">
        <v>28047.0</v>
      </c>
      <c r="H852" s="493">
        <v>22.27</v>
      </c>
      <c r="I852" s="493">
        <v>3.87</v>
      </c>
      <c r="J852" s="493">
        <v>3.52</v>
      </c>
      <c r="K852" s="493">
        <v>37868.0</v>
      </c>
      <c r="L852" s="493">
        <v>979432.0</v>
      </c>
      <c r="M852" s="493">
        <v>0.3006</v>
      </c>
      <c r="N852" s="6">
        <v>1.3502</v>
      </c>
    </row>
    <row r="853">
      <c r="A853" s="491" t="s">
        <v>2020</v>
      </c>
      <c r="B853" s="491" t="s">
        <v>163</v>
      </c>
      <c r="C853" s="491" t="s">
        <v>72</v>
      </c>
      <c r="D853" s="491" t="s">
        <v>565</v>
      </c>
      <c r="E853" s="492" t="s">
        <v>310</v>
      </c>
      <c r="F853" s="493">
        <v>125966.0</v>
      </c>
      <c r="G853" s="493">
        <v>30407.0</v>
      </c>
      <c r="H853" s="493">
        <v>24.14</v>
      </c>
      <c r="I853" s="493">
        <v>3.85</v>
      </c>
      <c r="J853" s="493">
        <v>4.04</v>
      </c>
      <c r="K853" s="493">
        <v>37723.0</v>
      </c>
      <c r="L853" s="493">
        <v>979432.0</v>
      </c>
      <c r="M853" s="493">
        <v>0.2995</v>
      </c>
      <c r="N853" s="6">
        <v>1.2406</v>
      </c>
    </row>
    <row r="854">
      <c r="A854" s="491" t="s">
        <v>2020</v>
      </c>
      <c r="B854" s="491" t="s">
        <v>163</v>
      </c>
      <c r="C854" s="491" t="s">
        <v>72</v>
      </c>
      <c r="D854" s="491" t="s">
        <v>565</v>
      </c>
      <c r="E854" s="492" t="s">
        <v>312</v>
      </c>
      <c r="F854" s="493">
        <v>125966.0</v>
      </c>
      <c r="G854" s="493">
        <v>27450.0</v>
      </c>
      <c r="H854" s="493">
        <v>21.79</v>
      </c>
      <c r="I854" s="493">
        <v>3.46</v>
      </c>
      <c r="J854" s="493">
        <v>3.96</v>
      </c>
      <c r="K854" s="493">
        <v>33914.0</v>
      </c>
      <c r="L854" s="493">
        <v>979432.0</v>
      </c>
      <c r="M854" s="493">
        <v>0.2692</v>
      </c>
      <c r="N854" s="6">
        <v>1.2355</v>
      </c>
    </row>
    <row r="855">
      <c r="A855" s="491" t="s">
        <v>2020</v>
      </c>
      <c r="B855" s="491" t="s">
        <v>163</v>
      </c>
      <c r="C855" s="491" t="s">
        <v>72</v>
      </c>
      <c r="D855" s="491" t="s">
        <v>565</v>
      </c>
      <c r="E855" s="492" t="s">
        <v>32</v>
      </c>
      <c r="F855" s="493">
        <v>125966.0</v>
      </c>
      <c r="G855" s="493">
        <v>27311.0</v>
      </c>
      <c r="H855" s="493">
        <v>21.68</v>
      </c>
      <c r="I855" s="493">
        <v>3.41</v>
      </c>
      <c r="J855" s="493">
        <v>3.38</v>
      </c>
      <c r="K855" s="493">
        <v>33403.0</v>
      </c>
      <c r="L855" s="493">
        <v>979432.0</v>
      </c>
      <c r="M855" s="493">
        <v>0.2652</v>
      </c>
      <c r="N855" s="6">
        <v>1.2231</v>
      </c>
    </row>
    <row r="856">
      <c r="A856" s="491" t="s">
        <v>2020</v>
      </c>
      <c r="B856" s="491" t="s">
        <v>163</v>
      </c>
      <c r="C856" s="491" t="s">
        <v>72</v>
      </c>
      <c r="D856" s="491" t="s">
        <v>565</v>
      </c>
      <c r="E856" s="492" t="s">
        <v>372</v>
      </c>
      <c r="F856" s="493">
        <v>125966.0</v>
      </c>
      <c r="G856" s="493">
        <v>23584.0</v>
      </c>
      <c r="H856" s="493">
        <v>18.72</v>
      </c>
      <c r="I856" s="493">
        <v>3.06</v>
      </c>
      <c r="J856" s="493">
        <v>2.16</v>
      </c>
      <c r="K856" s="493">
        <v>30010.0</v>
      </c>
      <c r="L856" s="493">
        <v>979432.0</v>
      </c>
      <c r="M856" s="493">
        <v>0.2382</v>
      </c>
      <c r="N856" s="6">
        <v>1.2725</v>
      </c>
    </row>
    <row r="857">
      <c r="A857" s="491" t="s">
        <v>2020</v>
      </c>
      <c r="B857" s="491" t="s">
        <v>163</v>
      </c>
      <c r="C857" s="491" t="s">
        <v>72</v>
      </c>
      <c r="D857" s="491" t="s">
        <v>565</v>
      </c>
      <c r="E857" s="492" t="s">
        <v>44</v>
      </c>
      <c r="F857" s="493">
        <v>125966.0</v>
      </c>
      <c r="G857" s="493">
        <v>9218.0</v>
      </c>
      <c r="H857" s="493">
        <v>7.32</v>
      </c>
      <c r="I857" s="493">
        <v>1.14</v>
      </c>
      <c r="J857" s="493">
        <v>0.83</v>
      </c>
      <c r="K857" s="493">
        <v>11190.0</v>
      </c>
      <c r="L857" s="493">
        <v>979432.0</v>
      </c>
      <c r="M857" s="493">
        <v>0.0888</v>
      </c>
      <c r="N857" s="6">
        <v>1.2139</v>
      </c>
    </row>
    <row r="858">
      <c r="A858" s="491" t="s">
        <v>2020</v>
      </c>
      <c r="B858" s="491" t="s">
        <v>163</v>
      </c>
      <c r="C858" s="491" t="s">
        <v>72</v>
      </c>
      <c r="D858" s="491" t="s">
        <v>565</v>
      </c>
      <c r="E858" s="492" t="s">
        <v>311</v>
      </c>
      <c r="F858" s="493">
        <v>125966.0</v>
      </c>
      <c r="G858" s="493">
        <v>9023.0</v>
      </c>
      <c r="H858" s="493">
        <v>7.16</v>
      </c>
      <c r="I858" s="493">
        <v>0.95</v>
      </c>
      <c r="J858" s="493">
        <v>1.17</v>
      </c>
      <c r="K858" s="493">
        <v>9267.0</v>
      </c>
      <c r="L858" s="493">
        <v>979432.0</v>
      </c>
      <c r="M858" s="493">
        <v>0.0736</v>
      </c>
      <c r="N858" s="6">
        <v>1.027</v>
      </c>
    </row>
    <row r="859">
      <c r="A859" s="491" t="s">
        <v>2020</v>
      </c>
      <c r="B859" s="491" t="s">
        <v>163</v>
      </c>
      <c r="C859" s="491" t="s">
        <v>72</v>
      </c>
      <c r="D859" s="491" t="s">
        <v>565</v>
      </c>
      <c r="E859" s="492" t="s">
        <v>134</v>
      </c>
      <c r="F859" s="493">
        <v>125966.0</v>
      </c>
      <c r="G859" s="493">
        <v>3040.0</v>
      </c>
      <c r="H859" s="493">
        <v>2.41</v>
      </c>
      <c r="I859" s="493">
        <v>0.44</v>
      </c>
      <c r="J859" s="493">
        <v>0.25</v>
      </c>
      <c r="K859" s="493">
        <v>4335.0</v>
      </c>
      <c r="L859" s="493">
        <v>979432.0</v>
      </c>
      <c r="M859" s="493">
        <v>0.0344</v>
      </c>
      <c r="N859" s="6">
        <v>1.426</v>
      </c>
    </row>
    <row r="860">
      <c r="A860" s="491" t="s">
        <v>2020</v>
      </c>
      <c r="B860" s="491" t="s">
        <v>163</v>
      </c>
      <c r="C860" s="491" t="s">
        <v>72</v>
      </c>
      <c r="D860" s="491" t="s">
        <v>565</v>
      </c>
      <c r="E860" s="492" t="s">
        <v>43</v>
      </c>
      <c r="F860" s="493">
        <v>125966.0</v>
      </c>
      <c r="G860" s="493">
        <v>3491.0</v>
      </c>
      <c r="H860" s="493">
        <v>2.77</v>
      </c>
      <c r="I860" s="493">
        <v>0.39</v>
      </c>
      <c r="J860" s="493">
        <v>0.41</v>
      </c>
      <c r="K860" s="493">
        <v>3784.0</v>
      </c>
      <c r="L860" s="493">
        <v>979432.0</v>
      </c>
      <c r="M860" s="493">
        <v>0.03</v>
      </c>
      <c r="N860" s="6">
        <v>1.0839</v>
      </c>
    </row>
    <row r="861">
      <c r="A861" s="491" t="s">
        <v>2020</v>
      </c>
      <c r="B861" s="491" t="s">
        <v>163</v>
      </c>
      <c r="C861" s="491" t="s">
        <v>72</v>
      </c>
      <c r="D861" s="491" t="s">
        <v>565</v>
      </c>
      <c r="E861" s="492" t="s">
        <v>369</v>
      </c>
      <c r="F861" s="493">
        <v>125966.0</v>
      </c>
      <c r="G861" s="493">
        <v>130.0</v>
      </c>
      <c r="H861" s="493">
        <v>0.1</v>
      </c>
      <c r="I861" s="493">
        <v>0.01</v>
      </c>
      <c r="J861" s="493">
        <v>0.01</v>
      </c>
      <c r="K861" s="493">
        <v>140.0</v>
      </c>
      <c r="L861" s="493">
        <v>979432.0</v>
      </c>
      <c r="M861" s="493">
        <v>0.0011</v>
      </c>
      <c r="N861" s="6">
        <v>1.0769</v>
      </c>
    </row>
    <row r="862">
      <c r="A862" s="491" t="s">
        <v>2020</v>
      </c>
      <c r="B862" s="491" t="s">
        <v>163</v>
      </c>
      <c r="C862" s="491" t="s">
        <v>72</v>
      </c>
      <c r="D862" s="491" t="s">
        <v>565</v>
      </c>
      <c r="E862" s="492" t="s">
        <v>189</v>
      </c>
      <c r="F862" s="493">
        <v>125966.0</v>
      </c>
      <c r="G862" s="493">
        <v>41.0</v>
      </c>
      <c r="H862" s="493">
        <v>0.03</v>
      </c>
      <c r="I862" s="493">
        <v>0.0</v>
      </c>
      <c r="J862" s="493">
        <v>0.0</v>
      </c>
      <c r="K862" s="493">
        <v>42.0</v>
      </c>
      <c r="L862" s="493">
        <v>979432.0</v>
      </c>
      <c r="M862" s="493">
        <v>3.0E-4</v>
      </c>
      <c r="N862" s="6">
        <v>1.0244</v>
      </c>
    </row>
    <row r="863">
      <c r="A863" s="491" t="s">
        <v>2020</v>
      </c>
      <c r="B863" s="491" t="s">
        <v>163</v>
      </c>
      <c r="C863" s="491" t="s">
        <v>1873</v>
      </c>
      <c r="D863" s="491" t="s">
        <v>2018</v>
      </c>
      <c r="E863" s="492" t="s">
        <v>367</v>
      </c>
      <c r="F863" s="493">
        <v>33817.0</v>
      </c>
      <c r="G863" s="493">
        <v>16774.0</v>
      </c>
      <c r="H863" s="493">
        <v>49.6</v>
      </c>
      <c r="I863" s="493">
        <v>53.92</v>
      </c>
      <c r="J863" s="493">
        <v>42.51</v>
      </c>
      <c r="K863" s="493">
        <v>514830.0</v>
      </c>
      <c r="L863" s="493">
        <v>954775.0</v>
      </c>
      <c r="M863" s="493">
        <v>15.224</v>
      </c>
      <c r="N863" s="6">
        <v>30.6921</v>
      </c>
    </row>
    <row r="864">
      <c r="A864" s="491" t="s">
        <v>2020</v>
      </c>
      <c r="B864" s="491" t="s">
        <v>163</v>
      </c>
      <c r="C864" s="491" t="s">
        <v>1873</v>
      </c>
      <c r="D864" s="491" t="s">
        <v>2018</v>
      </c>
      <c r="E864" s="492" t="s">
        <v>134</v>
      </c>
      <c r="F864" s="493">
        <v>33817.0</v>
      </c>
      <c r="G864" s="493">
        <v>8237.0</v>
      </c>
      <c r="H864" s="493">
        <v>24.36</v>
      </c>
      <c r="I864" s="493">
        <v>20.1</v>
      </c>
      <c r="J864" s="493">
        <v>18.7</v>
      </c>
      <c r="K864" s="493">
        <v>191865.0</v>
      </c>
      <c r="L864" s="493">
        <v>954775.0</v>
      </c>
      <c r="M864" s="493">
        <v>5.6736</v>
      </c>
      <c r="N864" s="6">
        <v>23.2931</v>
      </c>
    </row>
    <row r="865">
      <c r="A865" s="491" t="s">
        <v>2020</v>
      </c>
      <c r="B865" s="491" t="s">
        <v>163</v>
      </c>
      <c r="C865" s="491" t="s">
        <v>1873</v>
      </c>
      <c r="D865" s="491" t="s">
        <v>2018</v>
      </c>
      <c r="E865" s="492" t="s">
        <v>369</v>
      </c>
      <c r="F865" s="493">
        <v>33817.0</v>
      </c>
      <c r="G865" s="493">
        <v>12654.0</v>
      </c>
      <c r="H865" s="493">
        <v>37.42</v>
      </c>
      <c r="I865" s="493">
        <v>16.13</v>
      </c>
      <c r="J865" s="493">
        <v>23.96</v>
      </c>
      <c r="K865" s="493">
        <v>153965.0</v>
      </c>
      <c r="L865" s="493">
        <v>954775.0</v>
      </c>
      <c r="M865" s="493">
        <v>4.5529</v>
      </c>
      <c r="N865" s="6">
        <v>12.1673</v>
      </c>
    </row>
    <row r="866">
      <c r="A866" s="491" t="s">
        <v>2020</v>
      </c>
      <c r="B866" s="491" t="s">
        <v>163</v>
      </c>
      <c r="C866" s="491" t="s">
        <v>1873</v>
      </c>
      <c r="D866" s="491" t="s">
        <v>2018</v>
      </c>
      <c r="E866" s="492" t="s">
        <v>189</v>
      </c>
      <c r="F866" s="493">
        <v>33817.0</v>
      </c>
      <c r="G866" s="493">
        <v>7282.0</v>
      </c>
      <c r="H866" s="493">
        <v>21.53</v>
      </c>
      <c r="I866" s="493">
        <v>7.77</v>
      </c>
      <c r="J866" s="493">
        <v>12.65</v>
      </c>
      <c r="K866" s="493">
        <v>74205.0</v>
      </c>
      <c r="L866" s="493">
        <v>954775.0</v>
      </c>
      <c r="M866" s="493">
        <v>2.1943</v>
      </c>
      <c r="N866" s="6">
        <v>10.1902</v>
      </c>
    </row>
    <row r="867">
      <c r="A867" s="491" t="s">
        <v>2020</v>
      </c>
      <c r="B867" s="491" t="s">
        <v>163</v>
      </c>
      <c r="C867" s="491" t="s">
        <v>1873</v>
      </c>
      <c r="D867" s="491" t="s">
        <v>2018</v>
      </c>
      <c r="E867" s="492" t="s">
        <v>370</v>
      </c>
      <c r="F867" s="493">
        <v>33817.0</v>
      </c>
      <c r="G867" s="493">
        <v>496.0</v>
      </c>
      <c r="H867" s="493">
        <v>1.47</v>
      </c>
      <c r="I867" s="493">
        <v>1.66</v>
      </c>
      <c r="J867" s="493">
        <v>1.44</v>
      </c>
      <c r="K867" s="493">
        <v>15825.0</v>
      </c>
      <c r="L867" s="493">
        <v>954775.0</v>
      </c>
      <c r="M867" s="493">
        <v>0.468</v>
      </c>
      <c r="N867" s="6">
        <v>31.9052</v>
      </c>
    </row>
    <row r="868">
      <c r="A868" s="491" t="s">
        <v>2020</v>
      </c>
      <c r="B868" s="491" t="s">
        <v>163</v>
      </c>
      <c r="C868" s="491" t="s">
        <v>1873</v>
      </c>
      <c r="D868" s="491" t="s">
        <v>2018</v>
      </c>
      <c r="E868" s="492" t="s">
        <v>35</v>
      </c>
      <c r="F868" s="493">
        <v>33817.0</v>
      </c>
      <c r="G868" s="493">
        <v>159.0</v>
      </c>
      <c r="H868" s="493">
        <v>0.47</v>
      </c>
      <c r="I868" s="493">
        <v>0.26</v>
      </c>
      <c r="J868" s="493">
        <v>0.28</v>
      </c>
      <c r="K868" s="493">
        <v>2475.0</v>
      </c>
      <c r="L868" s="493">
        <v>954775.0</v>
      </c>
      <c r="M868" s="493">
        <v>0.0732</v>
      </c>
      <c r="N868" s="6">
        <v>15.566</v>
      </c>
    </row>
    <row r="869">
      <c r="A869" s="491" t="s">
        <v>2020</v>
      </c>
      <c r="B869" s="491" t="s">
        <v>163</v>
      </c>
      <c r="C869" s="491" t="s">
        <v>1873</v>
      </c>
      <c r="D869" s="491" t="s">
        <v>2018</v>
      </c>
      <c r="E869" s="492" t="s">
        <v>372</v>
      </c>
      <c r="F869" s="493">
        <v>33817.0</v>
      </c>
      <c r="G869" s="493">
        <v>153.0</v>
      </c>
      <c r="H869" s="493">
        <v>0.45</v>
      </c>
      <c r="I869" s="493">
        <v>0.17</v>
      </c>
      <c r="J869" s="493">
        <v>0.44</v>
      </c>
      <c r="K869" s="493">
        <v>1600.0</v>
      </c>
      <c r="L869" s="493">
        <v>954775.0</v>
      </c>
      <c r="M869" s="493">
        <v>0.0473</v>
      </c>
      <c r="N869" s="6">
        <v>10.4575</v>
      </c>
    </row>
    <row r="870">
      <c r="A870" s="491" t="s">
        <v>2020</v>
      </c>
      <c r="B870" s="491" t="s">
        <v>163</v>
      </c>
      <c r="C870" s="491" t="s">
        <v>1873</v>
      </c>
      <c r="D870" s="491" t="s">
        <v>2018</v>
      </c>
      <c r="E870" s="492" t="s">
        <v>368</v>
      </c>
      <c r="F870" s="493">
        <v>33817.0</v>
      </c>
      <c r="G870" s="493">
        <v>1.0</v>
      </c>
      <c r="H870" s="493">
        <v>0.0</v>
      </c>
      <c r="I870" s="493">
        <v>0.0</v>
      </c>
      <c r="J870" s="493">
        <v>0.0</v>
      </c>
      <c r="K870" s="493">
        <v>10.0</v>
      </c>
      <c r="L870" s="493">
        <v>954775.0</v>
      </c>
      <c r="M870" s="493">
        <v>3.0E-4</v>
      </c>
      <c r="N870" s="6">
        <v>10.0</v>
      </c>
    </row>
    <row r="871">
      <c r="A871" s="491" t="s">
        <v>2020</v>
      </c>
      <c r="B871" s="491" t="s">
        <v>163</v>
      </c>
      <c r="C871" s="491" t="s">
        <v>1874</v>
      </c>
      <c r="D871" s="491" t="s">
        <v>2018</v>
      </c>
      <c r="E871" s="492" t="s">
        <v>372</v>
      </c>
      <c r="F871" s="493">
        <v>97040.0</v>
      </c>
      <c r="G871" s="493">
        <v>62728.0</v>
      </c>
      <c r="H871" s="493">
        <v>64.64</v>
      </c>
      <c r="I871" s="493">
        <v>34.37</v>
      </c>
      <c r="J871" s="493">
        <v>44.33</v>
      </c>
      <c r="K871" s="493">
        <v>1156605.0</v>
      </c>
      <c r="L871" s="493">
        <v>3365485.0</v>
      </c>
      <c r="M871" s="493">
        <v>11.9188</v>
      </c>
      <c r="N871" s="6">
        <v>18.4384</v>
      </c>
    </row>
    <row r="872">
      <c r="A872" s="491" t="s">
        <v>2020</v>
      </c>
      <c r="B872" s="491" t="s">
        <v>163</v>
      </c>
      <c r="C872" s="491" t="s">
        <v>1874</v>
      </c>
      <c r="D872" s="491" t="s">
        <v>2018</v>
      </c>
      <c r="E872" s="492" t="s">
        <v>367</v>
      </c>
      <c r="F872" s="493">
        <v>97040.0</v>
      </c>
      <c r="G872" s="493">
        <v>16424.0</v>
      </c>
      <c r="H872" s="493">
        <v>16.92</v>
      </c>
      <c r="I872" s="493">
        <v>29.98</v>
      </c>
      <c r="J872" s="493">
        <v>12.09</v>
      </c>
      <c r="K872" s="493">
        <v>1008960.0</v>
      </c>
      <c r="L872" s="493">
        <v>3365485.0</v>
      </c>
      <c r="M872" s="493">
        <v>10.3974</v>
      </c>
      <c r="N872" s="6">
        <v>61.4321</v>
      </c>
    </row>
    <row r="873">
      <c r="A873" s="491" t="s">
        <v>2020</v>
      </c>
      <c r="B873" s="491" t="s">
        <v>163</v>
      </c>
      <c r="C873" s="491" t="s">
        <v>1874</v>
      </c>
      <c r="D873" s="491" t="s">
        <v>2018</v>
      </c>
      <c r="E873" s="492" t="s">
        <v>369</v>
      </c>
      <c r="F873" s="493">
        <v>97040.0</v>
      </c>
      <c r="G873" s="493">
        <v>49131.0</v>
      </c>
      <c r="H873" s="493">
        <v>50.63</v>
      </c>
      <c r="I873" s="493">
        <v>19.82</v>
      </c>
      <c r="J873" s="493">
        <v>24.23</v>
      </c>
      <c r="K873" s="493">
        <v>667025.0</v>
      </c>
      <c r="L873" s="493">
        <v>3365485.0</v>
      </c>
      <c r="M873" s="493">
        <v>6.8737</v>
      </c>
      <c r="N873" s="6">
        <v>13.5765</v>
      </c>
    </row>
    <row r="874">
      <c r="A874" s="491" t="s">
        <v>2020</v>
      </c>
      <c r="B874" s="491" t="s">
        <v>163</v>
      </c>
      <c r="C874" s="491" t="s">
        <v>1874</v>
      </c>
      <c r="D874" s="491" t="s">
        <v>2018</v>
      </c>
      <c r="E874" s="492" t="s">
        <v>189</v>
      </c>
      <c r="F874" s="493">
        <v>97040.0</v>
      </c>
      <c r="G874" s="493">
        <v>25929.0</v>
      </c>
      <c r="H874" s="493">
        <v>26.72</v>
      </c>
      <c r="I874" s="493">
        <v>7.81</v>
      </c>
      <c r="J874" s="493">
        <v>10.52</v>
      </c>
      <c r="K874" s="493">
        <v>262955.0</v>
      </c>
      <c r="L874" s="493">
        <v>3365485.0</v>
      </c>
      <c r="M874" s="493">
        <v>2.7098</v>
      </c>
      <c r="N874" s="6">
        <v>10.1413</v>
      </c>
    </row>
    <row r="875">
      <c r="A875" s="491" t="s">
        <v>2020</v>
      </c>
      <c r="B875" s="491" t="s">
        <v>163</v>
      </c>
      <c r="C875" s="491" t="s">
        <v>1874</v>
      </c>
      <c r="D875" s="491" t="s">
        <v>2018</v>
      </c>
      <c r="E875" s="492" t="s">
        <v>134</v>
      </c>
      <c r="F875" s="493">
        <v>97040.0</v>
      </c>
      <c r="G875" s="493">
        <v>14145.0</v>
      </c>
      <c r="H875" s="493">
        <v>14.58</v>
      </c>
      <c r="I875" s="493">
        <v>6.09</v>
      </c>
      <c r="J875" s="493">
        <v>6.96</v>
      </c>
      <c r="K875" s="493">
        <v>204985.0</v>
      </c>
      <c r="L875" s="493">
        <v>3365485.0</v>
      </c>
      <c r="M875" s="493">
        <v>2.1124</v>
      </c>
      <c r="N875" s="6">
        <v>14.4917</v>
      </c>
    </row>
    <row r="876">
      <c r="A876" s="491" t="s">
        <v>2020</v>
      </c>
      <c r="B876" s="491" t="s">
        <v>163</v>
      </c>
      <c r="C876" s="491" t="s">
        <v>1874</v>
      </c>
      <c r="D876" s="491" t="s">
        <v>2018</v>
      </c>
      <c r="E876" s="492" t="s">
        <v>44</v>
      </c>
      <c r="F876" s="493">
        <v>97040.0</v>
      </c>
      <c r="G876" s="493">
        <v>1985.0</v>
      </c>
      <c r="H876" s="493">
        <v>2.05</v>
      </c>
      <c r="I876" s="493">
        <v>0.75</v>
      </c>
      <c r="J876" s="493">
        <v>0.84</v>
      </c>
      <c r="K876" s="493">
        <v>25090.0</v>
      </c>
      <c r="L876" s="493">
        <v>3365485.0</v>
      </c>
      <c r="M876" s="493">
        <v>0.2586</v>
      </c>
      <c r="N876" s="6">
        <v>12.6398</v>
      </c>
    </row>
    <row r="877">
      <c r="A877" s="491" t="s">
        <v>2020</v>
      </c>
      <c r="B877" s="491" t="s">
        <v>163</v>
      </c>
      <c r="C877" s="491" t="s">
        <v>1874</v>
      </c>
      <c r="D877" s="491" t="s">
        <v>2018</v>
      </c>
      <c r="E877" s="492" t="s">
        <v>35</v>
      </c>
      <c r="F877" s="493">
        <v>97040.0</v>
      </c>
      <c r="G877" s="493">
        <v>1513.0</v>
      </c>
      <c r="H877" s="493">
        <v>1.56</v>
      </c>
      <c r="I877" s="493">
        <v>0.71</v>
      </c>
      <c r="J877" s="493">
        <v>0.63</v>
      </c>
      <c r="K877" s="493">
        <v>23805.0</v>
      </c>
      <c r="L877" s="493">
        <v>3365485.0</v>
      </c>
      <c r="M877" s="493">
        <v>0.2453</v>
      </c>
      <c r="N877" s="6">
        <v>15.7336</v>
      </c>
    </row>
    <row r="878">
      <c r="A878" s="491" t="s">
        <v>2020</v>
      </c>
      <c r="B878" s="491" t="s">
        <v>163</v>
      </c>
      <c r="C878" s="491" t="s">
        <v>1874</v>
      </c>
      <c r="D878" s="491" t="s">
        <v>2018</v>
      </c>
      <c r="E878" s="492" t="s">
        <v>370</v>
      </c>
      <c r="F878" s="493">
        <v>97040.0</v>
      </c>
      <c r="G878" s="493">
        <v>505.0</v>
      </c>
      <c r="H878" s="493">
        <v>0.52</v>
      </c>
      <c r="I878" s="493">
        <v>0.47</v>
      </c>
      <c r="J878" s="493">
        <v>0.39</v>
      </c>
      <c r="K878" s="493">
        <v>15950.0</v>
      </c>
      <c r="L878" s="493">
        <v>3365485.0</v>
      </c>
      <c r="M878" s="493">
        <v>0.1644</v>
      </c>
      <c r="N878" s="6">
        <v>31.5842</v>
      </c>
    </row>
    <row r="879">
      <c r="A879" s="491" t="s">
        <v>2020</v>
      </c>
      <c r="B879" s="491" t="s">
        <v>163</v>
      </c>
      <c r="C879" s="491" t="s">
        <v>1874</v>
      </c>
      <c r="D879" s="491" t="s">
        <v>2018</v>
      </c>
      <c r="E879" s="492" t="s">
        <v>40</v>
      </c>
      <c r="F879" s="493">
        <v>97040.0</v>
      </c>
      <c r="G879" s="493">
        <v>2.0</v>
      </c>
      <c r="H879" s="493">
        <v>0.0</v>
      </c>
      <c r="I879" s="493">
        <v>0.0</v>
      </c>
      <c r="J879" s="493">
        <v>0.0</v>
      </c>
      <c r="K879" s="493">
        <v>30.0</v>
      </c>
      <c r="L879" s="493">
        <v>3365485.0</v>
      </c>
      <c r="M879" s="493">
        <v>3.0E-4</v>
      </c>
      <c r="N879" s="6">
        <v>15.0</v>
      </c>
    </row>
    <row r="880">
      <c r="A880" s="491" t="s">
        <v>2020</v>
      </c>
      <c r="B880" s="491" t="s">
        <v>163</v>
      </c>
      <c r="C880" s="491" t="s">
        <v>1874</v>
      </c>
      <c r="D880" s="491" t="s">
        <v>2018</v>
      </c>
      <c r="E880" s="492" t="s">
        <v>368</v>
      </c>
      <c r="F880" s="493">
        <v>97040.0</v>
      </c>
      <c r="G880" s="493">
        <v>8.0</v>
      </c>
      <c r="H880" s="493">
        <v>0.01</v>
      </c>
      <c r="I880" s="493">
        <v>0.0</v>
      </c>
      <c r="J880" s="493">
        <v>0.0</v>
      </c>
      <c r="K880" s="493">
        <v>80.0</v>
      </c>
      <c r="L880" s="493">
        <v>3365485.0</v>
      </c>
      <c r="M880" s="493">
        <v>8.0E-4</v>
      </c>
      <c r="N880" s="6">
        <v>10.0</v>
      </c>
    </row>
    <row r="881">
      <c r="A881" s="491" t="s">
        <v>2020</v>
      </c>
      <c r="B881" s="491" t="s">
        <v>163</v>
      </c>
      <c r="C881" s="491" t="s">
        <v>1875</v>
      </c>
      <c r="D881" s="491" t="s">
        <v>2018</v>
      </c>
      <c r="E881" s="492" t="s">
        <v>372</v>
      </c>
      <c r="F881" s="493">
        <v>109576.0</v>
      </c>
      <c r="G881" s="493">
        <v>85495.0</v>
      </c>
      <c r="H881" s="493">
        <v>78.02</v>
      </c>
      <c r="I881" s="493">
        <v>43.06</v>
      </c>
      <c r="J881" s="493">
        <v>52.47</v>
      </c>
      <c r="K881" s="493">
        <v>1853035.0</v>
      </c>
      <c r="L881" s="493">
        <v>4303750.0</v>
      </c>
      <c r="M881" s="493">
        <v>16.911</v>
      </c>
      <c r="N881" s="6">
        <v>21.6742</v>
      </c>
    </row>
    <row r="882">
      <c r="A882" s="491" t="s">
        <v>2020</v>
      </c>
      <c r="B882" s="491" t="s">
        <v>163</v>
      </c>
      <c r="C882" s="491" t="s">
        <v>1875</v>
      </c>
      <c r="D882" s="491" t="s">
        <v>2018</v>
      </c>
      <c r="E882" s="492" t="s">
        <v>367</v>
      </c>
      <c r="F882" s="493">
        <v>109576.0</v>
      </c>
      <c r="G882" s="493">
        <v>14796.0</v>
      </c>
      <c r="H882" s="493">
        <v>13.5</v>
      </c>
      <c r="I882" s="493">
        <v>21.11</v>
      </c>
      <c r="J882" s="493">
        <v>8.02</v>
      </c>
      <c r="K882" s="493">
        <v>908460.0</v>
      </c>
      <c r="L882" s="493">
        <v>4303750.0</v>
      </c>
      <c r="M882" s="493">
        <v>8.2907</v>
      </c>
      <c r="N882" s="6">
        <v>61.399</v>
      </c>
    </row>
    <row r="883">
      <c r="A883" s="491" t="s">
        <v>2020</v>
      </c>
      <c r="B883" s="491" t="s">
        <v>163</v>
      </c>
      <c r="C883" s="491" t="s">
        <v>1875</v>
      </c>
      <c r="D883" s="491" t="s">
        <v>2018</v>
      </c>
      <c r="E883" s="492" t="s">
        <v>369</v>
      </c>
      <c r="F883" s="493">
        <v>109576.0</v>
      </c>
      <c r="G883" s="493">
        <v>57633.0</v>
      </c>
      <c r="H883" s="493">
        <v>52.6</v>
      </c>
      <c r="I883" s="493">
        <v>18.67</v>
      </c>
      <c r="J883" s="493">
        <v>22.01</v>
      </c>
      <c r="K883" s="493">
        <v>803475.0</v>
      </c>
      <c r="L883" s="493">
        <v>4303750.0</v>
      </c>
      <c r="M883" s="493">
        <v>7.3326</v>
      </c>
      <c r="N883" s="6">
        <v>13.9412</v>
      </c>
    </row>
    <row r="884">
      <c r="A884" s="491" t="s">
        <v>2020</v>
      </c>
      <c r="B884" s="491" t="s">
        <v>163</v>
      </c>
      <c r="C884" s="491" t="s">
        <v>1875</v>
      </c>
      <c r="D884" s="491" t="s">
        <v>2018</v>
      </c>
      <c r="E884" s="492" t="s">
        <v>189</v>
      </c>
      <c r="F884" s="493">
        <v>109576.0</v>
      </c>
      <c r="G884" s="493">
        <v>30743.0</v>
      </c>
      <c r="H884" s="493">
        <v>28.06</v>
      </c>
      <c r="I884" s="493">
        <v>7.33</v>
      </c>
      <c r="J884" s="493">
        <v>9.19</v>
      </c>
      <c r="K884" s="493">
        <v>315410.0</v>
      </c>
      <c r="L884" s="493">
        <v>4303750.0</v>
      </c>
      <c r="M884" s="493">
        <v>2.8785</v>
      </c>
      <c r="N884" s="6">
        <v>10.2596</v>
      </c>
    </row>
    <row r="885">
      <c r="A885" s="491" t="s">
        <v>2020</v>
      </c>
      <c r="B885" s="491" t="s">
        <v>163</v>
      </c>
      <c r="C885" s="491" t="s">
        <v>1875</v>
      </c>
      <c r="D885" s="491" t="s">
        <v>2018</v>
      </c>
      <c r="E885" s="492" t="s">
        <v>134</v>
      </c>
      <c r="F885" s="493">
        <v>109576.0</v>
      </c>
      <c r="G885" s="493">
        <v>9121.0</v>
      </c>
      <c r="H885" s="493">
        <v>8.32</v>
      </c>
      <c r="I885" s="493">
        <v>3.58</v>
      </c>
      <c r="J885" s="493">
        <v>2.97</v>
      </c>
      <c r="K885" s="493">
        <v>154135.0</v>
      </c>
      <c r="L885" s="493">
        <v>4303750.0</v>
      </c>
      <c r="M885" s="493">
        <v>1.4066</v>
      </c>
      <c r="N885" s="6">
        <v>16.8989</v>
      </c>
    </row>
    <row r="886">
      <c r="A886" s="491" t="s">
        <v>2020</v>
      </c>
      <c r="B886" s="491" t="s">
        <v>163</v>
      </c>
      <c r="C886" s="491" t="s">
        <v>1875</v>
      </c>
      <c r="D886" s="491" t="s">
        <v>2018</v>
      </c>
      <c r="E886" s="492" t="s">
        <v>35</v>
      </c>
      <c r="F886" s="493">
        <v>109576.0</v>
      </c>
      <c r="G886" s="493">
        <v>8369.0</v>
      </c>
      <c r="H886" s="493">
        <v>7.64</v>
      </c>
      <c r="I886" s="493">
        <v>3.27</v>
      </c>
      <c r="J886" s="493">
        <v>2.6</v>
      </c>
      <c r="K886" s="493">
        <v>140835.0</v>
      </c>
      <c r="L886" s="493">
        <v>4303750.0</v>
      </c>
      <c r="M886" s="493">
        <v>1.2853</v>
      </c>
      <c r="N886" s="6">
        <v>16.8282</v>
      </c>
    </row>
    <row r="887">
      <c r="A887" s="491" t="s">
        <v>2020</v>
      </c>
      <c r="B887" s="491" t="s">
        <v>163</v>
      </c>
      <c r="C887" s="491" t="s">
        <v>1875</v>
      </c>
      <c r="D887" s="491" t="s">
        <v>2018</v>
      </c>
      <c r="E887" s="492" t="s">
        <v>44</v>
      </c>
      <c r="F887" s="493">
        <v>109576.0</v>
      </c>
      <c r="G887" s="493">
        <v>9218.0</v>
      </c>
      <c r="H887" s="493">
        <v>8.41</v>
      </c>
      <c r="I887" s="493">
        <v>2.59</v>
      </c>
      <c r="J887" s="493">
        <v>2.38</v>
      </c>
      <c r="K887" s="493">
        <v>111490.0</v>
      </c>
      <c r="L887" s="493">
        <v>4303750.0</v>
      </c>
      <c r="M887" s="493">
        <v>1.0175</v>
      </c>
      <c r="N887" s="6">
        <v>12.0948</v>
      </c>
    </row>
    <row r="888">
      <c r="A888" s="491" t="s">
        <v>2020</v>
      </c>
      <c r="B888" s="491" t="s">
        <v>163</v>
      </c>
      <c r="C888" s="491" t="s">
        <v>1875</v>
      </c>
      <c r="D888" s="491" t="s">
        <v>2018</v>
      </c>
      <c r="E888" s="492" t="s">
        <v>370</v>
      </c>
      <c r="F888" s="493">
        <v>109576.0</v>
      </c>
      <c r="G888" s="493">
        <v>550.0</v>
      </c>
      <c r="H888" s="493">
        <v>0.5</v>
      </c>
      <c r="I888" s="493">
        <v>0.39</v>
      </c>
      <c r="J888" s="493">
        <v>0.35</v>
      </c>
      <c r="K888" s="493">
        <v>16745.0</v>
      </c>
      <c r="L888" s="493">
        <v>4303750.0</v>
      </c>
      <c r="M888" s="493">
        <v>0.1528</v>
      </c>
      <c r="N888" s="6">
        <v>30.4455</v>
      </c>
    </row>
    <row r="889">
      <c r="A889" s="491" t="s">
        <v>2020</v>
      </c>
      <c r="B889" s="491" t="s">
        <v>163</v>
      </c>
      <c r="C889" s="491" t="s">
        <v>1875</v>
      </c>
      <c r="D889" s="491" t="s">
        <v>2018</v>
      </c>
      <c r="E889" s="492" t="s">
        <v>46</v>
      </c>
      <c r="F889" s="493">
        <v>109576.0</v>
      </c>
      <c r="G889" s="493">
        <v>1.0</v>
      </c>
      <c r="H889" s="493">
        <v>0.0</v>
      </c>
      <c r="I889" s="493">
        <v>0.0</v>
      </c>
      <c r="J889" s="493">
        <v>0.0</v>
      </c>
      <c r="K889" s="493">
        <v>15.0</v>
      </c>
      <c r="L889" s="493">
        <v>4303750.0</v>
      </c>
      <c r="M889" s="493">
        <v>1.0E-4</v>
      </c>
      <c r="N889" s="6">
        <v>15.0</v>
      </c>
    </row>
    <row r="890">
      <c r="A890" s="491" t="s">
        <v>2020</v>
      </c>
      <c r="B890" s="491" t="s">
        <v>163</v>
      </c>
      <c r="C890" s="491" t="s">
        <v>1875</v>
      </c>
      <c r="D890" s="491" t="s">
        <v>2018</v>
      </c>
      <c r="E890" s="492" t="s">
        <v>40</v>
      </c>
      <c r="F890" s="493">
        <v>109576.0</v>
      </c>
      <c r="G890" s="493">
        <v>2.0</v>
      </c>
      <c r="H890" s="493">
        <v>0.0</v>
      </c>
      <c r="I890" s="493">
        <v>0.0</v>
      </c>
      <c r="J890" s="493">
        <v>0.0</v>
      </c>
      <c r="K890" s="493">
        <v>30.0</v>
      </c>
      <c r="L890" s="493">
        <v>4303750.0</v>
      </c>
      <c r="M890" s="493">
        <v>3.0E-4</v>
      </c>
      <c r="N890" s="6">
        <v>15.0</v>
      </c>
    </row>
    <row r="891">
      <c r="A891" s="491" t="s">
        <v>2020</v>
      </c>
      <c r="B891" s="491" t="s">
        <v>163</v>
      </c>
      <c r="C891" s="491" t="s">
        <v>1875</v>
      </c>
      <c r="D891" s="491" t="s">
        <v>2018</v>
      </c>
      <c r="E891" s="492" t="s">
        <v>371</v>
      </c>
      <c r="F891" s="493">
        <v>109576.0</v>
      </c>
      <c r="G891" s="493">
        <v>4.0</v>
      </c>
      <c r="H891" s="493">
        <v>0.0</v>
      </c>
      <c r="I891" s="493">
        <v>0.0</v>
      </c>
      <c r="J891" s="493">
        <v>0.0</v>
      </c>
      <c r="K891" s="493">
        <v>60.0</v>
      </c>
      <c r="L891" s="493">
        <v>4303750.0</v>
      </c>
      <c r="M891" s="493">
        <v>5.0E-4</v>
      </c>
      <c r="N891" s="6">
        <v>15.0</v>
      </c>
    </row>
    <row r="892">
      <c r="A892" s="491" t="s">
        <v>2020</v>
      </c>
      <c r="B892" s="491" t="s">
        <v>163</v>
      </c>
      <c r="C892" s="491" t="s">
        <v>1875</v>
      </c>
      <c r="D892" s="491" t="s">
        <v>2018</v>
      </c>
      <c r="E892" s="492" t="s">
        <v>373</v>
      </c>
      <c r="F892" s="493">
        <v>109576.0</v>
      </c>
      <c r="G892" s="493">
        <v>6.0</v>
      </c>
      <c r="H892" s="493">
        <v>0.01</v>
      </c>
      <c r="I892" s="493">
        <v>0.0</v>
      </c>
      <c r="J892" s="493">
        <v>0.0</v>
      </c>
      <c r="K892" s="493">
        <v>60.0</v>
      </c>
      <c r="L892" s="493">
        <v>4303750.0</v>
      </c>
      <c r="M892" s="493">
        <v>5.0E-4</v>
      </c>
      <c r="N892" s="6">
        <v>10.0</v>
      </c>
    </row>
    <row r="893">
      <c r="A893" s="491" t="s">
        <v>2020</v>
      </c>
      <c r="B893" s="491" t="s">
        <v>163</v>
      </c>
      <c r="C893" s="491" t="s">
        <v>75</v>
      </c>
      <c r="D893" s="491" t="s">
        <v>2018</v>
      </c>
      <c r="E893" s="492" t="s">
        <v>371</v>
      </c>
      <c r="F893" s="493">
        <v>149496.0</v>
      </c>
      <c r="G893" s="493">
        <v>137831.0</v>
      </c>
      <c r="H893" s="493">
        <v>92.2</v>
      </c>
      <c r="I893" s="493">
        <v>25.25</v>
      </c>
      <c r="J893" s="493">
        <v>25.43</v>
      </c>
      <c r="K893" s="493">
        <v>2.4659685E7</v>
      </c>
      <c r="L893" s="493">
        <v>9.7680828E7</v>
      </c>
      <c r="M893" s="493">
        <v>164.9521</v>
      </c>
      <c r="N893" s="6">
        <v>178.9125</v>
      </c>
    </row>
    <row r="894">
      <c r="A894" s="491" t="s">
        <v>2020</v>
      </c>
      <c r="B894" s="491" t="s">
        <v>163</v>
      </c>
      <c r="C894" s="491" t="s">
        <v>75</v>
      </c>
      <c r="D894" s="491" t="s">
        <v>2018</v>
      </c>
      <c r="E894" s="492" t="s">
        <v>49</v>
      </c>
      <c r="F894" s="493">
        <v>149496.0</v>
      </c>
      <c r="G894" s="493">
        <v>93671.0</v>
      </c>
      <c r="H894" s="493">
        <v>62.66</v>
      </c>
      <c r="I894" s="493">
        <v>20.23</v>
      </c>
      <c r="J894" s="493">
        <v>18.27</v>
      </c>
      <c r="K894" s="493">
        <v>1.976502E7</v>
      </c>
      <c r="L894" s="493">
        <v>9.7680828E7</v>
      </c>
      <c r="M894" s="493">
        <v>132.211</v>
      </c>
      <c r="N894" s="6">
        <v>211.0047</v>
      </c>
    </row>
    <row r="895">
      <c r="A895" s="491" t="s">
        <v>2020</v>
      </c>
      <c r="B895" s="491" t="s">
        <v>163</v>
      </c>
      <c r="C895" s="491" t="s">
        <v>75</v>
      </c>
      <c r="D895" s="491" t="s">
        <v>2018</v>
      </c>
      <c r="E895" s="492" t="s">
        <v>367</v>
      </c>
      <c r="F895" s="493">
        <v>149496.0</v>
      </c>
      <c r="G895" s="493">
        <v>113384.0</v>
      </c>
      <c r="H895" s="493">
        <v>75.84</v>
      </c>
      <c r="I895" s="493">
        <v>15.05</v>
      </c>
      <c r="J895" s="493">
        <v>13.36</v>
      </c>
      <c r="K895" s="493">
        <v>1.4697685E7</v>
      </c>
      <c r="L895" s="493">
        <v>9.7680828E7</v>
      </c>
      <c r="M895" s="493">
        <v>98.3149</v>
      </c>
      <c r="N895" s="6">
        <v>129.6275</v>
      </c>
    </row>
    <row r="896">
      <c r="A896" s="491" t="s">
        <v>2020</v>
      </c>
      <c r="B896" s="491" t="s">
        <v>163</v>
      </c>
      <c r="C896" s="491" t="s">
        <v>75</v>
      </c>
      <c r="D896" s="491" t="s">
        <v>2018</v>
      </c>
      <c r="E896" s="492" t="s">
        <v>44</v>
      </c>
      <c r="F896" s="493">
        <v>149496.0</v>
      </c>
      <c r="G896" s="493">
        <v>84308.0</v>
      </c>
      <c r="H896" s="493">
        <v>56.39</v>
      </c>
      <c r="I896" s="493">
        <v>10.33</v>
      </c>
      <c r="J896" s="493">
        <v>10.94</v>
      </c>
      <c r="K896" s="493">
        <v>1.008603E7</v>
      </c>
      <c r="L896" s="493">
        <v>9.7680828E7</v>
      </c>
      <c r="M896" s="493">
        <v>67.4669</v>
      </c>
      <c r="N896" s="6">
        <v>119.6331</v>
      </c>
    </row>
    <row r="897">
      <c r="A897" s="491" t="s">
        <v>2020</v>
      </c>
      <c r="B897" s="491" t="s">
        <v>163</v>
      </c>
      <c r="C897" s="491" t="s">
        <v>75</v>
      </c>
      <c r="D897" s="491" t="s">
        <v>2018</v>
      </c>
      <c r="E897" s="492" t="s">
        <v>372</v>
      </c>
      <c r="F897" s="493">
        <v>149496.0</v>
      </c>
      <c r="G897" s="493">
        <v>91324.0</v>
      </c>
      <c r="H897" s="493">
        <v>61.09</v>
      </c>
      <c r="I897" s="493">
        <v>9.88</v>
      </c>
      <c r="J897" s="493">
        <v>12.88</v>
      </c>
      <c r="K897" s="493">
        <v>9646960.0</v>
      </c>
      <c r="L897" s="493">
        <v>9.7680828E7</v>
      </c>
      <c r="M897" s="493">
        <v>64.5299</v>
      </c>
      <c r="N897" s="6">
        <v>105.6344</v>
      </c>
    </row>
    <row r="898">
      <c r="A898" s="491" t="s">
        <v>2020</v>
      </c>
      <c r="B898" s="491" t="s">
        <v>163</v>
      </c>
      <c r="C898" s="491" t="s">
        <v>75</v>
      </c>
      <c r="D898" s="491" t="s">
        <v>2018</v>
      </c>
      <c r="E898" s="492" t="s">
        <v>368</v>
      </c>
      <c r="F898" s="493">
        <v>149496.0</v>
      </c>
      <c r="G898" s="493">
        <v>62429.0</v>
      </c>
      <c r="H898" s="493">
        <v>41.76</v>
      </c>
      <c r="I898" s="493">
        <v>5.72</v>
      </c>
      <c r="J898" s="493">
        <v>5.52</v>
      </c>
      <c r="K898" s="493">
        <v>5582630.0</v>
      </c>
      <c r="L898" s="493">
        <v>9.7680828E7</v>
      </c>
      <c r="M898" s="493">
        <v>37.343</v>
      </c>
      <c r="N898" s="6">
        <v>89.4237</v>
      </c>
    </row>
    <row r="899">
      <c r="A899" s="491" t="s">
        <v>2020</v>
      </c>
      <c r="B899" s="491" t="s">
        <v>163</v>
      </c>
      <c r="C899" s="491" t="s">
        <v>75</v>
      </c>
      <c r="D899" s="491" t="s">
        <v>2018</v>
      </c>
      <c r="E899" s="492" t="s">
        <v>366</v>
      </c>
      <c r="F899" s="493">
        <v>149496.0</v>
      </c>
      <c r="G899" s="493">
        <v>64271.0</v>
      </c>
      <c r="H899" s="493">
        <v>42.99</v>
      </c>
      <c r="I899" s="493">
        <v>4.01</v>
      </c>
      <c r="J899" s="493">
        <v>4.54</v>
      </c>
      <c r="K899" s="493">
        <v>3912600.0</v>
      </c>
      <c r="L899" s="493">
        <v>9.7680828E7</v>
      </c>
      <c r="M899" s="493">
        <v>26.1719</v>
      </c>
      <c r="N899" s="6">
        <v>60.8766</v>
      </c>
    </row>
    <row r="900">
      <c r="A900" s="491" t="s">
        <v>2020</v>
      </c>
      <c r="B900" s="491" t="s">
        <v>163</v>
      </c>
      <c r="C900" s="491" t="s">
        <v>75</v>
      </c>
      <c r="D900" s="491" t="s">
        <v>2018</v>
      </c>
      <c r="E900" s="492" t="s">
        <v>32</v>
      </c>
      <c r="F900" s="493">
        <v>149496.0</v>
      </c>
      <c r="G900" s="493">
        <v>48649.0</v>
      </c>
      <c r="H900" s="493">
        <v>32.54</v>
      </c>
      <c r="I900" s="493">
        <v>2.36</v>
      </c>
      <c r="J900" s="493">
        <v>2.32</v>
      </c>
      <c r="K900" s="493">
        <v>2308510.0</v>
      </c>
      <c r="L900" s="493">
        <v>9.7680828E7</v>
      </c>
      <c r="M900" s="493">
        <v>15.442</v>
      </c>
      <c r="N900" s="6">
        <v>47.4524</v>
      </c>
    </row>
    <row r="901">
      <c r="A901" s="491" t="s">
        <v>2020</v>
      </c>
      <c r="B901" s="491" t="s">
        <v>163</v>
      </c>
      <c r="C901" s="491" t="s">
        <v>75</v>
      </c>
      <c r="D901" s="491" t="s">
        <v>2018</v>
      </c>
      <c r="E901" s="492" t="s">
        <v>369</v>
      </c>
      <c r="F901" s="493">
        <v>149496.0</v>
      </c>
      <c r="G901" s="493">
        <v>38947.0</v>
      </c>
      <c r="H901" s="493">
        <v>26.05</v>
      </c>
      <c r="I901" s="493">
        <v>1.98</v>
      </c>
      <c r="J901" s="493">
        <v>1.55</v>
      </c>
      <c r="K901" s="493">
        <v>1929675.0</v>
      </c>
      <c r="L901" s="493">
        <v>9.7680828E7</v>
      </c>
      <c r="M901" s="493">
        <v>12.9079</v>
      </c>
      <c r="N901" s="6">
        <v>49.5462</v>
      </c>
    </row>
    <row r="902">
      <c r="A902" s="491" t="s">
        <v>2020</v>
      </c>
      <c r="B902" s="491" t="s">
        <v>163</v>
      </c>
      <c r="C902" s="491" t="s">
        <v>75</v>
      </c>
      <c r="D902" s="491" t="s">
        <v>2018</v>
      </c>
      <c r="E902" s="492" t="s">
        <v>43</v>
      </c>
      <c r="F902" s="493">
        <v>149496.0</v>
      </c>
      <c r="G902" s="493">
        <v>35868.0</v>
      </c>
      <c r="H902" s="493">
        <v>23.99</v>
      </c>
      <c r="I902" s="493">
        <v>1.35</v>
      </c>
      <c r="J902" s="493">
        <v>1.57</v>
      </c>
      <c r="K902" s="493">
        <v>1316175.0</v>
      </c>
      <c r="L902" s="493">
        <v>9.7680828E7</v>
      </c>
      <c r="M902" s="493">
        <v>8.8041</v>
      </c>
      <c r="N902" s="6">
        <v>36.695</v>
      </c>
    </row>
    <row r="903">
      <c r="A903" s="491" t="s">
        <v>2020</v>
      </c>
      <c r="B903" s="491" t="s">
        <v>163</v>
      </c>
      <c r="C903" s="491" t="s">
        <v>75</v>
      </c>
      <c r="D903" s="491" t="s">
        <v>2018</v>
      </c>
      <c r="E903" s="492" t="s">
        <v>365</v>
      </c>
      <c r="F903" s="493">
        <v>149496.0</v>
      </c>
      <c r="G903" s="493">
        <v>29536.0</v>
      </c>
      <c r="H903" s="493">
        <v>19.76</v>
      </c>
      <c r="I903" s="493">
        <v>1.25</v>
      </c>
      <c r="J903" s="493">
        <v>0.87</v>
      </c>
      <c r="K903" s="493">
        <v>1221005.0</v>
      </c>
      <c r="L903" s="493">
        <v>9.7680828E7</v>
      </c>
      <c r="M903" s="493">
        <v>8.1675</v>
      </c>
      <c r="N903" s="6">
        <v>41.3396</v>
      </c>
    </row>
    <row r="904">
      <c r="A904" s="491" t="s">
        <v>2020</v>
      </c>
      <c r="B904" s="491" t="s">
        <v>163</v>
      </c>
      <c r="C904" s="491" t="s">
        <v>75</v>
      </c>
      <c r="D904" s="491" t="s">
        <v>2018</v>
      </c>
      <c r="E904" s="492" t="s">
        <v>35</v>
      </c>
      <c r="F904" s="493">
        <v>149496.0</v>
      </c>
      <c r="G904" s="493">
        <v>22615.0</v>
      </c>
      <c r="H904" s="493">
        <v>15.13</v>
      </c>
      <c r="I904" s="493">
        <v>1.06</v>
      </c>
      <c r="J904" s="493">
        <v>0.93</v>
      </c>
      <c r="K904" s="493">
        <v>1032240.0</v>
      </c>
      <c r="L904" s="493">
        <v>9.7680828E7</v>
      </c>
      <c r="M904" s="493">
        <v>6.9048</v>
      </c>
      <c r="N904" s="6">
        <v>45.644</v>
      </c>
    </row>
    <row r="905">
      <c r="A905" s="491" t="s">
        <v>2020</v>
      </c>
      <c r="B905" s="491" t="s">
        <v>163</v>
      </c>
      <c r="C905" s="491" t="s">
        <v>75</v>
      </c>
      <c r="D905" s="491" t="s">
        <v>2018</v>
      </c>
      <c r="E905" s="492" t="s">
        <v>189</v>
      </c>
      <c r="F905" s="493">
        <v>149496.0</v>
      </c>
      <c r="G905" s="493">
        <v>20257.0</v>
      </c>
      <c r="H905" s="493">
        <v>13.55</v>
      </c>
      <c r="I905" s="493">
        <v>0.7</v>
      </c>
      <c r="J905" s="493">
        <v>0.58</v>
      </c>
      <c r="K905" s="493">
        <v>685245.0</v>
      </c>
      <c r="L905" s="493">
        <v>9.7680828E7</v>
      </c>
      <c r="M905" s="493">
        <v>4.5837</v>
      </c>
      <c r="N905" s="6">
        <v>33.8276</v>
      </c>
    </row>
    <row r="906">
      <c r="A906" s="491" t="s">
        <v>2020</v>
      </c>
      <c r="B906" s="491" t="s">
        <v>163</v>
      </c>
      <c r="C906" s="491" t="s">
        <v>75</v>
      </c>
      <c r="D906" s="491" t="s">
        <v>2018</v>
      </c>
      <c r="E906" s="492" t="s">
        <v>370</v>
      </c>
      <c r="F906" s="493">
        <v>149496.0</v>
      </c>
      <c r="G906" s="493">
        <v>18108.0</v>
      </c>
      <c r="H906" s="493">
        <v>12.11</v>
      </c>
      <c r="I906" s="493">
        <v>0.63</v>
      </c>
      <c r="J906" s="493">
        <v>0.89</v>
      </c>
      <c r="K906" s="493">
        <v>616163.0</v>
      </c>
      <c r="L906" s="493">
        <v>9.7680828E7</v>
      </c>
      <c r="M906" s="493">
        <v>4.1216</v>
      </c>
      <c r="N906" s="6">
        <v>34.0271</v>
      </c>
    </row>
    <row r="907">
      <c r="A907" s="491" t="s">
        <v>2020</v>
      </c>
      <c r="B907" s="491" t="s">
        <v>163</v>
      </c>
      <c r="C907" s="491" t="s">
        <v>75</v>
      </c>
      <c r="D907" s="491" t="s">
        <v>2018</v>
      </c>
      <c r="E907" s="492" t="s">
        <v>50</v>
      </c>
      <c r="F907" s="493">
        <v>149496.0</v>
      </c>
      <c r="G907" s="493">
        <v>2456.0</v>
      </c>
      <c r="H907" s="493">
        <v>1.64</v>
      </c>
      <c r="I907" s="493">
        <v>0.13</v>
      </c>
      <c r="J907" s="493">
        <v>0.19</v>
      </c>
      <c r="K907" s="493">
        <v>128040.0</v>
      </c>
      <c r="L907" s="493">
        <v>9.7680828E7</v>
      </c>
      <c r="M907" s="493">
        <v>0.8565</v>
      </c>
      <c r="N907" s="6">
        <v>52.1336</v>
      </c>
    </row>
    <row r="908">
      <c r="A908" s="491" t="s">
        <v>2020</v>
      </c>
      <c r="B908" s="491" t="s">
        <v>163</v>
      </c>
      <c r="C908" s="491" t="s">
        <v>75</v>
      </c>
      <c r="D908" s="491" t="s">
        <v>2018</v>
      </c>
      <c r="E908" s="492" t="s">
        <v>134</v>
      </c>
      <c r="F908" s="493">
        <v>149496.0</v>
      </c>
      <c r="G908" s="493">
        <v>4321.0</v>
      </c>
      <c r="H908" s="493">
        <v>2.89</v>
      </c>
      <c r="I908" s="493">
        <v>0.1</v>
      </c>
      <c r="J908" s="493">
        <v>0.14</v>
      </c>
      <c r="K908" s="493">
        <v>92980.0</v>
      </c>
      <c r="L908" s="493">
        <v>9.7680828E7</v>
      </c>
      <c r="M908" s="493">
        <v>0.622</v>
      </c>
      <c r="N908" s="6">
        <v>21.5182</v>
      </c>
    </row>
    <row r="909">
      <c r="A909" s="491" t="s">
        <v>2020</v>
      </c>
      <c r="B909" s="491" t="s">
        <v>163</v>
      </c>
      <c r="C909" s="491" t="s">
        <v>75</v>
      </c>
      <c r="D909" s="491" t="s">
        <v>2018</v>
      </c>
      <c r="E909" s="492" t="s">
        <v>373</v>
      </c>
      <c r="F909" s="493">
        <v>149496.0</v>
      </c>
      <c r="G909" s="493">
        <v>3.0</v>
      </c>
      <c r="H909" s="493">
        <v>0.0</v>
      </c>
      <c r="I909" s="493">
        <v>0.0</v>
      </c>
      <c r="J909" s="493">
        <v>0.0</v>
      </c>
      <c r="K909" s="493">
        <v>75.0</v>
      </c>
      <c r="L909" s="493">
        <v>9.7680828E7</v>
      </c>
      <c r="M909" s="493">
        <v>5.0E-4</v>
      </c>
      <c r="N909" s="6">
        <v>25.0</v>
      </c>
    </row>
    <row r="910">
      <c r="A910" s="491" t="s">
        <v>2020</v>
      </c>
      <c r="B910" s="491" t="s">
        <v>163</v>
      </c>
      <c r="C910" s="491" t="s">
        <v>75</v>
      </c>
      <c r="D910" s="491" t="s">
        <v>2018</v>
      </c>
      <c r="E910" s="492" t="s">
        <v>42</v>
      </c>
      <c r="F910" s="493">
        <v>149496.0</v>
      </c>
      <c r="G910" s="493">
        <v>1.0</v>
      </c>
      <c r="H910" s="493">
        <v>0.0</v>
      </c>
      <c r="I910" s="493">
        <v>0.0</v>
      </c>
      <c r="J910" s="493">
        <v>0.0</v>
      </c>
      <c r="K910" s="493">
        <v>60.0</v>
      </c>
      <c r="L910" s="493">
        <v>9.7680828E7</v>
      </c>
      <c r="M910" s="493">
        <v>4.0E-4</v>
      </c>
      <c r="N910" s="6">
        <v>60.0</v>
      </c>
    </row>
    <row r="911">
      <c r="A911" s="491" t="s">
        <v>2020</v>
      </c>
      <c r="B911" s="491" t="s">
        <v>163</v>
      </c>
      <c r="C911" s="491" t="s">
        <v>75</v>
      </c>
      <c r="D911" s="491" t="s">
        <v>2018</v>
      </c>
      <c r="E911" s="492" t="s">
        <v>374</v>
      </c>
      <c r="F911" s="493">
        <v>149496.0</v>
      </c>
      <c r="G911" s="493">
        <v>1.0</v>
      </c>
      <c r="H911" s="493">
        <v>0.0</v>
      </c>
      <c r="I911" s="493">
        <v>0.0</v>
      </c>
      <c r="J911" s="493">
        <v>0.0</v>
      </c>
      <c r="K911" s="493">
        <v>50.0</v>
      </c>
      <c r="L911" s="493">
        <v>9.7680828E7</v>
      </c>
      <c r="M911" s="493">
        <v>3.0E-4</v>
      </c>
      <c r="N911" s="6">
        <v>50.0</v>
      </c>
    </row>
    <row r="912">
      <c r="A912" s="491" t="s">
        <v>2020</v>
      </c>
      <c r="B912" s="491" t="s">
        <v>1857</v>
      </c>
      <c r="C912" s="491" t="s">
        <v>71</v>
      </c>
      <c r="D912" s="491" t="s">
        <v>565</v>
      </c>
      <c r="E912" s="492" t="s">
        <v>371</v>
      </c>
      <c r="F912" s="493">
        <v>76961.0</v>
      </c>
      <c r="G912" s="493">
        <v>53527.0</v>
      </c>
      <c r="H912" s="493">
        <v>69.55</v>
      </c>
      <c r="I912" s="493">
        <v>28.86</v>
      </c>
      <c r="J912" s="493">
        <v>28.58</v>
      </c>
      <c r="K912" s="493">
        <v>135330.0</v>
      </c>
      <c r="L912" s="493">
        <v>468940.0</v>
      </c>
      <c r="M912" s="493">
        <v>1.7584</v>
      </c>
      <c r="N912" s="6">
        <v>2.5283</v>
      </c>
    </row>
    <row r="913">
      <c r="A913" s="491" t="s">
        <v>2020</v>
      </c>
      <c r="B913" s="491" t="s">
        <v>1857</v>
      </c>
      <c r="C913" s="491" t="s">
        <v>71</v>
      </c>
      <c r="D913" s="491" t="s">
        <v>565</v>
      </c>
      <c r="E913" s="492" t="s">
        <v>370</v>
      </c>
      <c r="F913" s="493">
        <v>76961.0</v>
      </c>
      <c r="G913" s="493">
        <v>58263.0</v>
      </c>
      <c r="H913" s="493">
        <v>75.7</v>
      </c>
      <c r="I913" s="493">
        <v>24.77</v>
      </c>
      <c r="J913" s="493">
        <v>33.24</v>
      </c>
      <c r="K913" s="493">
        <v>116164.0</v>
      </c>
      <c r="L913" s="493">
        <v>468940.0</v>
      </c>
      <c r="M913" s="493">
        <v>1.5094</v>
      </c>
      <c r="N913" s="6">
        <v>1.9938</v>
      </c>
    </row>
    <row r="914">
      <c r="A914" s="491" t="s">
        <v>2020</v>
      </c>
      <c r="B914" s="491" t="s">
        <v>1857</v>
      </c>
      <c r="C914" s="491" t="s">
        <v>71</v>
      </c>
      <c r="D914" s="491" t="s">
        <v>565</v>
      </c>
      <c r="E914" s="492" t="s">
        <v>372</v>
      </c>
      <c r="F914" s="493">
        <v>76961.0</v>
      </c>
      <c r="G914" s="493">
        <v>32089.0</v>
      </c>
      <c r="H914" s="493">
        <v>41.7</v>
      </c>
      <c r="I914" s="493">
        <v>18.95</v>
      </c>
      <c r="J914" s="493">
        <v>12.38</v>
      </c>
      <c r="K914" s="493">
        <v>88855.0</v>
      </c>
      <c r="L914" s="493">
        <v>468940.0</v>
      </c>
      <c r="M914" s="493">
        <v>1.1545</v>
      </c>
      <c r="N914" s="6">
        <v>2.769</v>
      </c>
    </row>
    <row r="915">
      <c r="A915" s="491" t="s">
        <v>2020</v>
      </c>
      <c r="B915" s="491" t="s">
        <v>1857</v>
      </c>
      <c r="C915" s="491" t="s">
        <v>71</v>
      </c>
      <c r="D915" s="491" t="s">
        <v>565</v>
      </c>
      <c r="E915" s="492" t="s">
        <v>49</v>
      </c>
      <c r="F915" s="493">
        <v>76961.0</v>
      </c>
      <c r="G915" s="493">
        <v>24155.0</v>
      </c>
      <c r="H915" s="493">
        <v>31.39</v>
      </c>
      <c r="I915" s="493">
        <v>8.3</v>
      </c>
      <c r="J915" s="493">
        <v>7.87</v>
      </c>
      <c r="K915" s="493">
        <v>38927.0</v>
      </c>
      <c r="L915" s="493">
        <v>468940.0</v>
      </c>
      <c r="M915" s="493">
        <v>0.5058</v>
      </c>
      <c r="N915" s="6">
        <v>1.6116</v>
      </c>
    </row>
    <row r="916">
      <c r="A916" s="491" t="s">
        <v>2020</v>
      </c>
      <c r="B916" s="491" t="s">
        <v>1857</v>
      </c>
      <c r="C916" s="491" t="s">
        <v>71</v>
      </c>
      <c r="D916" s="491" t="s">
        <v>565</v>
      </c>
      <c r="E916" s="492" t="s">
        <v>42</v>
      </c>
      <c r="F916" s="493">
        <v>76961.0</v>
      </c>
      <c r="G916" s="493">
        <v>20125.0</v>
      </c>
      <c r="H916" s="493">
        <v>26.15</v>
      </c>
      <c r="I916" s="493">
        <v>6.71</v>
      </c>
      <c r="J916" s="493">
        <v>7.49</v>
      </c>
      <c r="K916" s="493">
        <v>31469.0</v>
      </c>
      <c r="L916" s="493">
        <v>468940.0</v>
      </c>
      <c r="M916" s="493">
        <v>0.4089</v>
      </c>
      <c r="N916" s="6">
        <v>1.5637</v>
      </c>
    </row>
    <row r="917">
      <c r="A917" s="491" t="s">
        <v>2020</v>
      </c>
      <c r="B917" s="491" t="s">
        <v>1857</v>
      </c>
      <c r="C917" s="491" t="s">
        <v>71</v>
      </c>
      <c r="D917" s="491" t="s">
        <v>565</v>
      </c>
      <c r="E917" s="492" t="s">
        <v>44</v>
      </c>
      <c r="F917" s="493">
        <v>76961.0</v>
      </c>
      <c r="G917" s="493">
        <v>19327.0</v>
      </c>
      <c r="H917" s="493">
        <v>25.11</v>
      </c>
      <c r="I917" s="493">
        <v>5.87</v>
      </c>
      <c r="J917" s="493">
        <v>4.18</v>
      </c>
      <c r="K917" s="493">
        <v>27507.0</v>
      </c>
      <c r="L917" s="493">
        <v>468940.0</v>
      </c>
      <c r="M917" s="493">
        <v>0.3574</v>
      </c>
      <c r="N917" s="6">
        <v>1.4232</v>
      </c>
    </row>
    <row r="918">
      <c r="A918" s="491" t="s">
        <v>2020</v>
      </c>
      <c r="B918" s="491" t="s">
        <v>1857</v>
      </c>
      <c r="C918" s="491" t="s">
        <v>71</v>
      </c>
      <c r="D918" s="491" t="s">
        <v>565</v>
      </c>
      <c r="E918" s="492" t="s">
        <v>50</v>
      </c>
      <c r="F918" s="493">
        <v>76961.0</v>
      </c>
      <c r="G918" s="493">
        <v>11337.0</v>
      </c>
      <c r="H918" s="493">
        <v>14.73</v>
      </c>
      <c r="I918" s="493">
        <v>3.06</v>
      </c>
      <c r="J918" s="493">
        <v>2.44</v>
      </c>
      <c r="K918" s="493">
        <v>14346.0</v>
      </c>
      <c r="L918" s="493">
        <v>468940.0</v>
      </c>
      <c r="M918" s="493">
        <v>0.1864</v>
      </c>
      <c r="N918" s="6">
        <v>1.2654</v>
      </c>
    </row>
    <row r="919">
      <c r="A919" s="491" t="s">
        <v>2020</v>
      </c>
      <c r="B919" s="491" t="s">
        <v>1857</v>
      </c>
      <c r="C919" s="491" t="s">
        <v>71</v>
      </c>
      <c r="D919" s="491" t="s">
        <v>565</v>
      </c>
      <c r="E919" s="492" t="s">
        <v>366</v>
      </c>
      <c r="F919" s="493">
        <v>76961.0</v>
      </c>
      <c r="G919" s="493">
        <v>10060.0</v>
      </c>
      <c r="H919" s="493">
        <v>13.07</v>
      </c>
      <c r="I919" s="493">
        <v>2.2</v>
      </c>
      <c r="J919" s="493">
        <v>2.35</v>
      </c>
      <c r="K919" s="493">
        <v>10296.0</v>
      </c>
      <c r="L919" s="493">
        <v>468940.0</v>
      </c>
      <c r="M919" s="493">
        <v>0.1338</v>
      </c>
      <c r="N919" s="6">
        <v>1.0235</v>
      </c>
    </row>
    <row r="920">
      <c r="A920" s="491" t="s">
        <v>2020</v>
      </c>
      <c r="B920" s="491" t="s">
        <v>1857</v>
      </c>
      <c r="C920" s="491" t="s">
        <v>71</v>
      </c>
      <c r="D920" s="491" t="s">
        <v>565</v>
      </c>
      <c r="E920" s="492" t="s">
        <v>134</v>
      </c>
      <c r="F920" s="493">
        <v>76961.0</v>
      </c>
      <c r="G920" s="493">
        <v>3919.0</v>
      </c>
      <c r="H920" s="493">
        <v>5.09</v>
      </c>
      <c r="I920" s="493">
        <v>0.98</v>
      </c>
      <c r="J920" s="493">
        <v>1.18</v>
      </c>
      <c r="K920" s="493">
        <v>4616.0</v>
      </c>
      <c r="L920" s="493">
        <v>468940.0</v>
      </c>
      <c r="M920" s="493">
        <v>0.06</v>
      </c>
      <c r="N920" s="6">
        <v>1.1779</v>
      </c>
    </row>
    <row r="921">
      <c r="A921" s="491" t="s">
        <v>2020</v>
      </c>
      <c r="B921" s="491" t="s">
        <v>1857</v>
      </c>
      <c r="C921" s="491" t="s">
        <v>71</v>
      </c>
      <c r="D921" s="491" t="s">
        <v>565</v>
      </c>
      <c r="E921" s="492" t="s">
        <v>43</v>
      </c>
      <c r="F921" s="493">
        <v>76961.0</v>
      </c>
      <c r="G921" s="493">
        <v>1292.0</v>
      </c>
      <c r="H921" s="493">
        <v>1.68</v>
      </c>
      <c r="I921" s="493">
        <v>0.28</v>
      </c>
      <c r="J921" s="493">
        <v>0.27</v>
      </c>
      <c r="K921" s="493">
        <v>1336.0</v>
      </c>
      <c r="L921" s="493">
        <v>468940.0</v>
      </c>
      <c r="M921" s="493">
        <v>0.0174</v>
      </c>
      <c r="N921" s="6">
        <v>1.0341</v>
      </c>
    </row>
    <row r="922">
      <c r="A922" s="491" t="s">
        <v>2020</v>
      </c>
      <c r="B922" s="491" t="s">
        <v>1857</v>
      </c>
      <c r="C922" s="491" t="s">
        <v>71</v>
      </c>
      <c r="D922" s="491" t="s">
        <v>565</v>
      </c>
      <c r="E922" s="492" t="s">
        <v>35</v>
      </c>
      <c r="F922" s="493">
        <v>76961.0</v>
      </c>
      <c r="G922" s="493">
        <v>27.0</v>
      </c>
      <c r="H922" s="493">
        <v>0.04</v>
      </c>
      <c r="I922" s="493">
        <v>0.01</v>
      </c>
      <c r="J922" s="493">
        <v>0.01</v>
      </c>
      <c r="K922" s="493">
        <v>28.0</v>
      </c>
      <c r="L922" s="493">
        <v>468940.0</v>
      </c>
      <c r="M922" s="493">
        <v>4.0E-4</v>
      </c>
      <c r="N922" s="6">
        <v>1.037</v>
      </c>
    </row>
    <row r="923">
      <c r="A923" s="491" t="s">
        <v>2020</v>
      </c>
      <c r="B923" s="491" t="s">
        <v>1857</v>
      </c>
      <c r="C923" s="491" t="s">
        <v>71</v>
      </c>
      <c r="D923" s="491" t="s">
        <v>565</v>
      </c>
      <c r="E923" s="492" t="s">
        <v>369</v>
      </c>
      <c r="F923" s="493">
        <v>76961.0</v>
      </c>
      <c r="G923" s="493">
        <v>54.0</v>
      </c>
      <c r="H923" s="493">
        <v>0.07</v>
      </c>
      <c r="I923" s="493">
        <v>0.01</v>
      </c>
      <c r="J923" s="493">
        <v>0.01</v>
      </c>
      <c r="K923" s="493">
        <v>54.0</v>
      </c>
      <c r="L923" s="493">
        <v>468940.0</v>
      </c>
      <c r="M923" s="493">
        <v>7.0E-4</v>
      </c>
      <c r="N923" s="6">
        <v>1.0</v>
      </c>
    </row>
    <row r="924">
      <c r="A924" s="491" t="s">
        <v>2020</v>
      </c>
      <c r="B924" s="491" t="s">
        <v>1857</v>
      </c>
      <c r="C924" s="491" t="s">
        <v>71</v>
      </c>
      <c r="D924" s="491" t="s">
        <v>565</v>
      </c>
      <c r="E924" s="492" t="s">
        <v>32</v>
      </c>
      <c r="F924" s="493">
        <v>76961.0</v>
      </c>
      <c r="G924" s="493">
        <v>4.0</v>
      </c>
      <c r="H924" s="493">
        <v>0.01</v>
      </c>
      <c r="I924" s="493">
        <v>0.0</v>
      </c>
      <c r="J924" s="493">
        <v>0.0</v>
      </c>
      <c r="K924" s="493">
        <v>6.0</v>
      </c>
      <c r="L924" s="493">
        <v>468940.0</v>
      </c>
      <c r="M924" s="493">
        <v>1.0E-4</v>
      </c>
      <c r="N924" s="6">
        <v>1.5</v>
      </c>
    </row>
    <row r="925">
      <c r="A925" s="491" t="s">
        <v>2020</v>
      </c>
      <c r="B925" s="491" t="s">
        <v>1857</v>
      </c>
      <c r="C925" s="491" t="s">
        <v>71</v>
      </c>
      <c r="D925" s="491" t="s">
        <v>565</v>
      </c>
      <c r="E925" s="492" t="s">
        <v>312</v>
      </c>
      <c r="F925" s="493">
        <v>76961.0</v>
      </c>
      <c r="G925" s="493">
        <v>2.0</v>
      </c>
      <c r="H925" s="493">
        <v>0.0</v>
      </c>
      <c r="I925" s="493">
        <v>0.0</v>
      </c>
      <c r="J925" s="493">
        <v>0.0</v>
      </c>
      <c r="K925" s="493">
        <v>3.0</v>
      </c>
      <c r="L925" s="493">
        <v>468940.0</v>
      </c>
      <c r="M925" s="493">
        <v>0.0</v>
      </c>
      <c r="N925" s="6">
        <v>1.5</v>
      </c>
    </row>
    <row r="926">
      <c r="A926" s="491" t="s">
        <v>2020</v>
      </c>
      <c r="B926" s="491" t="s">
        <v>1857</v>
      </c>
      <c r="C926" s="491" t="s">
        <v>71</v>
      </c>
      <c r="D926" s="491" t="s">
        <v>565</v>
      </c>
      <c r="E926" s="492" t="s">
        <v>189</v>
      </c>
      <c r="F926" s="493">
        <v>76961.0</v>
      </c>
      <c r="G926" s="493">
        <v>3.0</v>
      </c>
      <c r="H926" s="493">
        <v>0.0</v>
      </c>
      <c r="I926" s="493">
        <v>0.0</v>
      </c>
      <c r="J926" s="493">
        <v>0.0</v>
      </c>
      <c r="K926" s="493">
        <v>3.0</v>
      </c>
      <c r="L926" s="493">
        <v>468940.0</v>
      </c>
      <c r="M926" s="493">
        <v>0.0</v>
      </c>
      <c r="N926" s="6">
        <v>1.0</v>
      </c>
    </row>
    <row r="927">
      <c r="A927" s="491" t="s">
        <v>2020</v>
      </c>
      <c r="B927" s="491" t="s">
        <v>1857</v>
      </c>
      <c r="C927" s="491" t="s">
        <v>70</v>
      </c>
      <c r="D927" s="491" t="s">
        <v>565</v>
      </c>
      <c r="E927" s="492" t="s">
        <v>371</v>
      </c>
      <c r="F927" s="493">
        <v>83742.0</v>
      </c>
      <c r="G927" s="493">
        <v>66147.0</v>
      </c>
      <c r="H927" s="493">
        <v>78.99</v>
      </c>
      <c r="I927" s="493">
        <v>29.08</v>
      </c>
      <c r="J927" s="493">
        <v>27.47</v>
      </c>
      <c r="K927" s="493">
        <v>236766.0</v>
      </c>
      <c r="L927" s="493">
        <v>814061.0</v>
      </c>
      <c r="M927" s="493">
        <v>2.8273</v>
      </c>
      <c r="N927" s="6">
        <v>3.5794</v>
      </c>
    </row>
    <row r="928">
      <c r="A928" s="491" t="s">
        <v>2020</v>
      </c>
      <c r="B928" s="491" t="s">
        <v>1857</v>
      </c>
      <c r="C928" s="491" t="s">
        <v>70</v>
      </c>
      <c r="D928" s="491" t="s">
        <v>565</v>
      </c>
      <c r="E928" s="492" t="s">
        <v>372</v>
      </c>
      <c r="F928" s="493">
        <v>83742.0</v>
      </c>
      <c r="G928" s="493">
        <v>60094.0</v>
      </c>
      <c r="H928" s="493">
        <v>71.76</v>
      </c>
      <c r="I928" s="493">
        <v>22.61</v>
      </c>
      <c r="J928" s="493">
        <v>23.0</v>
      </c>
      <c r="K928" s="493">
        <v>184029.0</v>
      </c>
      <c r="L928" s="493">
        <v>814061.0</v>
      </c>
      <c r="M928" s="493">
        <v>2.1976</v>
      </c>
      <c r="N928" s="6">
        <v>3.0624</v>
      </c>
    </row>
    <row r="929">
      <c r="A929" s="491" t="s">
        <v>2020</v>
      </c>
      <c r="B929" s="491" t="s">
        <v>1857</v>
      </c>
      <c r="C929" s="491" t="s">
        <v>70</v>
      </c>
      <c r="D929" s="491" t="s">
        <v>565</v>
      </c>
      <c r="E929" s="492" t="s">
        <v>370</v>
      </c>
      <c r="F929" s="493">
        <v>83742.0</v>
      </c>
      <c r="G929" s="493">
        <v>58393.0</v>
      </c>
      <c r="H929" s="493">
        <v>69.73</v>
      </c>
      <c r="I929" s="493">
        <v>14.31</v>
      </c>
      <c r="J929" s="493">
        <v>17.03</v>
      </c>
      <c r="K929" s="493">
        <v>116481.0</v>
      </c>
      <c r="L929" s="493">
        <v>814061.0</v>
      </c>
      <c r="M929" s="493">
        <v>1.391</v>
      </c>
      <c r="N929" s="6">
        <v>1.9948</v>
      </c>
    </row>
    <row r="930">
      <c r="A930" s="491" t="s">
        <v>2020</v>
      </c>
      <c r="B930" s="491" t="s">
        <v>1857</v>
      </c>
      <c r="C930" s="491" t="s">
        <v>70</v>
      </c>
      <c r="D930" s="491" t="s">
        <v>565</v>
      </c>
      <c r="E930" s="492" t="s">
        <v>44</v>
      </c>
      <c r="F930" s="493">
        <v>83742.0</v>
      </c>
      <c r="G930" s="493">
        <v>34690.0</v>
      </c>
      <c r="H930" s="493">
        <v>41.42</v>
      </c>
      <c r="I930" s="493">
        <v>7.08</v>
      </c>
      <c r="J930" s="493">
        <v>5.95</v>
      </c>
      <c r="K930" s="493">
        <v>57607.0</v>
      </c>
      <c r="L930" s="493">
        <v>814061.0</v>
      </c>
      <c r="M930" s="493">
        <v>0.6879</v>
      </c>
      <c r="N930" s="6">
        <v>1.6606</v>
      </c>
    </row>
    <row r="931">
      <c r="A931" s="491" t="s">
        <v>2020</v>
      </c>
      <c r="B931" s="491" t="s">
        <v>1857</v>
      </c>
      <c r="C931" s="491" t="s">
        <v>70</v>
      </c>
      <c r="D931" s="491" t="s">
        <v>565</v>
      </c>
      <c r="E931" s="492" t="s">
        <v>369</v>
      </c>
      <c r="F931" s="493">
        <v>83742.0</v>
      </c>
      <c r="G931" s="493">
        <v>38549.0</v>
      </c>
      <c r="H931" s="493">
        <v>46.03</v>
      </c>
      <c r="I931" s="493">
        <v>6.48</v>
      </c>
      <c r="J931" s="493">
        <v>7.01</v>
      </c>
      <c r="K931" s="493">
        <v>52735.0</v>
      </c>
      <c r="L931" s="493">
        <v>814061.0</v>
      </c>
      <c r="M931" s="493">
        <v>0.6297</v>
      </c>
      <c r="N931" s="6">
        <v>1.368</v>
      </c>
    </row>
    <row r="932">
      <c r="A932" s="491" t="s">
        <v>2020</v>
      </c>
      <c r="B932" s="491" t="s">
        <v>1857</v>
      </c>
      <c r="C932" s="491" t="s">
        <v>70</v>
      </c>
      <c r="D932" s="491" t="s">
        <v>565</v>
      </c>
      <c r="E932" s="492" t="s">
        <v>368</v>
      </c>
      <c r="F932" s="493">
        <v>83742.0</v>
      </c>
      <c r="G932" s="493">
        <v>20418.0</v>
      </c>
      <c r="H932" s="493">
        <v>24.38</v>
      </c>
      <c r="I932" s="493">
        <v>5.77</v>
      </c>
      <c r="J932" s="493">
        <v>5.44</v>
      </c>
      <c r="K932" s="493">
        <v>47003.0</v>
      </c>
      <c r="L932" s="493">
        <v>814061.0</v>
      </c>
      <c r="M932" s="493">
        <v>0.5613</v>
      </c>
      <c r="N932" s="6">
        <v>2.302</v>
      </c>
    </row>
    <row r="933">
      <c r="A933" s="491" t="s">
        <v>2020</v>
      </c>
      <c r="B933" s="491" t="s">
        <v>1857</v>
      </c>
      <c r="C933" s="491" t="s">
        <v>70</v>
      </c>
      <c r="D933" s="491" t="s">
        <v>565</v>
      </c>
      <c r="E933" s="492" t="s">
        <v>49</v>
      </c>
      <c r="F933" s="493">
        <v>83742.0</v>
      </c>
      <c r="G933" s="493">
        <v>24155.0</v>
      </c>
      <c r="H933" s="493">
        <v>28.84</v>
      </c>
      <c r="I933" s="493">
        <v>4.78</v>
      </c>
      <c r="J933" s="493">
        <v>4.27</v>
      </c>
      <c r="K933" s="493">
        <v>38927.0</v>
      </c>
      <c r="L933" s="493">
        <v>814061.0</v>
      </c>
      <c r="M933" s="493">
        <v>0.4648</v>
      </c>
      <c r="N933" s="6">
        <v>1.6116</v>
      </c>
    </row>
    <row r="934">
      <c r="A934" s="491" t="s">
        <v>2020</v>
      </c>
      <c r="B934" s="491" t="s">
        <v>1857</v>
      </c>
      <c r="C934" s="491" t="s">
        <v>70</v>
      </c>
      <c r="D934" s="491" t="s">
        <v>565</v>
      </c>
      <c r="E934" s="492" t="s">
        <v>189</v>
      </c>
      <c r="F934" s="493">
        <v>83742.0</v>
      </c>
      <c r="G934" s="493">
        <v>20709.0</v>
      </c>
      <c r="H934" s="493">
        <v>24.73</v>
      </c>
      <c r="I934" s="493">
        <v>2.59</v>
      </c>
      <c r="J934" s="493">
        <v>2.92</v>
      </c>
      <c r="K934" s="493">
        <v>21093.0</v>
      </c>
      <c r="L934" s="493">
        <v>814061.0</v>
      </c>
      <c r="M934" s="493">
        <v>0.2519</v>
      </c>
      <c r="N934" s="6">
        <v>1.0185</v>
      </c>
    </row>
    <row r="935">
      <c r="A935" s="491" t="s">
        <v>2020</v>
      </c>
      <c r="B935" s="491" t="s">
        <v>1857</v>
      </c>
      <c r="C935" s="491" t="s">
        <v>70</v>
      </c>
      <c r="D935" s="491" t="s">
        <v>565</v>
      </c>
      <c r="E935" s="492" t="s">
        <v>35</v>
      </c>
      <c r="F935" s="493">
        <v>83742.0</v>
      </c>
      <c r="G935" s="493">
        <v>17713.0</v>
      </c>
      <c r="H935" s="493">
        <v>21.15</v>
      </c>
      <c r="I935" s="493">
        <v>2.4</v>
      </c>
      <c r="J935" s="493">
        <v>2.42</v>
      </c>
      <c r="K935" s="493">
        <v>19512.0</v>
      </c>
      <c r="L935" s="493">
        <v>814061.0</v>
      </c>
      <c r="M935" s="493">
        <v>0.233</v>
      </c>
      <c r="N935" s="6">
        <v>1.1016</v>
      </c>
    </row>
    <row r="936">
      <c r="A936" s="491" t="s">
        <v>2020</v>
      </c>
      <c r="B936" s="491" t="s">
        <v>1857</v>
      </c>
      <c r="C936" s="491" t="s">
        <v>70</v>
      </c>
      <c r="D936" s="491" t="s">
        <v>565</v>
      </c>
      <c r="E936" s="492" t="s">
        <v>366</v>
      </c>
      <c r="F936" s="493">
        <v>83742.0</v>
      </c>
      <c r="G936" s="493">
        <v>12056.0</v>
      </c>
      <c r="H936" s="493">
        <v>14.4</v>
      </c>
      <c r="I936" s="493">
        <v>1.67</v>
      </c>
      <c r="J936" s="493">
        <v>1.56</v>
      </c>
      <c r="K936" s="493">
        <v>13578.0</v>
      </c>
      <c r="L936" s="493">
        <v>814061.0</v>
      </c>
      <c r="M936" s="493">
        <v>0.1621</v>
      </c>
      <c r="N936" s="6">
        <v>1.1262</v>
      </c>
    </row>
    <row r="937">
      <c r="A937" s="491" t="s">
        <v>2020</v>
      </c>
      <c r="B937" s="491" t="s">
        <v>1857</v>
      </c>
      <c r="C937" s="491" t="s">
        <v>70</v>
      </c>
      <c r="D937" s="491" t="s">
        <v>565</v>
      </c>
      <c r="E937" s="492" t="s">
        <v>42</v>
      </c>
      <c r="F937" s="493">
        <v>83742.0</v>
      </c>
      <c r="G937" s="493">
        <v>9490.0</v>
      </c>
      <c r="H937" s="493">
        <v>11.33</v>
      </c>
      <c r="I937" s="493">
        <v>1.46</v>
      </c>
      <c r="J937" s="493">
        <v>1.52</v>
      </c>
      <c r="K937" s="493">
        <v>11881.0</v>
      </c>
      <c r="L937" s="493">
        <v>814061.0</v>
      </c>
      <c r="M937" s="493">
        <v>0.1419</v>
      </c>
      <c r="N937" s="6">
        <v>1.2519</v>
      </c>
    </row>
    <row r="938">
      <c r="A938" s="491" t="s">
        <v>2020</v>
      </c>
      <c r="B938" s="491" t="s">
        <v>1857</v>
      </c>
      <c r="C938" s="491" t="s">
        <v>70</v>
      </c>
      <c r="D938" s="491" t="s">
        <v>565</v>
      </c>
      <c r="E938" s="492" t="s">
        <v>50</v>
      </c>
      <c r="F938" s="493">
        <v>83742.0</v>
      </c>
      <c r="G938" s="493">
        <v>6739.0</v>
      </c>
      <c r="H938" s="493">
        <v>8.05</v>
      </c>
      <c r="I938" s="493">
        <v>0.98</v>
      </c>
      <c r="J938" s="493">
        <v>0.68</v>
      </c>
      <c r="K938" s="493">
        <v>8007.0</v>
      </c>
      <c r="L938" s="493">
        <v>814061.0</v>
      </c>
      <c r="M938" s="493">
        <v>0.0956</v>
      </c>
      <c r="N938" s="6">
        <v>1.1882</v>
      </c>
    </row>
    <row r="939">
      <c r="A939" s="491" t="s">
        <v>2020</v>
      </c>
      <c r="B939" s="491" t="s">
        <v>1857</v>
      </c>
      <c r="C939" s="491" t="s">
        <v>70</v>
      </c>
      <c r="D939" s="491" t="s">
        <v>565</v>
      </c>
      <c r="E939" s="492" t="s">
        <v>134</v>
      </c>
      <c r="F939" s="493">
        <v>83742.0</v>
      </c>
      <c r="G939" s="493">
        <v>4081.0</v>
      </c>
      <c r="H939" s="493">
        <v>4.87</v>
      </c>
      <c r="I939" s="493">
        <v>0.62</v>
      </c>
      <c r="J939" s="493">
        <v>0.55</v>
      </c>
      <c r="K939" s="493">
        <v>5056.0</v>
      </c>
      <c r="L939" s="493">
        <v>814061.0</v>
      </c>
      <c r="M939" s="493">
        <v>0.0604</v>
      </c>
      <c r="N939" s="6">
        <v>1.2389</v>
      </c>
    </row>
    <row r="940">
      <c r="A940" s="491" t="s">
        <v>2020</v>
      </c>
      <c r="B940" s="491" t="s">
        <v>1857</v>
      </c>
      <c r="C940" s="491" t="s">
        <v>70</v>
      </c>
      <c r="D940" s="491" t="s">
        <v>565</v>
      </c>
      <c r="E940" s="492" t="s">
        <v>43</v>
      </c>
      <c r="F940" s="493">
        <v>83742.0</v>
      </c>
      <c r="G940" s="493">
        <v>1330.0</v>
      </c>
      <c r="H940" s="493">
        <v>1.59</v>
      </c>
      <c r="I940" s="493">
        <v>0.17</v>
      </c>
      <c r="J940" s="493">
        <v>0.17</v>
      </c>
      <c r="K940" s="493">
        <v>1372.0</v>
      </c>
      <c r="L940" s="493">
        <v>814061.0</v>
      </c>
      <c r="M940" s="493">
        <v>0.0164</v>
      </c>
      <c r="N940" s="6">
        <v>1.0316</v>
      </c>
    </row>
    <row r="941">
      <c r="A941" s="491" t="s">
        <v>2020</v>
      </c>
      <c r="B941" s="491" t="s">
        <v>1857</v>
      </c>
      <c r="C941" s="491" t="s">
        <v>70</v>
      </c>
      <c r="D941" s="491" t="s">
        <v>565</v>
      </c>
      <c r="E941" s="492" t="s">
        <v>311</v>
      </c>
      <c r="F941" s="493">
        <v>83742.0</v>
      </c>
      <c r="G941" s="493">
        <v>2.0</v>
      </c>
      <c r="H941" s="493">
        <v>0.0</v>
      </c>
      <c r="I941" s="493">
        <v>0.0</v>
      </c>
      <c r="J941" s="493">
        <v>0.0</v>
      </c>
      <c r="K941" s="493">
        <v>3.0</v>
      </c>
      <c r="L941" s="493">
        <v>814061.0</v>
      </c>
      <c r="M941" s="493">
        <v>0.0</v>
      </c>
      <c r="N941" s="6">
        <v>1.5</v>
      </c>
    </row>
    <row r="942">
      <c r="A942" s="491" t="s">
        <v>2020</v>
      </c>
      <c r="B942" s="491" t="s">
        <v>1857</v>
      </c>
      <c r="C942" s="491" t="s">
        <v>70</v>
      </c>
      <c r="D942" s="491" t="s">
        <v>565</v>
      </c>
      <c r="E942" s="492" t="s">
        <v>32</v>
      </c>
      <c r="F942" s="493">
        <v>83742.0</v>
      </c>
      <c r="G942" s="493">
        <v>11.0</v>
      </c>
      <c r="H942" s="493">
        <v>0.01</v>
      </c>
      <c r="I942" s="493">
        <v>0.0</v>
      </c>
      <c r="J942" s="493">
        <v>0.0</v>
      </c>
      <c r="K942" s="493">
        <v>11.0</v>
      </c>
      <c r="L942" s="493">
        <v>814061.0</v>
      </c>
      <c r="M942" s="493">
        <v>1.0E-4</v>
      </c>
      <c r="N942" s="6">
        <v>1.0</v>
      </c>
    </row>
    <row r="943">
      <c r="A943" s="491" t="s">
        <v>2020</v>
      </c>
      <c r="B943" s="491" t="s">
        <v>1857</v>
      </c>
      <c r="C943" s="491" t="s">
        <v>74</v>
      </c>
      <c r="D943" s="491" t="s">
        <v>565</v>
      </c>
      <c r="E943" s="492" t="s">
        <v>371</v>
      </c>
      <c r="F943" s="493">
        <v>67237.0</v>
      </c>
      <c r="G943" s="493">
        <v>50607.0</v>
      </c>
      <c r="H943" s="493">
        <v>75.27</v>
      </c>
      <c r="I943" s="493">
        <v>31.09</v>
      </c>
      <c r="J943" s="493">
        <v>35.57</v>
      </c>
      <c r="K943" s="493">
        <v>101401.0</v>
      </c>
      <c r="L943" s="493">
        <v>326118.0</v>
      </c>
      <c r="M943" s="493">
        <v>1.5081</v>
      </c>
      <c r="N943" s="6">
        <v>2.0037</v>
      </c>
    </row>
    <row r="944">
      <c r="A944" s="491" t="s">
        <v>2020</v>
      </c>
      <c r="B944" s="491" t="s">
        <v>1857</v>
      </c>
      <c r="C944" s="491" t="s">
        <v>74</v>
      </c>
      <c r="D944" s="491" t="s">
        <v>565</v>
      </c>
      <c r="E944" s="492" t="s">
        <v>42</v>
      </c>
      <c r="F944" s="493">
        <v>67237.0</v>
      </c>
      <c r="G944" s="493">
        <v>36863.0</v>
      </c>
      <c r="H944" s="493">
        <v>54.83</v>
      </c>
      <c r="I944" s="493">
        <v>21.79</v>
      </c>
      <c r="J944" s="493">
        <v>23.34</v>
      </c>
      <c r="K944" s="493">
        <v>71065.0</v>
      </c>
      <c r="L944" s="493">
        <v>326118.0</v>
      </c>
      <c r="M944" s="493">
        <v>1.0569</v>
      </c>
      <c r="N944" s="6">
        <v>1.9278</v>
      </c>
    </row>
    <row r="945">
      <c r="A945" s="491" t="s">
        <v>2020</v>
      </c>
      <c r="B945" s="491" t="s">
        <v>1857</v>
      </c>
      <c r="C945" s="491" t="s">
        <v>74</v>
      </c>
      <c r="D945" s="491" t="s">
        <v>565</v>
      </c>
      <c r="E945" s="492" t="s">
        <v>372</v>
      </c>
      <c r="F945" s="493">
        <v>67237.0</v>
      </c>
      <c r="G945" s="493">
        <v>14035.0</v>
      </c>
      <c r="H945" s="493">
        <v>20.87</v>
      </c>
      <c r="I945" s="493">
        <v>9.59</v>
      </c>
      <c r="J945" s="493">
        <v>6.62</v>
      </c>
      <c r="K945" s="493">
        <v>31276.0</v>
      </c>
      <c r="L945" s="493">
        <v>326118.0</v>
      </c>
      <c r="M945" s="493">
        <v>0.4652</v>
      </c>
      <c r="N945" s="6">
        <v>2.2284</v>
      </c>
    </row>
    <row r="946">
      <c r="A946" s="491" t="s">
        <v>2020</v>
      </c>
      <c r="B946" s="491" t="s">
        <v>1857</v>
      </c>
      <c r="C946" s="491" t="s">
        <v>74</v>
      </c>
      <c r="D946" s="491" t="s">
        <v>565</v>
      </c>
      <c r="E946" s="492" t="s">
        <v>365</v>
      </c>
      <c r="F946" s="493">
        <v>67237.0</v>
      </c>
      <c r="G946" s="493">
        <v>14027.0</v>
      </c>
      <c r="H946" s="493">
        <v>20.86</v>
      </c>
      <c r="I946" s="493">
        <v>8.18</v>
      </c>
      <c r="J946" s="493">
        <v>5.94</v>
      </c>
      <c r="K946" s="493">
        <v>26663.0</v>
      </c>
      <c r="L946" s="493">
        <v>326118.0</v>
      </c>
      <c r="M946" s="493">
        <v>0.3966</v>
      </c>
      <c r="N946" s="6">
        <v>1.9008</v>
      </c>
    </row>
    <row r="947">
      <c r="A947" s="491" t="s">
        <v>2020</v>
      </c>
      <c r="B947" s="491" t="s">
        <v>1857</v>
      </c>
      <c r="C947" s="491" t="s">
        <v>74</v>
      </c>
      <c r="D947" s="491" t="s">
        <v>565</v>
      </c>
      <c r="E947" s="492" t="s">
        <v>50</v>
      </c>
      <c r="F947" s="493">
        <v>67237.0</v>
      </c>
      <c r="G947" s="493">
        <v>16009.0</v>
      </c>
      <c r="H947" s="493">
        <v>23.81</v>
      </c>
      <c r="I947" s="493">
        <v>6.74</v>
      </c>
      <c r="J947" s="493">
        <v>6.92</v>
      </c>
      <c r="K947" s="493">
        <v>21979.0</v>
      </c>
      <c r="L947" s="493">
        <v>326118.0</v>
      </c>
      <c r="M947" s="493">
        <v>0.3269</v>
      </c>
      <c r="N947" s="6">
        <v>1.3729</v>
      </c>
    </row>
    <row r="948">
      <c r="A948" s="491" t="s">
        <v>2020</v>
      </c>
      <c r="B948" s="491" t="s">
        <v>1857</v>
      </c>
      <c r="C948" s="491" t="s">
        <v>74</v>
      </c>
      <c r="D948" s="491" t="s">
        <v>565</v>
      </c>
      <c r="E948" s="492" t="s">
        <v>134</v>
      </c>
      <c r="F948" s="493">
        <v>67237.0</v>
      </c>
      <c r="G948" s="493">
        <v>13331.0</v>
      </c>
      <c r="H948" s="493">
        <v>19.83</v>
      </c>
      <c r="I948" s="493">
        <v>5.43</v>
      </c>
      <c r="J948" s="493">
        <v>6.48</v>
      </c>
      <c r="K948" s="493">
        <v>17696.0</v>
      </c>
      <c r="L948" s="493">
        <v>326118.0</v>
      </c>
      <c r="M948" s="493">
        <v>0.2632</v>
      </c>
      <c r="N948" s="6">
        <v>1.3274</v>
      </c>
    </row>
    <row r="949">
      <c r="A949" s="491" t="s">
        <v>2020</v>
      </c>
      <c r="B949" s="491" t="s">
        <v>1857</v>
      </c>
      <c r="C949" s="491" t="s">
        <v>74</v>
      </c>
      <c r="D949" s="491" t="s">
        <v>565</v>
      </c>
      <c r="E949" s="492" t="s">
        <v>370</v>
      </c>
      <c r="F949" s="493">
        <v>67237.0</v>
      </c>
      <c r="G949" s="493">
        <v>10994.0</v>
      </c>
      <c r="H949" s="493">
        <v>16.35</v>
      </c>
      <c r="I949" s="493">
        <v>4.73</v>
      </c>
      <c r="J949" s="493">
        <v>3.44</v>
      </c>
      <c r="K949" s="493">
        <v>15422.0</v>
      </c>
      <c r="L949" s="493">
        <v>326118.0</v>
      </c>
      <c r="M949" s="493">
        <v>0.2294</v>
      </c>
      <c r="N949" s="6">
        <v>1.4028</v>
      </c>
    </row>
    <row r="950">
      <c r="A950" s="491" t="s">
        <v>2020</v>
      </c>
      <c r="B950" s="491" t="s">
        <v>1857</v>
      </c>
      <c r="C950" s="491" t="s">
        <v>74</v>
      </c>
      <c r="D950" s="491" t="s">
        <v>565</v>
      </c>
      <c r="E950" s="492" t="s">
        <v>366</v>
      </c>
      <c r="F950" s="493">
        <v>67237.0</v>
      </c>
      <c r="G950" s="493">
        <v>13404.0</v>
      </c>
      <c r="H950" s="493">
        <v>19.94</v>
      </c>
      <c r="I950" s="493">
        <v>4.32</v>
      </c>
      <c r="J950" s="493">
        <v>5.07</v>
      </c>
      <c r="K950" s="493">
        <v>14073.0</v>
      </c>
      <c r="L950" s="493">
        <v>326118.0</v>
      </c>
      <c r="M950" s="493">
        <v>0.2093</v>
      </c>
      <c r="N950" s="6">
        <v>1.0499</v>
      </c>
    </row>
    <row r="951">
      <c r="A951" s="491" t="s">
        <v>2020</v>
      </c>
      <c r="B951" s="491" t="s">
        <v>1857</v>
      </c>
      <c r="C951" s="491" t="s">
        <v>74</v>
      </c>
      <c r="D951" s="491" t="s">
        <v>565</v>
      </c>
      <c r="E951" s="492" t="s">
        <v>40</v>
      </c>
      <c r="F951" s="493">
        <v>67237.0</v>
      </c>
      <c r="G951" s="493">
        <v>5185.0</v>
      </c>
      <c r="H951" s="493">
        <v>7.71</v>
      </c>
      <c r="I951" s="493">
        <v>3.45</v>
      </c>
      <c r="J951" s="493">
        <v>2.57</v>
      </c>
      <c r="K951" s="493">
        <v>11258.0</v>
      </c>
      <c r="L951" s="493">
        <v>326118.0</v>
      </c>
      <c r="M951" s="493">
        <v>0.1674</v>
      </c>
      <c r="N951" s="6">
        <v>2.1713</v>
      </c>
    </row>
    <row r="952">
      <c r="A952" s="491" t="s">
        <v>2020</v>
      </c>
      <c r="B952" s="491" t="s">
        <v>1857</v>
      </c>
      <c r="C952" s="491" t="s">
        <v>74</v>
      </c>
      <c r="D952" s="491" t="s">
        <v>565</v>
      </c>
      <c r="E952" s="492" t="s">
        <v>367</v>
      </c>
      <c r="F952" s="493">
        <v>67237.0</v>
      </c>
      <c r="G952" s="493">
        <v>9168.0</v>
      </c>
      <c r="H952" s="493">
        <v>13.64</v>
      </c>
      <c r="I952" s="493">
        <v>2.9</v>
      </c>
      <c r="J952" s="493">
        <v>2.28</v>
      </c>
      <c r="K952" s="493">
        <v>9468.0</v>
      </c>
      <c r="L952" s="493">
        <v>326118.0</v>
      </c>
      <c r="M952" s="493">
        <v>0.1408</v>
      </c>
      <c r="N952" s="6">
        <v>1.0327</v>
      </c>
    </row>
    <row r="953">
      <c r="A953" s="491" t="s">
        <v>2020</v>
      </c>
      <c r="B953" s="491" t="s">
        <v>1857</v>
      </c>
      <c r="C953" s="491" t="s">
        <v>74</v>
      </c>
      <c r="D953" s="491" t="s">
        <v>565</v>
      </c>
      <c r="E953" s="492" t="s">
        <v>312</v>
      </c>
      <c r="F953" s="493">
        <v>67237.0</v>
      </c>
      <c r="G953" s="493">
        <v>1310.0</v>
      </c>
      <c r="H953" s="493">
        <v>1.95</v>
      </c>
      <c r="I953" s="493">
        <v>0.43</v>
      </c>
      <c r="J953" s="493">
        <v>0.41</v>
      </c>
      <c r="K953" s="493">
        <v>1394.0</v>
      </c>
      <c r="L953" s="493">
        <v>326118.0</v>
      </c>
      <c r="M953" s="493">
        <v>0.0207</v>
      </c>
      <c r="N953" s="6">
        <v>1.0641</v>
      </c>
    </row>
    <row r="954">
      <c r="A954" s="491" t="s">
        <v>2020</v>
      </c>
      <c r="B954" s="491" t="s">
        <v>1857</v>
      </c>
      <c r="C954" s="491" t="s">
        <v>74</v>
      </c>
      <c r="D954" s="491" t="s">
        <v>565</v>
      </c>
      <c r="E954" s="492" t="s">
        <v>310</v>
      </c>
      <c r="F954" s="493">
        <v>67237.0</v>
      </c>
      <c r="G954" s="493">
        <v>1271.0</v>
      </c>
      <c r="H954" s="493">
        <v>1.89</v>
      </c>
      <c r="I954" s="493">
        <v>0.41</v>
      </c>
      <c r="J954" s="493">
        <v>0.46</v>
      </c>
      <c r="K954" s="493">
        <v>1335.0</v>
      </c>
      <c r="L954" s="493">
        <v>326118.0</v>
      </c>
      <c r="M954" s="493">
        <v>0.0199</v>
      </c>
      <c r="N954" s="6">
        <v>1.0504</v>
      </c>
    </row>
    <row r="955">
      <c r="A955" s="491" t="s">
        <v>2020</v>
      </c>
      <c r="B955" s="491" t="s">
        <v>1857</v>
      </c>
      <c r="C955" s="491" t="s">
        <v>74</v>
      </c>
      <c r="D955" s="491" t="s">
        <v>565</v>
      </c>
      <c r="E955" s="492" t="s">
        <v>44</v>
      </c>
      <c r="F955" s="493">
        <v>67237.0</v>
      </c>
      <c r="G955" s="493">
        <v>1078.0</v>
      </c>
      <c r="H955" s="493">
        <v>1.6</v>
      </c>
      <c r="I955" s="493">
        <v>0.4</v>
      </c>
      <c r="J955" s="493">
        <v>0.25</v>
      </c>
      <c r="K955" s="493">
        <v>1296.0</v>
      </c>
      <c r="L955" s="493">
        <v>326118.0</v>
      </c>
      <c r="M955" s="493">
        <v>0.0193</v>
      </c>
      <c r="N955" s="6">
        <v>1.2022</v>
      </c>
    </row>
    <row r="956">
      <c r="A956" s="491" t="s">
        <v>2020</v>
      </c>
      <c r="B956" s="491" t="s">
        <v>1857</v>
      </c>
      <c r="C956" s="491" t="s">
        <v>74</v>
      </c>
      <c r="D956" s="491" t="s">
        <v>565</v>
      </c>
      <c r="E956" s="492" t="s">
        <v>32</v>
      </c>
      <c r="F956" s="493">
        <v>67237.0</v>
      </c>
      <c r="G956" s="493">
        <v>1225.0</v>
      </c>
      <c r="H956" s="493">
        <v>1.82</v>
      </c>
      <c r="I956" s="493">
        <v>0.39</v>
      </c>
      <c r="J956" s="493">
        <v>0.47</v>
      </c>
      <c r="K956" s="493">
        <v>1262.0</v>
      </c>
      <c r="L956" s="493">
        <v>326118.0</v>
      </c>
      <c r="M956" s="493">
        <v>0.0188</v>
      </c>
      <c r="N956" s="6">
        <v>1.0302</v>
      </c>
    </row>
    <row r="957">
      <c r="A957" s="491" t="s">
        <v>2020</v>
      </c>
      <c r="B957" s="491" t="s">
        <v>1857</v>
      </c>
      <c r="C957" s="491" t="s">
        <v>74</v>
      </c>
      <c r="D957" s="491" t="s">
        <v>565</v>
      </c>
      <c r="E957" s="492" t="s">
        <v>311</v>
      </c>
      <c r="F957" s="493">
        <v>67237.0</v>
      </c>
      <c r="G957" s="493">
        <v>293.0</v>
      </c>
      <c r="H957" s="493">
        <v>0.44</v>
      </c>
      <c r="I957" s="493">
        <v>0.09</v>
      </c>
      <c r="J957" s="493">
        <v>0.14</v>
      </c>
      <c r="K957" s="493">
        <v>301.0</v>
      </c>
      <c r="L957" s="493">
        <v>326118.0</v>
      </c>
      <c r="M957" s="493">
        <v>0.0045</v>
      </c>
      <c r="N957" s="6">
        <v>1.0273</v>
      </c>
    </row>
    <row r="958">
      <c r="A958" s="491" t="s">
        <v>2020</v>
      </c>
      <c r="B958" s="491" t="s">
        <v>1857</v>
      </c>
      <c r="C958" s="491" t="s">
        <v>74</v>
      </c>
      <c r="D958" s="491" t="s">
        <v>565</v>
      </c>
      <c r="E958" s="492" t="s">
        <v>368</v>
      </c>
      <c r="F958" s="493">
        <v>67237.0</v>
      </c>
      <c r="G958" s="493">
        <v>108.0</v>
      </c>
      <c r="H958" s="493">
        <v>0.16</v>
      </c>
      <c r="I958" s="493">
        <v>0.04</v>
      </c>
      <c r="J958" s="493">
        <v>0.02</v>
      </c>
      <c r="K958" s="493">
        <v>133.0</v>
      </c>
      <c r="L958" s="493">
        <v>326118.0</v>
      </c>
      <c r="M958" s="493">
        <v>0.002</v>
      </c>
      <c r="N958" s="6">
        <v>1.2315</v>
      </c>
    </row>
    <row r="959">
      <c r="A959" s="491" t="s">
        <v>2020</v>
      </c>
      <c r="B959" s="491" t="s">
        <v>1857</v>
      </c>
      <c r="C959" s="491" t="s">
        <v>74</v>
      </c>
      <c r="D959" s="491" t="s">
        <v>565</v>
      </c>
      <c r="E959" s="492" t="s">
        <v>369</v>
      </c>
      <c r="F959" s="493">
        <v>67237.0</v>
      </c>
      <c r="G959" s="493">
        <v>54.0</v>
      </c>
      <c r="H959" s="493">
        <v>0.08</v>
      </c>
      <c r="I959" s="493">
        <v>0.02</v>
      </c>
      <c r="J959" s="493">
        <v>0.01</v>
      </c>
      <c r="K959" s="493">
        <v>54.0</v>
      </c>
      <c r="L959" s="493">
        <v>326118.0</v>
      </c>
      <c r="M959" s="493">
        <v>8.0E-4</v>
      </c>
      <c r="N959" s="6">
        <v>1.0</v>
      </c>
    </row>
    <row r="960">
      <c r="A960" s="491" t="s">
        <v>2020</v>
      </c>
      <c r="B960" s="491" t="s">
        <v>1857</v>
      </c>
      <c r="C960" s="491" t="s">
        <v>74</v>
      </c>
      <c r="D960" s="491" t="s">
        <v>565</v>
      </c>
      <c r="E960" s="492" t="s">
        <v>43</v>
      </c>
      <c r="F960" s="493">
        <v>67237.0</v>
      </c>
      <c r="G960" s="493">
        <v>38.0</v>
      </c>
      <c r="H960" s="493">
        <v>0.06</v>
      </c>
      <c r="I960" s="493">
        <v>0.01</v>
      </c>
      <c r="J960" s="493">
        <v>0.01</v>
      </c>
      <c r="K960" s="493">
        <v>39.0</v>
      </c>
      <c r="L960" s="493">
        <v>326118.0</v>
      </c>
      <c r="M960" s="493">
        <v>6.0E-4</v>
      </c>
      <c r="N960" s="6">
        <v>1.0263</v>
      </c>
    </row>
    <row r="961">
      <c r="A961" s="491" t="s">
        <v>2020</v>
      </c>
      <c r="B961" s="491" t="s">
        <v>1857</v>
      </c>
      <c r="C961" s="491" t="s">
        <v>74</v>
      </c>
      <c r="D961" s="491" t="s">
        <v>565</v>
      </c>
      <c r="E961" s="492" t="s">
        <v>189</v>
      </c>
      <c r="F961" s="493">
        <v>67237.0</v>
      </c>
      <c r="G961" s="493">
        <v>3.0</v>
      </c>
      <c r="H961" s="493">
        <v>0.0</v>
      </c>
      <c r="I961" s="493">
        <v>0.0</v>
      </c>
      <c r="J961" s="493">
        <v>0.0</v>
      </c>
      <c r="K961" s="493">
        <v>3.0</v>
      </c>
      <c r="L961" s="493">
        <v>326118.0</v>
      </c>
      <c r="M961" s="493">
        <v>0.0</v>
      </c>
      <c r="N961" s="6">
        <v>1.0</v>
      </c>
    </row>
    <row r="962">
      <c r="A962" s="491" t="s">
        <v>2020</v>
      </c>
      <c r="B962" s="491" t="s">
        <v>1857</v>
      </c>
      <c r="C962" s="491" t="s">
        <v>1872</v>
      </c>
      <c r="D962" s="491" t="s">
        <v>1872</v>
      </c>
      <c r="E962" s="492" t="s">
        <v>371</v>
      </c>
      <c r="F962" s="493">
        <v>87765.0</v>
      </c>
      <c r="G962" s="493">
        <v>82221.0</v>
      </c>
      <c r="H962" s="493">
        <v>93.68</v>
      </c>
      <c r="I962" s="493">
        <v>17.93</v>
      </c>
      <c r="J962" s="493">
        <v>21.44</v>
      </c>
      <c r="K962" s="493">
        <v>9699970.0</v>
      </c>
      <c r="L962" s="493">
        <v>5.4087281E7</v>
      </c>
      <c r="M962" s="493">
        <v>110.5221</v>
      </c>
      <c r="N962" s="6">
        <v>117.9744</v>
      </c>
    </row>
    <row r="963">
      <c r="A963" s="491" t="s">
        <v>2020</v>
      </c>
      <c r="B963" s="491" t="s">
        <v>1857</v>
      </c>
      <c r="C963" s="491" t="s">
        <v>1872</v>
      </c>
      <c r="D963" s="491" t="s">
        <v>1872</v>
      </c>
      <c r="E963" s="492" t="s">
        <v>367</v>
      </c>
      <c r="F963" s="493">
        <v>87765.0</v>
      </c>
      <c r="G963" s="493">
        <v>74523.0</v>
      </c>
      <c r="H963" s="493">
        <v>84.91</v>
      </c>
      <c r="I963" s="493">
        <v>17.28</v>
      </c>
      <c r="J963" s="493">
        <v>17.91</v>
      </c>
      <c r="K963" s="493">
        <v>9345075.0</v>
      </c>
      <c r="L963" s="493">
        <v>5.4087281E7</v>
      </c>
      <c r="M963" s="493">
        <v>106.4784</v>
      </c>
      <c r="N963" s="6">
        <v>125.3985</v>
      </c>
    </row>
    <row r="964">
      <c r="A964" s="491" t="s">
        <v>2020</v>
      </c>
      <c r="B964" s="491" t="s">
        <v>1857</v>
      </c>
      <c r="C964" s="491" t="s">
        <v>1872</v>
      </c>
      <c r="D964" s="491" t="s">
        <v>1872</v>
      </c>
      <c r="E964" s="492" t="s">
        <v>372</v>
      </c>
      <c r="F964" s="493">
        <v>87765.0</v>
      </c>
      <c r="G964" s="493">
        <v>64290.0</v>
      </c>
      <c r="H964" s="493">
        <v>73.25</v>
      </c>
      <c r="I964" s="493">
        <v>10.33</v>
      </c>
      <c r="J964" s="493">
        <v>10.82</v>
      </c>
      <c r="K964" s="493">
        <v>5586385.0</v>
      </c>
      <c r="L964" s="493">
        <v>5.4087281E7</v>
      </c>
      <c r="M964" s="493">
        <v>63.6516</v>
      </c>
      <c r="N964" s="6">
        <v>86.8935</v>
      </c>
    </row>
    <row r="965">
      <c r="A965" s="491" t="s">
        <v>2020</v>
      </c>
      <c r="B965" s="491" t="s">
        <v>1857</v>
      </c>
      <c r="C965" s="491" t="s">
        <v>1872</v>
      </c>
      <c r="D965" s="491" t="s">
        <v>1872</v>
      </c>
      <c r="E965" s="492" t="s">
        <v>42</v>
      </c>
      <c r="F965" s="493">
        <v>87765.0</v>
      </c>
      <c r="G965" s="493">
        <v>38124.0</v>
      </c>
      <c r="H965" s="493">
        <v>43.44</v>
      </c>
      <c r="I965" s="493">
        <v>9.24</v>
      </c>
      <c r="J965" s="493">
        <v>8.86</v>
      </c>
      <c r="K965" s="493">
        <v>5000335.0</v>
      </c>
      <c r="L965" s="493">
        <v>5.4087281E7</v>
      </c>
      <c r="M965" s="493">
        <v>56.9741</v>
      </c>
      <c r="N965" s="6">
        <v>131.1598</v>
      </c>
    </row>
    <row r="966">
      <c r="A966" s="491" t="s">
        <v>2020</v>
      </c>
      <c r="B966" s="491" t="s">
        <v>1857</v>
      </c>
      <c r="C966" s="491" t="s">
        <v>1872</v>
      </c>
      <c r="D966" s="491" t="s">
        <v>1872</v>
      </c>
      <c r="E966" s="492" t="s">
        <v>40</v>
      </c>
      <c r="F966" s="493">
        <v>87765.0</v>
      </c>
      <c r="G966" s="493">
        <v>26202.0</v>
      </c>
      <c r="H966" s="493">
        <v>29.85</v>
      </c>
      <c r="I966" s="493">
        <v>7.27</v>
      </c>
      <c r="J966" s="493">
        <v>5.26</v>
      </c>
      <c r="K966" s="493">
        <v>3934760.0</v>
      </c>
      <c r="L966" s="493">
        <v>5.4087281E7</v>
      </c>
      <c r="M966" s="493">
        <v>44.8329</v>
      </c>
      <c r="N966" s="6">
        <v>150.1702</v>
      </c>
    </row>
    <row r="967">
      <c r="A967" s="491" t="s">
        <v>2020</v>
      </c>
      <c r="B967" s="491" t="s">
        <v>1857</v>
      </c>
      <c r="C967" s="491" t="s">
        <v>1872</v>
      </c>
      <c r="D967" s="491" t="s">
        <v>1872</v>
      </c>
      <c r="E967" s="492" t="s">
        <v>50</v>
      </c>
      <c r="F967" s="493">
        <v>87765.0</v>
      </c>
      <c r="G967" s="493">
        <v>35497.0</v>
      </c>
      <c r="H967" s="493">
        <v>40.45</v>
      </c>
      <c r="I967" s="493">
        <v>7.06</v>
      </c>
      <c r="J967" s="493">
        <v>6.18</v>
      </c>
      <c r="K967" s="493">
        <v>3819775.0</v>
      </c>
      <c r="L967" s="493">
        <v>5.4087281E7</v>
      </c>
      <c r="M967" s="493">
        <v>43.5228</v>
      </c>
      <c r="N967" s="6">
        <v>107.6084</v>
      </c>
    </row>
    <row r="968">
      <c r="A968" s="491" t="s">
        <v>2020</v>
      </c>
      <c r="B968" s="491" t="s">
        <v>1857</v>
      </c>
      <c r="C968" s="491" t="s">
        <v>1872</v>
      </c>
      <c r="D968" s="491" t="s">
        <v>1872</v>
      </c>
      <c r="E968" s="492" t="s">
        <v>368</v>
      </c>
      <c r="F968" s="493">
        <v>87765.0</v>
      </c>
      <c r="G968" s="493">
        <v>37636.0</v>
      </c>
      <c r="H968" s="493">
        <v>42.88</v>
      </c>
      <c r="I968" s="493">
        <v>6.72</v>
      </c>
      <c r="J968" s="493">
        <v>8.19</v>
      </c>
      <c r="K968" s="493">
        <v>3632565.0</v>
      </c>
      <c r="L968" s="493">
        <v>5.4087281E7</v>
      </c>
      <c r="M968" s="493">
        <v>41.3897</v>
      </c>
      <c r="N968" s="6">
        <v>96.5184</v>
      </c>
    </row>
    <row r="969">
      <c r="A969" s="491" t="s">
        <v>2020</v>
      </c>
      <c r="B969" s="491" t="s">
        <v>1857</v>
      </c>
      <c r="C969" s="491" t="s">
        <v>1872</v>
      </c>
      <c r="D969" s="491" t="s">
        <v>1872</v>
      </c>
      <c r="E969" s="492" t="s">
        <v>366</v>
      </c>
      <c r="F969" s="493">
        <v>87765.0</v>
      </c>
      <c r="G969" s="493">
        <v>48377.0</v>
      </c>
      <c r="H969" s="493">
        <v>55.12</v>
      </c>
      <c r="I969" s="493">
        <v>5.82</v>
      </c>
      <c r="J969" s="493">
        <v>6.84</v>
      </c>
      <c r="K969" s="493">
        <v>3149070.0</v>
      </c>
      <c r="L969" s="493">
        <v>5.4087281E7</v>
      </c>
      <c r="M969" s="493">
        <v>35.8807</v>
      </c>
      <c r="N969" s="6">
        <v>65.0944</v>
      </c>
    </row>
    <row r="970">
      <c r="A970" s="491" t="s">
        <v>2020</v>
      </c>
      <c r="B970" s="491" t="s">
        <v>1857</v>
      </c>
      <c r="C970" s="491" t="s">
        <v>1872</v>
      </c>
      <c r="D970" s="491" t="s">
        <v>1872</v>
      </c>
      <c r="E970" s="492" t="s">
        <v>365</v>
      </c>
      <c r="F970" s="493">
        <v>87765.0</v>
      </c>
      <c r="G970" s="493">
        <v>31392.0</v>
      </c>
      <c r="H970" s="493">
        <v>35.77</v>
      </c>
      <c r="I970" s="493">
        <v>4.68</v>
      </c>
      <c r="J970" s="493">
        <v>3.56</v>
      </c>
      <c r="K970" s="493">
        <v>2532720.0</v>
      </c>
      <c r="L970" s="493">
        <v>5.4087281E7</v>
      </c>
      <c r="M970" s="493">
        <v>28.858</v>
      </c>
      <c r="N970" s="6">
        <v>80.6804</v>
      </c>
    </row>
    <row r="971">
      <c r="A971" s="491" t="s">
        <v>2020</v>
      </c>
      <c r="B971" s="491" t="s">
        <v>1857</v>
      </c>
      <c r="C971" s="491" t="s">
        <v>1872</v>
      </c>
      <c r="D971" s="491" t="s">
        <v>1872</v>
      </c>
      <c r="E971" s="492" t="s">
        <v>370</v>
      </c>
      <c r="F971" s="493">
        <v>87765.0</v>
      </c>
      <c r="G971" s="493">
        <v>31317.0</v>
      </c>
      <c r="H971" s="493">
        <v>35.68</v>
      </c>
      <c r="I971" s="493">
        <v>4.65</v>
      </c>
      <c r="J971" s="493">
        <v>3.18</v>
      </c>
      <c r="K971" s="493">
        <v>2517711.0</v>
      </c>
      <c r="L971" s="493">
        <v>5.4087281E7</v>
      </c>
      <c r="M971" s="493">
        <v>28.687</v>
      </c>
      <c r="N971" s="6">
        <v>80.3944</v>
      </c>
    </row>
    <row r="972">
      <c r="A972" s="491" t="s">
        <v>2020</v>
      </c>
      <c r="B972" s="491" t="s">
        <v>1857</v>
      </c>
      <c r="C972" s="491" t="s">
        <v>1872</v>
      </c>
      <c r="D972" s="491" t="s">
        <v>1872</v>
      </c>
      <c r="E972" s="492" t="s">
        <v>134</v>
      </c>
      <c r="F972" s="493">
        <v>87765.0</v>
      </c>
      <c r="G972" s="493">
        <v>17194.0</v>
      </c>
      <c r="H972" s="493">
        <v>19.59</v>
      </c>
      <c r="I972" s="493">
        <v>1.91</v>
      </c>
      <c r="J972" s="493">
        <v>1.88</v>
      </c>
      <c r="K972" s="493">
        <v>1030780.0</v>
      </c>
      <c r="L972" s="493">
        <v>5.4087281E7</v>
      </c>
      <c r="M972" s="493">
        <v>11.7448</v>
      </c>
      <c r="N972" s="6">
        <v>59.95</v>
      </c>
    </row>
    <row r="973">
      <c r="A973" s="491" t="s">
        <v>2020</v>
      </c>
      <c r="B973" s="491" t="s">
        <v>1857</v>
      </c>
      <c r="C973" s="491" t="s">
        <v>1872</v>
      </c>
      <c r="D973" s="491" t="s">
        <v>1872</v>
      </c>
      <c r="E973" s="492" t="s">
        <v>44</v>
      </c>
      <c r="F973" s="493">
        <v>87765.0</v>
      </c>
      <c r="G973" s="493">
        <v>35341.0</v>
      </c>
      <c r="H973" s="493">
        <v>40.27</v>
      </c>
      <c r="I973" s="493">
        <v>1.34</v>
      </c>
      <c r="J973" s="493">
        <v>1.2</v>
      </c>
      <c r="K973" s="493">
        <v>724945.0</v>
      </c>
      <c r="L973" s="493">
        <v>5.4087281E7</v>
      </c>
      <c r="M973" s="493">
        <v>8.2601</v>
      </c>
      <c r="N973" s="6">
        <v>20.5129</v>
      </c>
    </row>
    <row r="974">
      <c r="A974" s="491" t="s">
        <v>2020</v>
      </c>
      <c r="B974" s="491" t="s">
        <v>1857</v>
      </c>
      <c r="C974" s="491" t="s">
        <v>1872</v>
      </c>
      <c r="D974" s="491" t="s">
        <v>1872</v>
      </c>
      <c r="E974" s="492" t="s">
        <v>310</v>
      </c>
      <c r="F974" s="493">
        <v>87765.0</v>
      </c>
      <c r="G974" s="493">
        <v>6333.0</v>
      </c>
      <c r="H974" s="493">
        <v>7.22</v>
      </c>
      <c r="I974" s="493">
        <v>1.24</v>
      </c>
      <c r="J974" s="493">
        <v>1.03</v>
      </c>
      <c r="K974" s="493">
        <v>669875.0</v>
      </c>
      <c r="L974" s="493">
        <v>5.4087281E7</v>
      </c>
      <c r="M974" s="493">
        <v>7.6326</v>
      </c>
      <c r="N974" s="6">
        <v>105.7753</v>
      </c>
    </row>
    <row r="975">
      <c r="A975" s="491" t="s">
        <v>2020</v>
      </c>
      <c r="B975" s="491" t="s">
        <v>1857</v>
      </c>
      <c r="C975" s="491" t="s">
        <v>1872</v>
      </c>
      <c r="D975" s="491" t="s">
        <v>1872</v>
      </c>
      <c r="E975" s="492" t="s">
        <v>32</v>
      </c>
      <c r="F975" s="493">
        <v>87765.0</v>
      </c>
      <c r="G975" s="493">
        <v>6466.0</v>
      </c>
      <c r="H975" s="493">
        <v>7.37</v>
      </c>
      <c r="I975" s="493">
        <v>1.22</v>
      </c>
      <c r="J975" s="493">
        <v>1.09</v>
      </c>
      <c r="K975" s="493">
        <v>662415.0</v>
      </c>
      <c r="L975" s="493">
        <v>5.4087281E7</v>
      </c>
      <c r="M975" s="493">
        <v>7.5476</v>
      </c>
      <c r="N975" s="6">
        <v>102.4459</v>
      </c>
    </row>
    <row r="976">
      <c r="A976" s="491" t="s">
        <v>2020</v>
      </c>
      <c r="B976" s="491" t="s">
        <v>1857</v>
      </c>
      <c r="C976" s="491" t="s">
        <v>1872</v>
      </c>
      <c r="D976" s="491" t="s">
        <v>1872</v>
      </c>
      <c r="E976" s="492" t="s">
        <v>312</v>
      </c>
      <c r="F976" s="493">
        <v>87765.0</v>
      </c>
      <c r="G976" s="493">
        <v>5724.0</v>
      </c>
      <c r="H976" s="493">
        <v>6.52</v>
      </c>
      <c r="I976" s="493">
        <v>1.19</v>
      </c>
      <c r="J976" s="493">
        <v>0.94</v>
      </c>
      <c r="K976" s="493">
        <v>643750.0</v>
      </c>
      <c r="L976" s="493">
        <v>5.4087281E7</v>
      </c>
      <c r="M976" s="493">
        <v>7.3349</v>
      </c>
      <c r="N976" s="6">
        <v>112.4651</v>
      </c>
    </row>
    <row r="977">
      <c r="A977" s="491" t="s">
        <v>2020</v>
      </c>
      <c r="B977" s="491" t="s">
        <v>1857</v>
      </c>
      <c r="C977" s="491" t="s">
        <v>1872</v>
      </c>
      <c r="D977" s="491" t="s">
        <v>1872</v>
      </c>
      <c r="E977" s="492" t="s">
        <v>369</v>
      </c>
      <c r="F977" s="493">
        <v>87765.0</v>
      </c>
      <c r="G977" s="493">
        <v>14435.0</v>
      </c>
      <c r="H977" s="493">
        <v>16.45</v>
      </c>
      <c r="I977" s="493">
        <v>0.87</v>
      </c>
      <c r="J977" s="493">
        <v>0.6</v>
      </c>
      <c r="K977" s="493">
        <v>471525.0</v>
      </c>
      <c r="L977" s="493">
        <v>5.4087281E7</v>
      </c>
      <c r="M977" s="493">
        <v>5.3726</v>
      </c>
      <c r="N977" s="6">
        <v>32.6654</v>
      </c>
    </row>
    <row r="978">
      <c r="A978" s="491" t="s">
        <v>2020</v>
      </c>
      <c r="B978" s="491" t="s">
        <v>1857</v>
      </c>
      <c r="C978" s="491" t="s">
        <v>1872</v>
      </c>
      <c r="D978" s="491" t="s">
        <v>1872</v>
      </c>
      <c r="E978" s="492" t="s">
        <v>35</v>
      </c>
      <c r="F978" s="493">
        <v>87765.0</v>
      </c>
      <c r="G978" s="493">
        <v>8015.0</v>
      </c>
      <c r="H978" s="493">
        <v>9.13</v>
      </c>
      <c r="I978" s="493">
        <v>0.42</v>
      </c>
      <c r="J978" s="493">
        <v>0.35</v>
      </c>
      <c r="K978" s="493">
        <v>229675.0</v>
      </c>
      <c r="L978" s="493">
        <v>5.4087281E7</v>
      </c>
      <c r="M978" s="493">
        <v>2.6169</v>
      </c>
      <c r="N978" s="6">
        <v>28.6556</v>
      </c>
    </row>
    <row r="979">
      <c r="A979" s="491" t="s">
        <v>2020</v>
      </c>
      <c r="B979" s="491" t="s">
        <v>1857</v>
      </c>
      <c r="C979" s="491" t="s">
        <v>1872</v>
      </c>
      <c r="D979" s="491" t="s">
        <v>1872</v>
      </c>
      <c r="E979" s="492" t="s">
        <v>189</v>
      </c>
      <c r="F979" s="493">
        <v>87765.0</v>
      </c>
      <c r="G979" s="493">
        <v>7225.0</v>
      </c>
      <c r="H979" s="493">
        <v>8.23</v>
      </c>
      <c r="I979" s="493">
        <v>0.35</v>
      </c>
      <c r="J979" s="493">
        <v>0.25</v>
      </c>
      <c r="K979" s="493">
        <v>186925.0</v>
      </c>
      <c r="L979" s="493">
        <v>5.4087281E7</v>
      </c>
      <c r="M979" s="493">
        <v>2.1298</v>
      </c>
      <c r="N979" s="6">
        <v>25.872</v>
      </c>
    </row>
    <row r="980">
      <c r="A980" s="491" t="s">
        <v>2020</v>
      </c>
      <c r="B980" s="491" t="s">
        <v>1857</v>
      </c>
      <c r="C980" s="491" t="s">
        <v>1872</v>
      </c>
      <c r="D980" s="491" t="s">
        <v>1872</v>
      </c>
      <c r="E980" s="492" t="s">
        <v>311</v>
      </c>
      <c r="F980" s="493">
        <v>87765.0</v>
      </c>
      <c r="G980" s="493">
        <v>1547.0</v>
      </c>
      <c r="H980" s="493">
        <v>1.76</v>
      </c>
      <c r="I980" s="493">
        <v>0.28</v>
      </c>
      <c r="J980" s="493">
        <v>0.29</v>
      </c>
      <c r="K980" s="493">
        <v>150850.0</v>
      </c>
      <c r="L980" s="493">
        <v>5.4087281E7</v>
      </c>
      <c r="M980" s="493">
        <v>1.7188</v>
      </c>
      <c r="N980" s="6">
        <v>97.5113</v>
      </c>
    </row>
    <row r="981">
      <c r="A981" s="491" t="s">
        <v>2020</v>
      </c>
      <c r="B981" s="491" t="s">
        <v>1857</v>
      </c>
      <c r="C981" s="491" t="s">
        <v>1872</v>
      </c>
      <c r="D981" s="491" t="s">
        <v>1872</v>
      </c>
      <c r="E981" s="492" t="s">
        <v>43</v>
      </c>
      <c r="F981" s="493">
        <v>87765.0</v>
      </c>
      <c r="G981" s="493">
        <v>678.0</v>
      </c>
      <c r="H981" s="493">
        <v>0.77</v>
      </c>
      <c r="I981" s="493">
        <v>0.18</v>
      </c>
      <c r="J981" s="493">
        <v>0.12</v>
      </c>
      <c r="K981" s="493">
        <v>98175.0</v>
      </c>
      <c r="L981" s="493">
        <v>5.4087281E7</v>
      </c>
      <c r="M981" s="493">
        <v>1.1186</v>
      </c>
      <c r="N981" s="6">
        <v>144.8009</v>
      </c>
    </row>
    <row r="982">
      <c r="A982" s="491" t="s">
        <v>2020</v>
      </c>
      <c r="B982" s="491" t="s">
        <v>1857</v>
      </c>
      <c r="C982" s="491" t="s">
        <v>69</v>
      </c>
      <c r="D982" s="491" t="s">
        <v>565</v>
      </c>
      <c r="E982" s="492" t="s">
        <v>371</v>
      </c>
      <c r="F982" s="493">
        <v>83424.0</v>
      </c>
      <c r="G982" s="493">
        <v>63938.0</v>
      </c>
      <c r="H982" s="493">
        <v>76.64</v>
      </c>
      <c r="I982" s="493">
        <v>30.56</v>
      </c>
      <c r="J982" s="493">
        <v>28.82</v>
      </c>
      <c r="K982" s="493">
        <v>238268.0</v>
      </c>
      <c r="L982" s="493">
        <v>779591.0</v>
      </c>
      <c r="M982" s="493">
        <v>2.8561</v>
      </c>
      <c r="N982" s="6">
        <v>3.7265</v>
      </c>
    </row>
    <row r="983">
      <c r="A983" s="491" t="s">
        <v>2020</v>
      </c>
      <c r="B983" s="491" t="s">
        <v>1857</v>
      </c>
      <c r="C983" s="491" t="s">
        <v>69</v>
      </c>
      <c r="D983" s="491" t="s">
        <v>565</v>
      </c>
      <c r="E983" s="492" t="s">
        <v>372</v>
      </c>
      <c r="F983" s="493">
        <v>83424.0</v>
      </c>
      <c r="G983" s="493">
        <v>55650.0</v>
      </c>
      <c r="H983" s="493">
        <v>66.71</v>
      </c>
      <c r="I983" s="493">
        <v>21.79</v>
      </c>
      <c r="J983" s="493">
        <v>20.56</v>
      </c>
      <c r="K983" s="493">
        <v>169865.0</v>
      </c>
      <c r="L983" s="493">
        <v>779591.0</v>
      </c>
      <c r="M983" s="493">
        <v>2.0362</v>
      </c>
      <c r="N983" s="6">
        <v>3.0524</v>
      </c>
    </row>
    <row r="984">
      <c r="A984" s="491" t="s">
        <v>2020</v>
      </c>
      <c r="B984" s="491" t="s">
        <v>1857</v>
      </c>
      <c r="C984" s="491" t="s">
        <v>69</v>
      </c>
      <c r="D984" s="491" t="s">
        <v>565</v>
      </c>
      <c r="E984" s="492" t="s">
        <v>370</v>
      </c>
      <c r="F984" s="493">
        <v>83424.0</v>
      </c>
      <c r="G984" s="493">
        <v>58143.0</v>
      </c>
      <c r="H984" s="493">
        <v>69.7</v>
      </c>
      <c r="I984" s="493">
        <v>13.76</v>
      </c>
      <c r="J984" s="493">
        <v>17.67</v>
      </c>
      <c r="K984" s="493">
        <v>107278.0</v>
      </c>
      <c r="L984" s="493">
        <v>779591.0</v>
      </c>
      <c r="M984" s="493">
        <v>1.2859</v>
      </c>
      <c r="N984" s="6">
        <v>1.8451</v>
      </c>
    </row>
    <row r="985">
      <c r="A985" s="491" t="s">
        <v>2020</v>
      </c>
      <c r="B985" s="491" t="s">
        <v>1857</v>
      </c>
      <c r="C985" s="491" t="s">
        <v>69</v>
      </c>
      <c r="D985" s="491" t="s">
        <v>565</v>
      </c>
      <c r="E985" s="492" t="s">
        <v>368</v>
      </c>
      <c r="F985" s="493">
        <v>83424.0</v>
      </c>
      <c r="G985" s="493">
        <v>31155.0</v>
      </c>
      <c r="H985" s="493">
        <v>37.35</v>
      </c>
      <c r="I985" s="493">
        <v>12.21</v>
      </c>
      <c r="J985" s="493">
        <v>11.36</v>
      </c>
      <c r="K985" s="493">
        <v>95180.0</v>
      </c>
      <c r="L985" s="493">
        <v>779591.0</v>
      </c>
      <c r="M985" s="493">
        <v>1.1409</v>
      </c>
      <c r="N985" s="6">
        <v>3.055</v>
      </c>
    </row>
    <row r="986">
      <c r="A986" s="491" t="s">
        <v>2020</v>
      </c>
      <c r="B986" s="491" t="s">
        <v>1857</v>
      </c>
      <c r="C986" s="491" t="s">
        <v>69</v>
      </c>
      <c r="D986" s="491" t="s">
        <v>565</v>
      </c>
      <c r="E986" s="492" t="s">
        <v>44</v>
      </c>
      <c r="F986" s="493">
        <v>83424.0</v>
      </c>
      <c r="G986" s="493">
        <v>51073.0</v>
      </c>
      <c r="H986" s="493">
        <v>61.22</v>
      </c>
      <c r="I986" s="493">
        <v>11.34</v>
      </c>
      <c r="J986" s="493">
        <v>12.68</v>
      </c>
      <c r="K986" s="493">
        <v>88422.0</v>
      </c>
      <c r="L986" s="493">
        <v>779591.0</v>
      </c>
      <c r="M986" s="493">
        <v>1.0599</v>
      </c>
      <c r="N986" s="6">
        <v>1.7313</v>
      </c>
    </row>
    <row r="987">
      <c r="A987" s="491" t="s">
        <v>2020</v>
      </c>
      <c r="B987" s="491" t="s">
        <v>1857</v>
      </c>
      <c r="C987" s="491" t="s">
        <v>69</v>
      </c>
      <c r="D987" s="491" t="s">
        <v>565</v>
      </c>
      <c r="E987" s="492" t="s">
        <v>49</v>
      </c>
      <c r="F987" s="493">
        <v>83424.0</v>
      </c>
      <c r="G987" s="493">
        <v>24155.0</v>
      </c>
      <c r="H987" s="493">
        <v>28.95</v>
      </c>
      <c r="I987" s="493">
        <v>4.99</v>
      </c>
      <c r="J987" s="493">
        <v>4.52</v>
      </c>
      <c r="K987" s="493">
        <v>38927.0</v>
      </c>
      <c r="L987" s="493">
        <v>779591.0</v>
      </c>
      <c r="M987" s="493">
        <v>0.4666</v>
      </c>
      <c r="N987" s="6">
        <v>1.6116</v>
      </c>
    </row>
    <row r="988">
      <c r="A988" s="491" t="s">
        <v>2020</v>
      </c>
      <c r="B988" s="491" t="s">
        <v>1857</v>
      </c>
      <c r="C988" s="491" t="s">
        <v>69</v>
      </c>
      <c r="D988" s="491" t="s">
        <v>565</v>
      </c>
      <c r="E988" s="492" t="s">
        <v>366</v>
      </c>
      <c r="F988" s="493">
        <v>83424.0</v>
      </c>
      <c r="G988" s="493">
        <v>10230.0</v>
      </c>
      <c r="H988" s="493">
        <v>12.26</v>
      </c>
      <c r="I988" s="493">
        <v>1.4</v>
      </c>
      <c r="J988" s="493">
        <v>1.38</v>
      </c>
      <c r="K988" s="493">
        <v>10913.0</v>
      </c>
      <c r="L988" s="493">
        <v>779591.0</v>
      </c>
      <c r="M988" s="493">
        <v>0.1308</v>
      </c>
      <c r="N988" s="6">
        <v>1.0668</v>
      </c>
    </row>
    <row r="989">
      <c r="A989" s="491" t="s">
        <v>2020</v>
      </c>
      <c r="B989" s="491" t="s">
        <v>1857</v>
      </c>
      <c r="C989" s="491" t="s">
        <v>69</v>
      </c>
      <c r="D989" s="491" t="s">
        <v>565</v>
      </c>
      <c r="E989" s="492" t="s">
        <v>369</v>
      </c>
      <c r="F989" s="493">
        <v>83424.0</v>
      </c>
      <c r="G989" s="493">
        <v>6583.0</v>
      </c>
      <c r="H989" s="493">
        <v>7.89</v>
      </c>
      <c r="I989" s="493">
        <v>1.02</v>
      </c>
      <c r="J989" s="493">
        <v>0.68</v>
      </c>
      <c r="K989" s="493">
        <v>7927.0</v>
      </c>
      <c r="L989" s="493">
        <v>779591.0</v>
      </c>
      <c r="M989" s="493">
        <v>0.095</v>
      </c>
      <c r="N989" s="6">
        <v>1.2042</v>
      </c>
    </row>
    <row r="990">
      <c r="A990" s="491" t="s">
        <v>2020</v>
      </c>
      <c r="B990" s="491" t="s">
        <v>1857</v>
      </c>
      <c r="C990" s="491" t="s">
        <v>69</v>
      </c>
      <c r="D990" s="491" t="s">
        <v>565</v>
      </c>
      <c r="E990" s="492" t="s">
        <v>134</v>
      </c>
      <c r="F990" s="493">
        <v>83424.0</v>
      </c>
      <c r="G990" s="493">
        <v>5370.0</v>
      </c>
      <c r="H990" s="493">
        <v>6.44</v>
      </c>
      <c r="I990" s="493">
        <v>0.9</v>
      </c>
      <c r="J990" s="493">
        <v>0.6</v>
      </c>
      <c r="K990" s="493">
        <v>7050.0</v>
      </c>
      <c r="L990" s="493">
        <v>779591.0</v>
      </c>
      <c r="M990" s="493">
        <v>0.0845</v>
      </c>
      <c r="N990" s="6">
        <v>1.3128</v>
      </c>
    </row>
    <row r="991">
      <c r="A991" s="491" t="s">
        <v>2020</v>
      </c>
      <c r="B991" s="491" t="s">
        <v>1857</v>
      </c>
      <c r="C991" s="491" t="s">
        <v>69</v>
      </c>
      <c r="D991" s="491" t="s">
        <v>565</v>
      </c>
      <c r="E991" s="492" t="s">
        <v>42</v>
      </c>
      <c r="F991" s="493">
        <v>83424.0</v>
      </c>
      <c r="G991" s="493">
        <v>5510.0</v>
      </c>
      <c r="H991" s="493">
        <v>6.6</v>
      </c>
      <c r="I991" s="493">
        <v>0.83</v>
      </c>
      <c r="J991" s="493">
        <v>0.81</v>
      </c>
      <c r="K991" s="493">
        <v>6440.0</v>
      </c>
      <c r="L991" s="493">
        <v>779591.0</v>
      </c>
      <c r="M991" s="493">
        <v>0.0772</v>
      </c>
      <c r="N991" s="6">
        <v>1.1688</v>
      </c>
    </row>
    <row r="992">
      <c r="A992" s="491" t="s">
        <v>2020</v>
      </c>
      <c r="B992" s="491" t="s">
        <v>1857</v>
      </c>
      <c r="C992" s="491" t="s">
        <v>69</v>
      </c>
      <c r="D992" s="491" t="s">
        <v>565</v>
      </c>
      <c r="E992" s="492" t="s">
        <v>50</v>
      </c>
      <c r="F992" s="493">
        <v>83424.0</v>
      </c>
      <c r="G992" s="493">
        <v>3258.0</v>
      </c>
      <c r="H992" s="493">
        <v>3.91</v>
      </c>
      <c r="I992" s="493">
        <v>0.46</v>
      </c>
      <c r="J992" s="493">
        <v>0.32</v>
      </c>
      <c r="K992" s="493">
        <v>3621.0</v>
      </c>
      <c r="L992" s="493">
        <v>779591.0</v>
      </c>
      <c r="M992" s="493">
        <v>0.0434</v>
      </c>
      <c r="N992" s="6">
        <v>1.1114</v>
      </c>
    </row>
    <row r="993">
      <c r="A993" s="491" t="s">
        <v>2020</v>
      </c>
      <c r="B993" s="491" t="s">
        <v>1857</v>
      </c>
      <c r="C993" s="491" t="s">
        <v>69</v>
      </c>
      <c r="D993" s="491" t="s">
        <v>565</v>
      </c>
      <c r="E993" s="492" t="s">
        <v>35</v>
      </c>
      <c r="F993" s="493">
        <v>83424.0</v>
      </c>
      <c r="G993" s="493">
        <v>2132.0</v>
      </c>
      <c r="H993" s="493">
        <v>2.56</v>
      </c>
      <c r="I993" s="493">
        <v>0.3</v>
      </c>
      <c r="J993" s="493">
        <v>0.22</v>
      </c>
      <c r="K993" s="493">
        <v>2313.0</v>
      </c>
      <c r="L993" s="493">
        <v>779591.0</v>
      </c>
      <c r="M993" s="493">
        <v>0.0277</v>
      </c>
      <c r="N993" s="6">
        <v>1.0849</v>
      </c>
    </row>
    <row r="994">
      <c r="A994" s="491" t="s">
        <v>2020</v>
      </c>
      <c r="B994" s="491" t="s">
        <v>1857</v>
      </c>
      <c r="C994" s="491" t="s">
        <v>69</v>
      </c>
      <c r="D994" s="491" t="s">
        <v>565</v>
      </c>
      <c r="E994" s="492" t="s">
        <v>189</v>
      </c>
      <c r="F994" s="493">
        <v>83424.0</v>
      </c>
      <c r="G994" s="493">
        <v>1800.0</v>
      </c>
      <c r="H994" s="493">
        <v>2.16</v>
      </c>
      <c r="I994" s="493">
        <v>0.24</v>
      </c>
      <c r="J994" s="493">
        <v>0.17</v>
      </c>
      <c r="K994" s="493">
        <v>1845.0</v>
      </c>
      <c r="L994" s="493">
        <v>779591.0</v>
      </c>
      <c r="M994" s="493">
        <v>0.0221</v>
      </c>
      <c r="N994" s="6">
        <v>1.025</v>
      </c>
    </row>
    <row r="995">
      <c r="A995" s="491" t="s">
        <v>2020</v>
      </c>
      <c r="B995" s="491" t="s">
        <v>1857</v>
      </c>
      <c r="C995" s="491" t="s">
        <v>69</v>
      </c>
      <c r="D995" s="491" t="s">
        <v>565</v>
      </c>
      <c r="E995" s="492" t="s">
        <v>43</v>
      </c>
      <c r="F995" s="493">
        <v>83424.0</v>
      </c>
      <c r="G995" s="493">
        <v>1479.0</v>
      </c>
      <c r="H995" s="493">
        <v>1.77</v>
      </c>
      <c r="I995" s="493">
        <v>0.19</v>
      </c>
      <c r="J995" s="493">
        <v>0.2</v>
      </c>
      <c r="K995" s="493">
        <v>1517.0</v>
      </c>
      <c r="L995" s="493">
        <v>779591.0</v>
      </c>
      <c r="M995" s="493">
        <v>0.0182</v>
      </c>
      <c r="N995" s="6">
        <v>1.0257</v>
      </c>
    </row>
    <row r="996">
      <c r="A996" s="491" t="s">
        <v>2020</v>
      </c>
      <c r="B996" s="491" t="s">
        <v>1857</v>
      </c>
      <c r="C996" s="491" t="s">
        <v>69</v>
      </c>
      <c r="D996" s="491" t="s">
        <v>565</v>
      </c>
      <c r="E996" s="492" t="s">
        <v>311</v>
      </c>
      <c r="F996" s="493">
        <v>83424.0</v>
      </c>
      <c r="G996" s="493">
        <v>1.0</v>
      </c>
      <c r="H996" s="493">
        <v>0.0</v>
      </c>
      <c r="I996" s="493">
        <v>0.0</v>
      </c>
      <c r="J996" s="493">
        <v>0.0</v>
      </c>
      <c r="K996" s="493">
        <v>1.0</v>
      </c>
      <c r="L996" s="493">
        <v>779591.0</v>
      </c>
      <c r="M996" s="493">
        <v>0.0</v>
      </c>
      <c r="N996" s="6">
        <v>1.0</v>
      </c>
    </row>
    <row r="997">
      <c r="A997" s="491" t="s">
        <v>2020</v>
      </c>
      <c r="B997" s="491" t="s">
        <v>1857</v>
      </c>
      <c r="C997" s="491" t="s">
        <v>69</v>
      </c>
      <c r="D997" s="491" t="s">
        <v>565</v>
      </c>
      <c r="E997" s="492" t="s">
        <v>310</v>
      </c>
      <c r="F997" s="493">
        <v>83424.0</v>
      </c>
      <c r="G997" s="493">
        <v>2.0</v>
      </c>
      <c r="H997" s="493">
        <v>0.0</v>
      </c>
      <c r="I997" s="493">
        <v>0.0</v>
      </c>
      <c r="J997" s="493">
        <v>0.0</v>
      </c>
      <c r="K997" s="493">
        <v>3.0</v>
      </c>
      <c r="L997" s="493">
        <v>779591.0</v>
      </c>
      <c r="M997" s="493">
        <v>0.0</v>
      </c>
      <c r="N997" s="6">
        <v>1.5</v>
      </c>
    </row>
    <row r="998">
      <c r="A998" s="491" t="s">
        <v>2020</v>
      </c>
      <c r="B998" s="491" t="s">
        <v>1857</v>
      </c>
      <c r="C998" s="491" t="s">
        <v>69</v>
      </c>
      <c r="D998" s="491" t="s">
        <v>565</v>
      </c>
      <c r="E998" s="492" t="s">
        <v>32</v>
      </c>
      <c r="F998" s="493">
        <v>83424.0</v>
      </c>
      <c r="G998" s="493">
        <v>15.0</v>
      </c>
      <c r="H998" s="493">
        <v>0.02</v>
      </c>
      <c r="I998" s="493">
        <v>0.0</v>
      </c>
      <c r="J998" s="493">
        <v>0.01</v>
      </c>
      <c r="K998" s="493">
        <v>18.0</v>
      </c>
      <c r="L998" s="493">
        <v>779591.0</v>
      </c>
      <c r="M998" s="493">
        <v>2.0E-4</v>
      </c>
      <c r="N998" s="6">
        <v>1.2</v>
      </c>
    </row>
    <row r="999">
      <c r="A999" s="491" t="s">
        <v>2020</v>
      </c>
      <c r="B999" s="491" t="s">
        <v>1857</v>
      </c>
      <c r="C999" s="491" t="s">
        <v>69</v>
      </c>
      <c r="D999" s="491" t="s">
        <v>565</v>
      </c>
      <c r="E999" s="492" t="s">
        <v>312</v>
      </c>
      <c r="F999" s="493">
        <v>83424.0</v>
      </c>
      <c r="G999" s="493">
        <v>3.0</v>
      </c>
      <c r="H999" s="493">
        <v>0.0</v>
      </c>
      <c r="I999" s="493">
        <v>0.0</v>
      </c>
      <c r="J999" s="493">
        <v>0.0</v>
      </c>
      <c r="K999" s="493">
        <v>3.0</v>
      </c>
      <c r="L999" s="493">
        <v>779591.0</v>
      </c>
      <c r="M999" s="493">
        <v>0.0</v>
      </c>
      <c r="N999" s="6">
        <v>1.0</v>
      </c>
    </row>
    <row r="1000">
      <c r="A1000" s="491" t="s">
        <v>2020</v>
      </c>
      <c r="B1000" s="491" t="s">
        <v>1857</v>
      </c>
      <c r="C1000" s="491" t="s">
        <v>73</v>
      </c>
      <c r="D1000" s="491" t="s">
        <v>565</v>
      </c>
      <c r="E1000" s="492" t="s">
        <v>371</v>
      </c>
      <c r="F1000" s="493">
        <v>74857.0</v>
      </c>
      <c r="G1000" s="493">
        <v>56138.0</v>
      </c>
      <c r="H1000" s="493">
        <v>74.99</v>
      </c>
      <c r="I1000" s="493">
        <v>23.21</v>
      </c>
      <c r="J1000" s="493">
        <v>27.42</v>
      </c>
      <c r="K1000" s="493">
        <v>134544.0</v>
      </c>
      <c r="L1000" s="493">
        <v>579791.0</v>
      </c>
      <c r="M1000" s="493">
        <v>1.7973</v>
      </c>
      <c r="N1000" s="6">
        <v>2.3967</v>
      </c>
    </row>
    <row r="1001">
      <c r="A1001" s="491" t="s">
        <v>2020</v>
      </c>
      <c r="B1001" s="491" t="s">
        <v>1857</v>
      </c>
      <c r="C1001" s="491" t="s">
        <v>73</v>
      </c>
      <c r="D1001" s="491" t="s">
        <v>565</v>
      </c>
      <c r="E1001" s="492" t="s">
        <v>372</v>
      </c>
      <c r="F1001" s="493">
        <v>74857.0</v>
      </c>
      <c r="G1001" s="493">
        <v>36551.0</v>
      </c>
      <c r="H1001" s="493">
        <v>48.83</v>
      </c>
      <c r="I1001" s="493">
        <v>14.08</v>
      </c>
      <c r="J1001" s="493">
        <v>12.51</v>
      </c>
      <c r="K1001" s="493">
        <v>81634.0</v>
      </c>
      <c r="L1001" s="493">
        <v>579791.0</v>
      </c>
      <c r="M1001" s="493">
        <v>1.0905</v>
      </c>
      <c r="N1001" s="6">
        <v>2.2334</v>
      </c>
    </row>
    <row r="1002">
      <c r="A1002" s="491" t="s">
        <v>2020</v>
      </c>
      <c r="B1002" s="491" t="s">
        <v>1857</v>
      </c>
      <c r="C1002" s="491" t="s">
        <v>73</v>
      </c>
      <c r="D1002" s="491" t="s">
        <v>565</v>
      </c>
      <c r="E1002" s="492" t="s">
        <v>367</v>
      </c>
      <c r="F1002" s="493">
        <v>74857.0</v>
      </c>
      <c r="G1002" s="493">
        <v>33905.0</v>
      </c>
      <c r="H1002" s="493">
        <v>45.29</v>
      </c>
      <c r="I1002" s="493">
        <v>10.21</v>
      </c>
      <c r="J1002" s="493">
        <v>8.88</v>
      </c>
      <c r="K1002" s="493">
        <v>59175.0</v>
      </c>
      <c r="L1002" s="493">
        <v>579791.0</v>
      </c>
      <c r="M1002" s="493">
        <v>0.7905</v>
      </c>
      <c r="N1002" s="6">
        <v>1.7453</v>
      </c>
    </row>
    <row r="1003">
      <c r="A1003" s="491" t="s">
        <v>2020</v>
      </c>
      <c r="B1003" s="491" t="s">
        <v>1857</v>
      </c>
      <c r="C1003" s="491" t="s">
        <v>73</v>
      </c>
      <c r="D1003" s="491" t="s">
        <v>565</v>
      </c>
      <c r="E1003" s="492" t="s">
        <v>365</v>
      </c>
      <c r="F1003" s="493">
        <v>74857.0</v>
      </c>
      <c r="G1003" s="493">
        <v>20624.0</v>
      </c>
      <c r="H1003" s="493">
        <v>27.55</v>
      </c>
      <c r="I1003" s="493">
        <v>9.71</v>
      </c>
      <c r="J1003" s="493">
        <v>6.9</v>
      </c>
      <c r="K1003" s="493">
        <v>56287.0</v>
      </c>
      <c r="L1003" s="493">
        <v>579791.0</v>
      </c>
      <c r="M1003" s="493">
        <v>0.7519</v>
      </c>
      <c r="N1003" s="6">
        <v>2.7292</v>
      </c>
    </row>
    <row r="1004">
      <c r="A1004" s="491" t="s">
        <v>2020</v>
      </c>
      <c r="B1004" s="491" t="s">
        <v>1857</v>
      </c>
      <c r="C1004" s="491" t="s">
        <v>73</v>
      </c>
      <c r="D1004" s="491" t="s">
        <v>565</v>
      </c>
      <c r="E1004" s="492" t="s">
        <v>42</v>
      </c>
      <c r="F1004" s="493">
        <v>74857.0</v>
      </c>
      <c r="G1004" s="493">
        <v>28463.0</v>
      </c>
      <c r="H1004" s="493">
        <v>38.02</v>
      </c>
      <c r="I1004" s="493">
        <v>8.22</v>
      </c>
      <c r="J1004" s="493">
        <v>8.98</v>
      </c>
      <c r="K1004" s="493">
        <v>47676.0</v>
      </c>
      <c r="L1004" s="493">
        <v>579791.0</v>
      </c>
      <c r="M1004" s="493">
        <v>0.6369</v>
      </c>
      <c r="N1004" s="6">
        <v>1.675</v>
      </c>
    </row>
    <row r="1005">
      <c r="A1005" s="491" t="s">
        <v>2020</v>
      </c>
      <c r="B1005" s="491" t="s">
        <v>1857</v>
      </c>
      <c r="C1005" s="491" t="s">
        <v>73</v>
      </c>
      <c r="D1005" s="491" t="s">
        <v>565</v>
      </c>
      <c r="E1005" s="492" t="s">
        <v>370</v>
      </c>
      <c r="F1005" s="493">
        <v>74857.0</v>
      </c>
      <c r="G1005" s="493">
        <v>20424.0</v>
      </c>
      <c r="H1005" s="493">
        <v>27.28</v>
      </c>
      <c r="I1005" s="493">
        <v>6.33</v>
      </c>
      <c r="J1005" s="493">
        <v>5.52</v>
      </c>
      <c r="K1005" s="493">
        <v>36706.0</v>
      </c>
      <c r="L1005" s="493">
        <v>579791.0</v>
      </c>
      <c r="M1005" s="493">
        <v>0.4903</v>
      </c>
      <c r="N1005" s="6">
        <v>1.7972</v>
      </c>
    </row>
    <row r="1006">
      <c r="A1006" s="491" t="s">
        <v>2020</v>
      </c>
      <c r="B1006" s="491" t="s">
        <v>1857</v>
      </c>
      <c r="C1006" s="491" t="s">
        <v>73</v>
      </c>
      <c r="D1006" s="491" t="s">
        <v>565</v>
      </c>
      <c r="E1006" s="492" t="s">
        <v>366</v>
      </c>
      <c r="F1006" s="493">
        <v>74857.0</v>
      </c>
      <c r="G1006" s="493">
        <v>28115.0</v>
      </c>
      <c r="H1006" s="493">
        <v>37.56</v>
      </c>
      <c r="I1006" s="493">
        <v>6.02</v>
      </c>
      <c r="J1006" s="493">
        <v>7.53</v>
      </c>
      <c r="K1006" s="493">
        <v>34904.0</v>
      </c>
      <c r="L1006" s="493">
        <v>579791.0</v>
      </c>
      <c r="M1006" s="493">
        <v>0.4663</v>
      </c>
      <c r="N1006" s="6">
        <v>1.2415</v>
      </c>
    </row>
    <row r="1007">
      <c r="A1007" s="491" t="s">
        <v>2020</v>
      </c>
      <c r="B1007" s="491" t="s">
        <v>1857</v>
      </c>
      <c r="C1007" s="491" t="s">
        <v>73</v>
      </c>
      <c r="D1007" s="491" t="s">
        <v>565</v>
      </c>
      <c r="E1007" s="492" t="s">
        <v>44</v>
      </c>
      <c r="F1007" s="493">
        <v>74857.0</v>
      </c>
      <c r="G1007" s="493">
        <v>19327.0</v>
      </c>
      <c r="H1007" s="493">
        <v>25.82</v>
      </c>
      <c r="I1007" s="493">
        <v>4.74</v>
      </c>
      <c r="J1007" s="493">
        <v>3.33</v>
      </c>
      <c r="K1007" s="493">
        <v>27507.0</v>
      </c>
      <c r="L1007" s="493">
        <v>579791.0</v>
      </c>
      <c r="M1007" s="493">
        <v>0.3675</v>
      </c>
      <c r="N1007" s="6">
        <v>1.4232</v>
      </c>
    </row>
    <row r="1008">
      <c r="A1008" s="491" t="s">
        <v>2020</v>
      </c>
      <c r="B1008" s="491" t="s">
        <v>1857</v>
      </c>
      <c r="C1008" s="491" t="s">
        <v>73</v>
      </c>
      <c r="D1008" s="491" t="s">
        <v>565</v>
      </c>
      <c r="E1008" s="492" t="s">
        <v>50</v>
      </c>
      <c r="F1008" s="493">
        <v>74857.0</v>
      </c>
      <c r="G1008" s="493">
        <v>17227.0</v>
      </c>
      <c r="H1008" s="493">
        <v>23.01</v>
      </c>
      <c r="I1008" s="493">
        <v>3.9</v>
      </c>
      <c r="J1008" s="493">
        <v>4.1</v>
      </c>
      <c r="K1008" s="493">
        <v>22623.0</v>
      </c>
      <c r="L1008" s="493">
        <v>579791.0</v>
      </c>
      <c r="M1008" s="493">
        <v>0.3022</v>
      </c>
      <c r="N1008" s="6">
        <v>1.3132</v>
      </c>
    </row>
    <row r="1009">
      <c r="A1009" s="491" t="s">
        <v>2020</v>
      </c>
      <c r="B1009" s="491" t="s">
        <v>1857</v>
      </c>
      <c r="C1009" s="491" t="s">
        <v>73</v>
      </c>
      <c r="D1009" s="491" t="s">
        <v>565</v>
      </c>
      <c r="E1009" s="492" t="s">
        <v>40</v>
      </c>
      <c r="F1009" s="493">
        <v>74857.0</v>
      </c>
      <c r="G1009" s="493">
        <v>6858.0</v>
      </c>
      <c r="H1009" s="493">
        <v>9.16</v>
      </c>
      <c r="I1009" s="493">
        <v>3.85</v>
      </c>
      <c r="J1009" s="493">
        <v>2.86</v>
      </c>
      <c r="K1009" s="493">
        <v>22324.0</v>
      </c>
      <c r="L1009" s="493">
        <v>579791.0</v>
      </c>
      <c r="M1009" s="493">
        <v>0.2982</v>
      </c>
      <c r="N1009" s="6">
        <v>3.2552</v>
      </c>
    </row>
    <row r="1010">
      <c r="A1010" s="491" t="s">
        <v>2020</v>
      </c>
      <c r="B1010" s="491" t="s">
        <v>1857</v>
      </c>
      <c r="C1010" s="491" t="s">
        <v>73</v>
      </c>
      <c r="D1010" s="491" t="s">
        <v>565</v>
      </c>
      <c r="E1010" s="492" t="s">
        <v>134</v>
      </c>
      <c r="F1010" s="493">
        <v>74857.0</v>
      </c>
      <c r="G1010" s="493">
        <v>9958.0</v>
      </c>
      <c r="H1010" s="493">
        <v>13.3</v>
      </c>
      <c r="I1010" s="493">
        <v>2.51</v>
      </c>
      <c r="J1010" s="493">
        <v>3.4</v>
      </c>
      <c r="K1010" s="493">
        <v>14547.0</v>
      </c>
      <c r="L1010" s="493">
        <v>579791.0</v>
      </c>
      <c r="M1010" s="493">
        <v>0.1943</v>
      </c>
      <c r="N1010" s="6">
        <v>1.4608</v>
      </c>
    </row>
    <row r="1011">
      <c r="A1011" s="491" t="s">
        <v>2020</v>
      </c>
      <c r="B1011" s="491" t="s">
        <v>1857</v>
      </c>
      <c r="C1011" s="491" t="s">
        <v>73</v>
      </c>
      <c r="D1011" s="491" t="s">
        <v>565</v>
      </c>
      <c r="E1011" s="492" t="s">
        <v>310</v>
      </c>
      <c r="F1011" s="493">
        <v>74857.0</v>
      </c>
      <c r="G1011" s="493">
        <v>11560.0</v>
      </c>
      <c r="H1011" s="493">
        <v>15.44</v>
      </c>
      <c r="I1011" s="493">
        <v>2.31</v>
      </c>
      <c r="J1011" s="493">
        <v>2.61</v>
      </c>
      <c r="K1011" s="493">
        <v>13381.0</v>
      </c>
      <c r="L1011" s="493">
        <v>579791.0</v>
      </c>
      <c r="M1011" s="493">
        <v>0.1788</v>
      </c>
      <c r="N1011" s="6">
        <v>1.1575</v>
      </c>
    </row>
    <row r="1012">
      <c r="A1012" s="491" t="s">
        <v>2020</v>
      </c>
      <c r="B1012" s="491" t="s">
        <v>1857</v>
      </c>
      <c r="C1012" s="491" t="s">
        <v>73</v>
      </c>
      <c r="D1012" s="491" t="s">
        <v>565</v>
      </c>
      <c r="E1012" s="492" t="s">
        <v>32</v>
      </c>
      <c r="F1012" s="493">
        <v>74857.0</v>
      </c>
      <c r="G1012" s="493">
        <v>11380.0</v>
      </c>
      <c r="H1012" s="493">
        <v>15.2</v>
      </c>
      <c r="I1012" s="493">
        <v>2.25</v>
      </c>
      <c r="J1012" s="493">
        <v>2.73</v>
      </c>
      <c r="K1012" s="493">
        <v>13031.0</v>
      </c>
      <c r="L1012" s="493">
        <v>579791.0</v>
      </c>
      <c r="M1012" s="493">
        <v>0.1741</v>
      </c>
      <c r="N1012" s="6">
        <v>1.1451</v>
      </c>
    </row>
    <row r="1013">
      <c r="A1013" s="491" t="s">
        <v>2020</v>
      </c>
      <c r="B1013" s="491" t="s">
        <v>1857</v>
      </c>
      <c r="C1013" s="491" t="s">
        <v>73</v>
      </c>
      <c r="D1013" s="491" t="s">
        <v>565</v>
      </c>
      <c r="E1013" s="492" t="s">
        <v>312</v>
      </c>
      <c r="F1013" s="493">
        <v>74857.0</v>
      </c>
      <c r="G1013" s="493">
        <v>9994.0</v>
      </c>
      <c r="H1013" s="493">
        <v>13.35</v>
      </c>
      <c r="I1013" s="493">
        <v>2.02</v>
      </c>
      <c r="J1013" s="493">
        <v>2.37</v>
      </c>
      <c r="K1013" s="493">
        <v>11709.0</v>
      </c>
      <c r="L1013" s="493">
        <v>579791.0</v>
      </c>
      <c r="M1013" s="493">
        <v>0.1564</v>
      </c>
      <c r="N1013" s="6">
        <v>1.1716</v>
      </c>
    </row>
    <row r="1014">
      <c r="A1014" s="491" t="s">
        <v>2020</v>
      </c>
      <c r="B1014" s="491" t="s">
        <v>1857</v>
      </c>
      <c r="C1014" s="491" t="s">
        <v>73</v>
      </c>
      <c r="D1014" s="491" t="s">
        <v>565</v>
      </c>
      <c r="E1014" s="492" t="s">
        <v>311</v>
      </c>
      <c r="F1014" s="493">
        <v>74857.0</v>
      </c>
      <c r="G1014" s="493">
        <v>2936.0</v>
      </c>
      <c r="H1014" s="493">
        <v>3.92</v>
      </c>
      <c r="I1014" s="493">
        <v>0.52</v>
      </c>
      <c r="J1014" s="493">
        <v>0.74</v>
      </c>
      <c r="K1014" s="493">
        <v>2993.0</v>
      </c>
      <c r="L1014" s="493">
        <v>579791.0</v>
      </c>
      <c r="M1014" s="493">
        <v>0.04</v>
      </c>
      <c r="N1014" s="6">
        <v>1.0194</v>
      </c>
    </row>
    <row r="1015">
      <c r="A1015" s="491" t="s">
        <v>2020</v>
      </c>
      <c r="B1015" s="491" t="s">
        <v>1857</v>
      </c>
      <c r="C1015" s="491" t="s">
        <v>73</v>
      </c>
      <c r="D1015" s="491" t="s">
        <v>565</v>
      </c>
      <c r="E1015" s="492" t="s">
        <v>43</v>
      </c>
      <c r="F1015" s="493">
        <v>74857.0</v>
      </c>
      <c r="G1015" s="493">
        <v>652.0</v>
      </c>
      <c r="H1015" s="493">
        <v>0.87</v>
      </c>
      <c r="I1015" s="493">
        <v>0.12</v>
      </c>
      <c r="J1015" s="493">
        <v>0.13</v>
      </c>
      <c r="K1015" s="493">
        <v>681.0</v>
      </c>
      <c r="L1015" s="493">
        <v>579791.0</v>
      </c>
      <c r="M1015" s="493">
        <v>0.0091</v>
      </c>
      <c r="N1015" s="6">
        <v>1.0445</v>
      </c>
    </row>
    <row r="1016">
      <c r="A1016" s="491" t="s">
        <v>2020</v>
      </c>
      <c r="B1016" s="491" t="s">
        <v>1857</v>
      </c>
      <c r="C1016" s="491" t="s">
        <v>73</v>
      </c>
      <c r="D1016" s="491" t="s">
        <v>565</v>
      </c>
      <c r="E1016" s="492" t="s">
        <v>35</v>
      </c>
      <c r="F1016" s="493">
        <v>74857.0</v>
      </c>
      <c r="G1016" s="493">
        <v>57.0</v>
      </c>
      <c r="H1016" s="493">
        <v>0.08</v>
      </c>
      <c r="I1016" s="493">
        <v>0.01</v>
      </c>
      <c r="J1016" s="493">
        <v>0.01</v>
      </c>
      <c r="K1016" s="493">
        <v>61.0</v>
      </c>
      <c r="L1016" s="493">
        <v>579791.0</v>
      </c>
      <c r="M1016" s="493">
        <v>8.0E-4</v>
      </c>
      <c r="N1016" s="6">
        <v>1.0702</v>
      </c>
    </row>
    <row r="1017">
      <c r="A1017" s="491" t="s">
        <v>2020</v>
      </c>
      <c r="B1017" s="491" t="s">
        <v>1857</v>
      </c>
      <c r="C1017" s="491" t="s">
        <v>73</v>
      </c>
      <c r="D1017" s="491" t="s">
        <v>565</v>
      </c>
      <c r="E1017" s="492" t="s">
        <v>368</v>
      </c>
      <c r="F1017" s="493">
        <v>74857.0</v>
      </c>
      <c r="G1017" s="493">
        <v>2.0</v>
      </c>
      <c r="H1017" s="493">
        <v>0.0</v>
      </c>
      <c r="I1017" s="493">
        <v>0.0</v>
      </c>
      <c r="J1017" s="493">
        <v>0.0</v>
      </c>
      <c r="K1017" s="493">
        <v>4.0</v>
      </c>
      <c r="L1017" s="493">
        <v>579791.0</v>
      </c>
      <c r="M1017" s="493">
        <v>1.0E-4</v>
      </c>
      <c r="N1017" s="6">
        <v>2.0</v>
      </c>
    </row>
    <row r="1018">
      <c r="A1018" s="491" t="s">
        <v>2020</v>
      </c>
      <c r="B1018" s="491" t="s">
        <v>1857</v>
      </c>
      <c r="C1018" s="491" t="s">
        <v>73</v>
      </c>
      <c r="D1018" s="491" t="s">
        <v>565</v>
      </c>
      <c r="E1018" s="492" t="s">
        <v>189</v>
      </c>
      <c r="F1018" s="493">
        <v>74857.0</v>
      </c>
      <c r="G1018" s="493">
        <v>4.0</v>
      </c>
      <c r="H1018" s="493">
        <v>0.01</v>
      </c>
      <c r="I1018" s="493">
        <v>0.0</v>
      </c>
      <c r="J1018" s="493">
        <v>0.0</v>
      </c>
      <c r="K1018" s="493">
        <v>4.0</v>
      </c>
      <c r="L1018" s="493">
        <v>579791.0</v>
      </c>
      <c r="M1018" s="493">
        <v>1.0E-4</v>
      </c>
      <c r="N1018" s="6">
        <v>1.0</v>
      </c>
    </row>
    <row r="1019">
      <c r="A1019" s="491" t="s">
        <v>2020</v>
      </c>
      <c r="B1019" s="491" t="s">
        <v>1857</v>
      </c>
      <c r="C1019" s="491" t="s">
        <v>72</v>
      </c>
      <c r="D1019" s="491" t="s">
        <v>565</v>
      </c>
      <c r="E1019" s="492" t="s">
        <v>371</v>
      </c>
      <c r="F1019" s="493">
        <v>75725.0</v>
      </c>
      <c r="G1019" s="493">
        <v>48472.0</v>
      </c>
      <c r="H1019" s="493">
        <v>64.01</v>
      </c>
      <c r="I1019" s="493">
        <v>15.74</v>
      </c>
      <c r="J1019" s="493">
        <v>18.57</v>
      </c>
      <c r="K1019" s="493">
        <v>100327.0</v>
      </c>
      <c r="L1019" s="493">
        <v>637270.0</v>
      </c>
      <c r="M1019" s="493">
        <v>1.3249</v>
      </c>
      <c r="N1019" s="6">
        <v>2.0698</v>
      </c>
    </row>
    <row r="1020">
      <c r="A1020" s="491" t="s">
        <v>2020</v>
      </c>
      <c r="B1020" s="491" t="s">
        <v>1857</v>
      </c>
      <c r="C1020" s="491" t="s">
        <v>72</v>
      </c>
      <c r="D1020" s="491" t="s">
        <v>565</v>
      </c>
      <c r="E1020" s="492" t="s">
        <v>367</v>
      </c>
      <c r="F1020" s="493">
        <v>75725.0</v>
      </c>
      <c r="G1020" s="493">
        <v>41814.0</v>
      </c>
      <c r="H1020" s="493">
        <v>55.22</v>
      </c>
      <c r="I1020" s="493">
        <v>13.99</v>
      </c>
      <c r="J1020" s="493">
        <v>13.12</v>
      </c>
      <c r="K1020" s="493">
        <v>89127.0</v>
      </c>
      <c r="L1020" s="493">
        <v>637270.0</v>
      </c>
      <c r="M1020" s="493">
        <v>1.177</v>
      </c>
      <c r="N1020" s="6">
        <v>2.1315</v>
      </c>
    </row>
    <row r="1021">
      <c r="A1021" s="491" t="s">
        <v>2020</v>
      </c>
      <c r="B1021" s="491" t="s">
        <v>1857</v>
      </c>
      <c r="C1021" s="491" t="s">
        <v>72</v>
      </c>
      <c r="D1021" s="491" t="s">
        <v>565</v>
      </c>
      <c r="E1021" s="492" t="s">
        <v>365</v>
      </c>
      <c r="F1021" s="493">
        <v>75725.0</v>
      </c>
      <c r="G1021" s="493">
        <v>20654.0</v>
      </c>
      <c r="H1021" s="493">
        <v>27.28</v>
      </c>
      <c r="I1021" s="493">
        <v>8.89</v>
      </c>
      <c r="J1021" s="493">
        <v>6.34</v>
      </c>
      <c r="K1021" s="493">
        <v>56653.0</v>
      </c>
      <c r="L1021" s="493">
        <v>637270.0</v>
      </c>
      <c r="M1021" s="493">
        <v>0.7481</v>
      </c>
      <c r="N1021" s="6">
        <v>2.743</v>
      </c>
    </row>
    <row r="1022">
      <c r="A1022" s="491" t="s">
        <v>2020</v>
      </c>
      <c r="B1022" s="491" t="s">
        <v>1857</v>
      </c>
      <c r="C1022" s="491" t="s">
        <v>72</v>
      </c>
      <c r="D1022" s="491" t="s">
        <v>565</v>
      </c>
      <c r="E1022" s="492" t="s">
        <v>372</v>
      </c>
      <c r="F1022" s="493">
        <v>75725.0</v>
      </c>
      <c r="G1022" s="493">
        <v>23243.0</v>
      </c>
      <c r="H1022" s="493">
        <v>30.69</v>
      </c>
      <c r="I1022" s="493">
        <v>8.6</v>
      </c>
      <c r="J1022" s="493">
        <v>5.97</v>
      </c>
      <c r="K1022" s="493">
        <v>54834.0</v>
      </c>
      <c r="L1022" s="493">
        <v>637270.0</v>
      </c>
      <c r="M1022" s="493">
        <v>0.7241</v>
      </c>
      <c r="N1022" s="6">
        <v>2.3592</v>
      </c>
    </row>
    <row r="1023">
      <c r="A1023" s="491" t="s">
        <v>2020</v>
      </c>
      <c r="B1023" s="491" t="s">
        <v>1857</v>
      </c>
      <c r="C1023" s="491" t="s">
        <v>72</v>
      </c>
      <c r="D1023" s="491" t="s">
        <v>565</v>
      </c>
      <c r="E1023" s="492" t="s">
        <v>370</v>
      </c>
      <c r="F1023" s="493">
        <v>75725.0</v>
      </c>
      <c r="G1023" s="493">
        <v>27376.0</v>
      </c>
      <c r="H1023" s="493">
        <v>36.15</v>
      </c>
      <c r="I1023" s="493">
        <v>8.34</v>
      </c>
      <c r="J1023" s="493">
        <v>7.34</v>
      </c>
      <c r="K1023" s="493">
        <v>53180.0</v>
      </c>
      <c r="L1023" s="493">
        <v>637270.0</v>
      </c>
      <c r="M1023" s="493">
        <v>0.7023</v>
      </c>
      <c r="N1023" s="6">
        <v>1.9426</v>
      </c>
    </row>
    <row r="1024">
      <c r="A1024" s="491" t="s">
        <v>2020</v>
      </c>
      <c r="B1024" s="491" t="s">
        <v>1857</v>
      </c>
      <c r="C1024" s="491" t="s">
        <v>72</v>
      </c>
      <c r="D1024" s="491" t="s">
        <v>565</v>
      </c>
      <c r="E1024" s="492" t="s">
        <v>40</v>
      </c>
      <c r="F1024" s="493">
        <v>75725.0</v>
      </c>
      <c r="G1024" s="493">
        <v>21752.0</v>
      </c>
      <c r="H1024" s="493">
        <v>28.72</v>
      </c>
      <c r="I1024" s="493">
        <v>7.67</v>
      </c>
      <c r="J1024" s="493">
        <v>7.25</v>
      </c>
      <c r="K1024" s="493">
        <v>48855.0</v>
      </c>
      <c r="L1024" s="493">
        <v>637270.0</v>
      </c>
      <c r="M1024" s="493">
        <v>0.6452</v>
      </c>
      <c r="N1024" s="6">
        <v>2.246</v>
      </c>
    </row>
    <row r="1025">
      <c r="A1025" s="491" t="s">
        <v>2020</v>
      </c>
      <c r="B1025" s="491" t="s">
        <v>1857</v>
      </c>
      <c r="C1025" s="491" t="s">
        <v>72</v>
      </c>
      <c r="D1025" s="491" t="s">
        <v>565</v>
      </c>
      <c r="E1025" s="492" t="s">
        <v>368</v>
      </c>
      <c r="F1025" s="493">
        <v>75725.0</v>
      </c>
      <c r="G1025" s="493">
        <v>20514.0</v>
      </c>
      <c r="H1025" s="493">
        <v>27.09</v>
      </c>
      <c r="I1025" s="493">
        <v>7.4</v>
      </c>
      <c r="J1025" s="493">
        <v>9.16</v>
      </c>
      <c r="K1025" s="493">
        <v>47136.0</v>
      </c>
      <c r="L1025" s="493">
        <v>637270.0</v>
      </c>
      <c r="M1025" s="493">
        <v>0.6225</v>
      </c>
      <c r="N1025" s="6">
        <v>2.2977</v>
      </c>
    </row>
    <row r="1026">
      <c r="A1026" s="491" t="s">
        <v>2020</v>
      </c>
      <c r="B1026" s="491" t="s">
        <v>1857</v>
      </c>
      <c r="C1026" s="491" t="s">
        <v>72</v>
      </c>
      <c r="D1026" s="491" t="s">
        <v>565</v>
      </c>
      <c r="E1026" s="492" t="s">
        <v>49</v>
      </c>
      <c r="F1026" s="493">
        <v>75725.0</v>
      </c>
      <c r="G1026" s="493">
        <v>24155.0</v>
      </c>
      <c r="H1026" s="493">
        <v>31.9</v>
      </c>
      <c r="I1026" s="493">
        <v>6.11</v>
      </c>
      <c r="J1026" s="493">
        <v>6.6</v>
      </c>
      <c r="K1026" s="493">
        <v>38927.0</v>
      </c>
      <c r="L1026" s="493">
        <v>637270.0</v>
      </c>
      <c r="M1026" s="493">
        <v>0.5141</v>
      </c>
      <c r="N1026" s="6">
        <v>1.6116</v>
      </c>
    </row>
    <row r="1027">
      <c r="A1027" s="491" t="s">
        <v>2020</v>
      </c>
      <c r="B1027" s="491" t="s">
        <v>1857</v>
      </c>
      <c r="C1027" s="491" t="s">
        <v>72</v>
      </c>
      <c r="D1027" s="491" t="s">
        <v>565</v>
      </c>
      <c r="E1027" s="492" t="s">
        <v>42</v>
      </c>
      <c r="F1027" s="493">
        <v>75725.0</v>
      </c>
      <c r="G1027" s="493">
        <v>23216.0</v>
      </c>
      <c r="H1027" s="493">
        <v>30.66</v>
      </c>
      <c r="I1027" s="493">
        <v>5.39</v>
      </c>
      <c r="J1027" s="493">
        <v>6.24</v>
      </c>
      <c r="K1027" s="493">
        <v>34329.0</v>
      </c>
      <c r="L1027" s="493">
        <v>637270.0</v>
      </c>
      <c r="M1027" s="493">
        <v>0.4533</v>
      </c>
      <c r="N1027" s="6">
        <v>1.4787</v>
      </c>
    </row>
    <row r="1028">
      <c r="A1028" s="491" t="s">
        <v>2020</v>
      </c>
      <c r="B1028" s="491" t="s">
        <v>1857</v>
      </c>
      <c r="C1028" s="491" t="s">
        <v>72</v>
      </c>
      <c r="D1028" s="491" t="s">
        <v>565</v>
      </c>
      <c r="E1028" s="492" t="s">
        <v>366</v>
      </c>
      <c r="F1028" s="493">
        <v>75725.0</v>
      </c>
      <c r="G1028" s="493">
        <v>20892.0</v>
      </c>
      <c r="H1028" s="493">
        <v>27.59</v>
      </c>
      <c r="I1028" s="493">
        <v>3.75</v>
      </c>
      <c r="J1028" s="493">
        <v>4.66</v>
      </c>
      <c r="K1028" s="493">
        <v>23908.0</v>
      </c>
      <c r="L1028" s="493">
        <v>637270.0</v>
      </c>
      <c r="M1028" s="493">
        <v>0.3157</v>
      </c>
      <c r="N1028" s="6">
        <v>1.1444</v>
      </c>
    </row>
    <row r="1029">
      <c r="A1029" s="491" t="s">
        <v>2020</v>
      </c>
      <c r="B1029" s="491" t="s">
        <v>1857</v>
      </c>
      <c r="C1029" s="491" t="s">
        <v>72</v>
      </c>
      <c r="D1029" s="491" t="s">
        <v>565</v>
      </c>
      <c r="E1029" s="492" t="s">
        <v>310</v>
      </c>
      <c r="F1029" s="493">
        <v>75725.0</v>
      </c>
      <c r="G1029" s="493">
        <v>16678.0</v>
      </c>
      <c r="H1029" s="493">
        <v>22.02</v>
      </c>
      <c r="I1029" s="493">
        <v>3.19</v>
      </c>
      <c r="J1029" s="493">
        <v>3.46</v>
      </c>
      <c r="K1029" s="493">
        <v>20334.0</v>
      </c>
      <c r="L1029" s="493">
        <v>637270.0</v>
      </c>
      <c r="M1029" s="493">
        <v>0.2685</v>
      </c>
      <c r="N1029" s="6">
        <v>1.2192</v>
      </c>
    </row>
    <row r="1030">
      <c r="A1030" s="491" t="s">
        <v>2020</v>
      </c>
      <c r="B1030" s="491" t="s">
        <v>1857</v>
      </c>
      <c r="C1030" s="491" t="s">
        <v>72</v>
      </c>
      <c r="D1030" s="491" t="s">
        <v>565</v>
      </c>
      <c r="E1030" s="492" t="s">
        <v>50</v>
      </c>
      <c r="F1030" s="493">
        <v>75725.0</v>
      </c>
      <c r="G1030" s="493">
        <v>15139.0</v>
      </c>
      <c r="H1030" s="493">
        <v>19.99</v>
      </c>
      <c r="I1030" s="493">
        <v>3.08</v>
      </c>
      <c r="J1030" s="493">
        <v>3.0</v>
      </c>
      <c r="K1030" s="493">
        <v>19629.0</v>
      </c>
      <c r="L1030" s="493">
        <v>637270.0</v>
      </c>
      <c r="M1030" s="493">
        <v>0.2592</v>
      </c>
      <c r="N1030" s="6">
        <v>1.2966</v>
      </c>
    </row>
    <row r="1031">
      <c r="A1031" s="491" t="s">
        <v>2020</v>
      </c>
      <c r="B1031" s="491" t="s">
        <v>1857</v>
      </c>
      <c r="C1031" s="491" t="s">
        <v>72</v>
      </c>
      <c r="D1031" s="491" t="s">
        <v>565</v>
      </c>
      <c r="E1031" s="492" t="s">
        <v>32</v>
      </c>
      <c r="F1031" s="493">
        <v>75725.0</v>
      </c>
      <c r="G1031" s="493">
        <v>14857.0</v>
      </c>
      <c r="H1031" s="493">
        <v>19.62</v>
      </c>
      <c r="I1031" s="493">
        <v>2.77</v>
      </c>
      <c r="J1031" s="493">
        <v>2.9</v>
      </c>
      <c r="K1031" s="493">
        <v>17657.0</v>
      </c>
      <c r="L1031" s="493">
        <v>637270.0</v>
      </c>
      <c r="M1031" s="493">
        <v>0.2332</v>
      </c>
      <c r="N1031" s="6">
        <v>1.1885</v>
      </c>
    </row>
    <row r="1032">
      <c r="A1032" s="491" t="s">
        <v>2020</v>
      </c>
      <c r="B1032" s="491" t="s">
        <v>1857</v>
      </c>
      <c r="C1032" s="491" t="s">
        <v>72</v>
      </c>
      <c r="D1032" s="491" t="s">
        <v>565</v>
      </c>
      <c r="E1032" s="492" t="s">
        <v>312</v>
      </c>
      <c r="F1032" s="493">
        <v>75725.0</v>
      </c>
      <c r="G1032" s="493">
        <v>14130.0</v>
      </c>
      <c r="H1032" s="493">
        <v>18.66</v>
      </c>
      <c r="I1032" s="493">
        <v>2.64</v>
      </c>
      <c r="J1032" s="493">
        <v>3.15</v>
      </c>
      <c r="K1032" s="493">
        <v>16833.0</v>
      </c>
      <c r="L1032" s="493">
        <v>637270.0</v>
      </c>
      <c r="M1032" s="493">
        <v>0.2223</v>
      </c>
      <c r="N1032" s="6">
        <v>1.1913</v>
      </c>
    </row>
    <row r="1033">
      <c r="A1033" s="491" t="s">
        <v>2020</v>
      </c>
      <c r="B1033" s="491" t="s">
        <v>1857</v>
      </c>
      <c r="C1033" s="491" t="s">
        <v>72</v>
      </c>
      <c r="D1033" s="491" t="s">
        <v>565</v>
      </c>
      <c r="E1033" s="492" t="s">
        <v>44</v>
      </c>
      <c r="F1033" s="493">
        <v>75725.0</v>
      </c>
      <c r="G1033" s="493">
        <v>5462.0</v>
      </c>
      <c r="H1033" s="493">
        <v>7.21</v>
      </c>
      <c r="I1033" s="493">
        <v>1.02</v>
      </c>
      <c r="J1033" s="493">
        <v>0.71</v>
      </c>
      <c r="K1033" s="493">
        <v>6469.0</v>
      </c>
      <c r="L1033" s="493">
        <v>637270.0</v>
      </c>
      <c r="M1033" s="493">
        <v>0.0854</v>
      </c>
      <c r="N1033" s="6">
        <v>1.1844</v>
      </c>
    </row>
    <row r="1034">
      <c r="A1034" s="491" t="s">
        <v>2020</v>
      </c>
      <c r="B1034" s="491" t="s">
        <v>1857</v>
      </c>
      <c r="C1034" s="491" t="s">
        <v>72</v>
      </c>
      <c r="D1034" s="491" t="s">
        <v>565</v>
      </c>
      <c r="E1034" s="492" t="s">
        <v>311</v>
      </c>
      <c r="F1034" s="493">
        <v>75725.0</v>
      </c>
      <c r="G1034" s="493">
        <v>4653.0</v>
      </c>
      <c r="H1034" s="493">
        <v>6.14</v>
      </c>
      <c r="I1034" s="493">
        <v>0.74</v>
      </c>
      <c r="J1034" s="493">
        <v>0.93</v>
      </c>
      <c r="K1034" s="493">
        <v>4744.0</v>
      </c>
      <c r="L1034" s="493">
        <v>637270.0</v>
      </c>
      <c r="M1034" s="493">
        <v>0.0626</v>
      </c>
      <c r="N1034" s="6">
        <v>1.0196</v>
      </c>
    </row>
    <row r="1035">
      <c r="A1035" s="491" t="s">
        <v>2020</v>
      </c>
      <c r="B1035" s="491" t="s">
        <v>1857</v>
      </c>
      <c r="C1035" s="491" t="s">
        <v>72</v>
      </c>
      <c r="D1035" s="491" t="s">
        <v>565</v>
      </c>
      <c r="E1035" s="492" t="s">
        <v>43</v>
      </c>
      <c r="F1035" s="493">
        <v>75725.0</v>
      </c>
      <c r="G1035" s="493">
        <v>2162.0</v>
      </c>
      <c r="H1035" s="493">
        <v>2.86</v>
      </c>
      <c r="I1035" s="493">
        <v>0.36</v>
      </c>
      <c r="J1035" s="493">
        <v>0.4</v>
      </c>
      <c r="K1035" s="493">
        <v>2299.0</v>
      </c>
      <c r="L1035" s="493">
        <v>637270.0</v>
      </c>
      <c r="M1035" s="493">
        <v>0.0304</v>
      </c>
      <c r="N1035" s="6">
        <v>1.0634</v>
      </c>
    </row>
    <row r="1036">
      <c r="A1036" s="491" t="s">
        <v>2020</v>
      </c>
      <c r="B1036" s="491" t="s">
        <v>1857</v>
      </c>
      <c r="C1036" s="491" t="s">
        <v>72</v>
      </c>
      <c r="D1036" s="491" t="s">
        <v>565</v>
      </c>
      <c r="E1036" s="492" t="s">
        <v>134</v>
      </c>
      <c r="F1036" s="493">
        <v>75725.0</v>
      </c>
      <c r="G1036" s="493">
        <v>1363.0</v>
      </c>
      <c r="H1036" s="493">
        <v>1.8</v>
      </c>
      <c r="I1036" s="493">
        <v>0.3</v>
      </c>
      <c r="J1036" s="493">
        <v>0.18</v>
      </c>
      <c r="K1036" s="493">
        <v>1925.0</v>
      </c>
      <c r="L1036" s="493">
        <v>637270.0</v>
      </c>
      <c r="M1036" s="493">
        <v>0.0254</v>
      </c>
      <c r="N1036" s="6">
        <v>1.4123</v>
      </c>
    </row>
    <row r="1037">
      <c r="A1037" s="491" t="s">
        <v>2020</v>
      </c>
      <c r="B1037" s="491" t="s">
        <v>1857</v>
      </c>
      <c r="C1037" s="491" t="s">
        <v>72</v>
      </c>
      <c r="D1037" s="491" t="s">
        <v>565</v>
      </c>
      <c r="E1037" s="492" t="s">
        <v>369</v>
      </c>
      <c r="F1037" s="493">
        <v>75725.0</v>
      </c>
      <c r="G1037" s="493">
        <v>88.0</v>
      </c>
      <c r="H1037" s="493">
        <v>0.12</v>
      </c>
      <c r="I1037" s="493">
        <v>0.01</v>
      </c>
      <c r="J1037" s="493">
        <v>0.01</v>
      </c>
      <c r="K1037" s="493">
        <v>91.0</v>
      </c>
      <c r="L1037" s="493">
        <v>637270.0</v>
      </c>
      <c r="M1037" s="493">
        <v>0.0012</v>
      </c>
      <c r="N1037" s="6">
        <v>1.0341</v>
      </c>
    </row>
    <row r="1038">
      <c r="A1038" s="491" t="s">
        <v>2020</v>
      </c>
      <c r="B1038" s="491" t="s">
        <v>1857</v>
      </c>
      <c r="C1038" s="491" t="s">
        <v>72</v>
      </c>
      <c r="D1038" s="491" t="s">
        <v>565</v>
      </c>
      <c r="E1038" s="492" t="s">
        <v>189</v>
      </c>
      <c r="F1038" s="493">
        <v>75725.0</v>
      </c>
      <c r="G1038" s="493">
        <v>12.0</v>
      </c>
      <c r="H1038" s="493">
        <v>0.02</v>
      </c>
      <c r="I1038" s="493">
        <v>0.0</v>
      </c>
      <c r="J1038" s="493">
        <v>0.0</v>
      </c>
      <c r="K1038" s="493">
        <v>13.0</v>
      </c>
      <c r="L1038" s="493">
        <v>637270.0</v>
      </c>
      <c r="M1038" s="493">
        <v>2.0E-4</v>
      </c>
      <c r="N1038" s="6">
        <v>1.0833</v>
      </c>
    </row>
    <row r="1039">
      <c r="A1039" s="491" t="s">
        <v>2020</v>
      </c>
      <c r="B1039" s="491" t="s">
        <v>1857</v>
      </c>
      <c r="C1039" s="491" t="s">
        <v>1873</v>
      </c>
      <c r="D1039" s="491" t="s">
        <v>2018</v>
      </c>
      <c r="E1039" s="492" t="s">
        <v>367</v>
      </c>
      <c r="F1039" s="493">
        <v>27148.0</v>
      </c>
      <c r="G1039" s="493">
        <v>10226.0</v>
      </c>
      <c r="H1039" s="493">
        <v>37.67</v>
      </c>
      <c r="I1039" s="493">
        <v>36.94</v>
      </c>
      <c r="J1039" s="493">
        <v>28.88</v>
      </c>
      <c r="K1039" s="493">
        <v>313575.0</v>
      </c>
      <c r="L1039" s="493">
        <v>848790.0</v>
      </c>
      <c r="M1039" s="493">
        <v>11.5506</v>
      </c>
      <c r="N1039" s="6">
        <v>30.6645</v>
      </c>
    </row>
    <row r="1040">
      <c r="A1040" s="491" t="s">
        <v>2020</v>
      </c>
      <c r="B1040" s="491" t="s">
        <v>1857</v>
      </c>
      <c r="C1040" s="491" t="s">
        <v>1873</v>
      </c>
      <c r="D1040" s="491" t="s">
        <v>2018</v>
      </c>
      <c r="E1040" s="492" t="s">
        <v>372</v>
      </c>
      <c r="F1040" s="493">
        <v>27148.0</v>
      </c>
      <c r="G1040" s="493">
        <v>13506.0</v>
      </c>
      <c r="H1040" s="493">
        <v>49.75</v>
      </c>
      <c r="I1040" s="493">
        <v>31.82</v>
      </c>
      <c r="J1040" s="493">
        <v>36.23</v>
      </c>
      <c r="K1040" s="493">
        <v>270050.0</v>
      </c>
      <c r="L1040" s="493">
        <v>848790.0</v>
      </c>
      <c r="M1040" s="493">
        <v>9.9473</v>
      </c>
      <c r="N1040" s="6">
        <v>19.9948</v>
      </c>
    </row>
    <row r="1041">
      <c r="A1041" s="491" t="s">
        <v>2020</v>
      </c>
      <c r="B1041" s="491" t="s">
        <v>1857</v>
      </c>
      <c r="C1041" s="491" t="s">
        <v>1873</v>
      </c>
      <c r="D1041" s="491" t="s">
        <v>2018</v>
      </c>
      <c r="E1041" s="492" t="s">
        <v>134</v>
      </c>
      <c r="F1041" s="493">
        <v>27148.0</v>
      </c>
      <c r="G1041" s="493">
        <v>6071.0</v>
      </c>
      <c r="H1041" s="493">
        <v>22.36</v>
      </c>
      <c r="I1041" s="493">
        <v>16.43</v>
      </c>
      <c r="J1041" s="493">
        <v>15.32</v>
      </c>
      <c r="K1041" s="493">
        <v>139415.0</v>
      </c>
      <c r="L1041" s="493">
        <v>848790.0</v>
      </c>
      <c r="M1041" s="493">
        <v>5.1354</v>
      </c>
      <c r="N1041" s="6">
        <v>22.9641</v>
      </c>
    </row>
    <row r="1042">
      <c r="A1042" s="491" t="s">
        <v>2020</v>
      </c>
      <c r="B1042" s="491" t="s">
        <v>1857</v>
      </c>
      <c r="C1042" s="491" t="s">
        <v>1873</v>
      </c>
      <c r="D1042" s="491" t="s">
        <v>2018</v>
      </c>
      <c r="E1042" s="492" t="s">
        <v>369</v>
      </c>
      <c r="F1042" s="493">
        <v>27148.0</v>
      </c>
      <c r="G1042" s="493">
        <v>6587.0</v>
      </c>
      <c r="H1042" s="493">
        <v>24.26</v>
      </c>
      <c r="I1042" s="493">
        <v>9.22</v>
      </c>
      <c r="J1042" s="493">
        <v>12.12</v>
      </c>
      <c r="K1042" s="493">
        <v>78235.0</v>
      </c>
      <c r="L1042" s="493">
        <v>848790.0</v>
      </c>
      <c r="M1042" s="493">
        <v>2.8818</v>
      </c>
      <c r="N1042" s="6">
        <v>11.8772</v>
      </c>
    </row>
    <row r="1043">
      <c r="A1043" s="491" t="s">
        <v>2020</v>
      </c>
      <c r="B1043" s="491" t="s">
        <v>1857</v>
      </c>
      <c r="C1043" s="491" t="s">
        <v>1873</v>
      </c>
      <c r="D1043" s="491" t="s">
        <v>2018</v>
      </c>
      <c r="E1043" s="492" t="s">
        <v>189</v>
      </c>
      <c r="F1043" s="493">
        <v>27148.0</v>
      </c>
      <c r="G1043" s="493">
        <v>3721.0</v>
      </c>
      <c r="H1043" s="493">
        <v>13.71</v>
      </c>
      <c r="I1043" s="493">
        <v>4.45</v>
      </c>
      <c r="J1043" s="493">
        <v>6.34</v>
      </c>
      <c r="K1043" s="493">
        <v>37770.0</v>
      </c>
      <c r="L1043" s="493">
        <v>848790.0</v>
      </c>
      <c r="M1043" s="493">
        <v>1.3913</v>
      </c>
      <c r="N1043" s="6">
        <v>10.1505</v>
      </c>
    </row>
    <row r="1044">
      <c r="A1044" s="491" t="s">
        <v>2020</v>
      </c>
      <c r="B1044" s="491" t="s">
        <v>1857</v>
      </c>
      <c r="C1044" s="491" t="s">
        <v>1873</v>
      </c>
      <c r="D1044" s="491" t="s">
        <v>2018</v>
      </c>
      <c r="E1044" s="492" t="s">
        <v>370</v>
      </c>
      <c r="F1044" s="493">
        <v>27148.0</v>
      </c>
      <c r="G1044" s="493">
        <v>260.0</v>
      </c>
      <c r="H1044" s="493">
        <v>0.96</v>
      </c>
      <c r="I1044" s="493">
        <v>0.96</v>
      </c>
      <c r="J1044" s="493">
        <v>0.94</v>
      </c>
      <c r="K1044" s="493">
        <v>8170.0</v>
      </c>
      <c r="L1044" s="493">
        <v>848790.0</v>
      </c>
      <c r="M1044" s="493">
        <v>0.3009</v>
      </c>
      <c r="N1044" s="6">
        <v>31.4231</v>
      </c>
    </row>
    <row r="1045">
      <c r="A1045" s="491" t="s">
        <v>2020</v>
      </c>
      <c r="B1045" s="491" t="s">
        <v>1857</v>
      </c>
      <c r="C1045" s="491" t="s">
        <v>1873</v>
      </c>
      <c r="D1045" s="491" t="s">
        <v>2018</v>
      </c>
      <c r="E1045" s="492" t="s">
        <v>35</v>
      </c>
      <c r="F1045" s="493">
        <v>27148.0</v>
      </c>
      <c r="G1045" s="493">
        <v>103.0</v>
      </c>
      <c r="H1045" s="493">
        <v>0.38</v>
      </c>
      <c r="I1045" s="493">
        <v>0.19</v>
      </c>
      <c r="J1045" s="493">
        <v>0.17</v>
      </c>
      <c r="K1045" s="493">
        <v>1575.0</v>
      </c>
      <c r="L1045" s="493">
        <v>848790.0</v>
      </c>
      <c r="M1045" s="493">
        <v>0.058</v>
      </c>
      <c r="N1045" s="6">
        <v>15.2913</v>
      </c>
    </row>
    <row r="1046">
      <c r="A1046" s="491" t="s">
        <v>2020</v>
      </c>
      <c r="B1046" s="491" t="s">
        <v>1857</v>
      </c>
      <c r="C1046" s="491" t="s">
        <v>1874</v>
      </c>
      <c r="D1046" s="491" t="s">
        <v>2018</v>
      </c>
      <c r="E1046" s="492" t="s">
        <v>372</v>
      </c>
      <c r="F1046" s="493">
        <v>60874.0</v>
      </c>
      <c r="G1046" s="493">
        <v>45055.0</v>
      </c>
      <c r="H1046" s="493">
        <v>74.01</v>
      </c>
      <c r="I1046" s="493">
        <v>48.17</v>
      </c>
      <c r="J1046" s="493">
        <v>53.16</v>
      </c>
      <c r="K1046" s="493">
        <v>1214785.0</v>
      </c>
      <c r="L1046" s="493">
        <v>2521890.0</v>
      </c>
      <c r="M1046" s="493">
        <v>19.9557</v>
      </c>
      <c r="N1046" s="6">
        <v>26.9623</v>
      </c>
    </row>
    <row r="1047">
      <c r="A1047" s="491" t="s">
        <v>2020</v>
      </c>
      <c r="B1047" s="491" t="s">
        <v>1857</v>
      </c>
      <c r="C1047" s="491" t="s">
        <v>1874</v>
      </c>
      <c r="D1047" s="491" t="s">
        <v>2018</v>
      </c>
      <c r="E1047" s="492" t="s">
        <v>367</v>
      </c>
      <c r="F1047" s="493">
        <v>60874.0</v>
      </c>
      <c r="G1047" s="493">
        <v>9804.0</v>
      </c>
      <c r="H1047" s="493">
        <v>16.11</v>
      </c>
      <c r="I1047" s="493">
        <v>23.84</v>
      </c>
      <c r="J1047" s="493">
        <v>10.45</v>
      </c>
      <c r="K1047" s="493">
        <v>601305.0</v>
      </c>
      <c r="L1047" s="493">
        <v>2521890.0</v>
      </c>
      <c r="M1047" s="493">
        <v>9.8779</v>
      </c>
      <c r="N1047" s="6">
        <v>61.3326</v>
      </c>
    </row>
    <row r="1048">
      <c r="A1048" s="491" t="s">
        <v>2020</v>
      </c>
      <c r="B1048" s="491" t="s">
        <v>1857</v>
      </c>
      <c r="C1048" s="491" t="s">
        <v>1874</v>
      </c>
      <c r="D1048" s="491" t="s">
        <v>2018</v>
      </c>
      <c r="E1048" s="492" t="s">
        <v>369</v>
      </c>
      <c r="F1048" s="493">
        <v>60874.0</v>
      </c>
      <c r="G1048" s="493">
        <v>29565.0</v>
      </c>
      <c r="H1048" s="493">
        <v>48.57</v>
      </c>
      <c r="I1048" s="493">
        <v>15.54</v>
      </c>
      <c r="J1048" s="493">
        <v>19.97</v>
      </c>
      <c r="K1048" s="493">
        <v>391995.0</v>
      </c>
      <c r="L1048" s="493">
        <v>2521890.0</v>
      </c>
      <c r="M1048" s="493">
        <v>6.4394</v>
      </c>
      <c r="N1048" s="6">
        <v>13.2588</v>
      </c>
    </row>
    <row r="1049">
      <c r="A1049" s="491" t="s">
        <v>2020</v>
      </c>
      <c r="B1049" s="491" t="s">
        <v>1857</v>
      </c>
      <c r="C1049" s="491" t="s">
        <v>1874</v>
      </c>
      <c r="D1049" s="491" t="s">
        <v>2018</v>
      </c>
      <c r="E1049" s="492" t="s">
        <v>189</v>
      </c>
      <c r="F1049" s="493">
        <v>60874.0</v>
      </c>
      <c r="G1049" s="493">
        <v>15054.0</v>
      </c>
      <c r="H1049" s="493">
        <v>24.73</v>
      </c>
      <c r="I1049" s="493">
        <v>6.03</v>
      </c>
      <c r="J1049" s="493">
        <v>8.56</v>
      </c>
      <c r="K1049" s="493">
        <v>151945.0</v>
      </c>
      <c r="L1049" s="493">
        <v>2521890.0</v>
      </c>
      <c r="M1049" s="493">
        <v>2.4961</v>
      </c>
      <c r="N1049" s="6">
        <v>10.0933</v>
      </c>
    </row>
    <row r="1050">
      <c r="A1050" s="491" t="s">
        <v>2020</v>
      </c>
      <c r="B1050" s="491" t="s">
        <v>1857</v>
      </c>
      <c r="C1050" s="491" t="s">
        <v>1874</v>
      </c>
      <c r="D1050" s="491" t="s">
        <v>2018</v>
      </c>
      <c r="E1050" s="492" t="s">
        <v>134</v>
      </c>
      <c r="F1050" s="493">
        <v>60874.0</v>
      </c>
      <c r="G1050" s="493">
        <v>9448.0</v>
      </c>
      <c r="H1050" s="493">
        <v>15.52</v>
      </c>
      <c r="I1050" s="493">
        <v>5.09</v>
      </c>
      <c r="J1050" s="493">
        <v>6.59</v>
      </c>
      <c r="K1050" s="493">
        <v>128455.0</v>
      </c>
      <c r="L1050" s="493">
        <v>2521890.0</v>
      </c>
      <c r="M1050" s="493">
        <v>2.1102</v>
      </c>
      <c r="N1050" s="6">
        <v>13.596</v>
      </c>
    </row>
    <row r="1051">
      <c r="A1051" s="491" t="s">
        <v>2020</v>
      </c>
      <c r="B1051" s="491" t="s">
        <v>1857</v>
      </c>
      <c r="C1051" s="491" t="s">
        <v>1874</v>
      </c>
      <c r="D1051" s="491" t="s">
        <v>2018</v>
      </c>
      <c r="E1051" s="492" t="s">
        <v>44</v>
      </c>
      <c r="F1051" s="493">
        <v>60874.0</v>
      </c>
      <c r="G1051" s="493">
        <v>1078.0</v>
      </c>
      <c r="H1051" s="493">
        <v>1.77</v>
      </c>
      <c r="I1051" s="493">
        <v>0.51</v>
      </c>
      <c r="J1051" s="493">
        <v>0.55</v>
      </c>
      <c r="K1051" s="493">
        <v>12920.0</v>
      </c>
      <c r="L1051" s="493">
        <v>2521890.0</v>
      </c>
      <c r="M1051" s="493">
        <v>0.2122</v>
      </c>
      <c r="N1051" s="6">
        <v>11.9852</v>
      </c>
    </row>
    <row r="1052">
      <c r="A1052" s="491" t="s">
        <v>2020</v>
      </c>
      <c r="B1052" s="491" t="s">
        <v>1857</v>
      </c>
      <c r="C1052" s="491" t="s">
        <v>1874</v>
      </c>
      <c r="D1052" s="491" t="s">
        <v>2018</v>
      </c>
      <c r="E1052" s="492" t="s">
        <v>35</v>
      </c>
      <c r="F1052" s="493">
        <v>60874.0</v>
      </c>
      <c r="G1052" s="493">
        <v>780.0</v>
      </c>
      <c r="H1052" s="493">
        <v>1.28</v>
      </c>
      <c r="I1052" s="493">
        <v>0.49</v>
      </c>
      <c r="J1052" s="493">
        <v>0.41</v>
      </c>
      <c r="K1052" s="493">
        <v>12330.0</v>
      </c>
      <c r="L1052" s="493">
        <v>2521890.0</v>
      </c>
      <c r="M1052" s="493">
        <v>0.2025</v>
      </c>
      <c r="N1052" s="6">
        <v>15.8077</v>
      </c>
    </row>
    <row r="1053">
      <c r="A1053" s="491" t="s">
        <v>2020</v>
      </c>
      <c r="B1053" s="491" t="s">
        <v>1857</v>
      </c>
      <c r="C1053" s="491" t="s">
        <v>1874</v>
      </c>
      <c r="D1053" s="491" t="s">
        <v>2018</v>
      </c>
      <c r="E1053" s="492" t="s">
        <v>370</v>
      </c>
      <c r="F1053" s="493">
        <v>60874.0</v>
      </c>
      <c r="G1053" s="493">
        <v>260.0</v>
      </c>
      <c r="H1053" s="493">
        <v>0.43</v>
      </c>
      <c r="I1053" s="493">
        <v>0.32</v>
      </c>
      <c r="J1053" s="493">
        <v>0.31</v>
      </c>
      <c r="K1053" s="493">
        <v>8155.0</v>
      </c>
      <c r="L1053" s="493">
        <v>2521890.0</v>
      </c>
      <c r="M1053" s="493">
        <v>0.134</v>
      </c>
      <c r="N1053" s="6">
        <v>31.3654</v>
      </c>
    </row>
    <row r="1054">
      <c r="A1054" s="491" t="s">
        <v>2020</v>
      </c>
      <c r="B1054" s="491" t="s">
        <v>1857</v>
      </c>
      <c r="C1054" s="491" t="s">
        <v>1875</v>
      </c>
      <c r="D1054" s="491" t="s">
        <v>2018</v>
      </c>
      <c r="E1054" s="492" t="s">
        <v>372</v>
      </c>
      <c r="F1054" s="493">
        <v>67647.0</v>
      </c>
      <c r="G1054" s="493">
        <v>56185.0</v>
      </c>
      <c r="H1054" s="493">
        <v>83.06</v>
      </c>
      <c r="I1054" s="493">
        <v>49.88</v>
      </c>
      <c r="J1054" s="493">
        <v>57.31</v>
      </c>
      <c r="K1054" s="493">
        <v>1455775.0</v>
      </c>
      <c r="L1054" s="493">
        <v>2918655.0</v>
      </c>
      <c r="M1054" s="493">
        <v>21.5202</v>
      </c>
      <c r="N1054" s="6">
        <v>25.9104</v>
      </c>
    </row>
    <row r="1055">
      <c r="A1055" s="491" t="s">
        <v>2020</v>
      </c>
      <c r="B1055" s="491" t="s">
        <v>1857</v>
      </c>
      <c r="C1055" s="491" t="s">
        <v>1875</v>
      </c>
      <c r="D1055" s="491" t="s">
        <v>2018</v>
      </c>
      <c r="E1055" s="492" t="s">
        <v>367</v>
      </c>
      <c r="F1055" s="493">
        <v>67647.0</v>
      </c>
      <c r="G1055" s="493">
        <v>9065.0</v>
      </c>
      <c r="H1055" s="493">
        <v>13.4</v>
      </c>
      <c r="I1055" s="493">
        <v>19.04</v>
      </c>
      <c r="J1055" s="493">
        <v>7.53</v>
      </c>
      <c r="K1055" s="493">
        <v>555585.0</v>
      </c>
      <c r="L1055" s="493">
        <v>2918655.0</v>
      </c>
      <c r="M1055" s="493">
        <v>8.213</v>
      </c>
      <c r="N1055" s="6">
        <v>61.289</v>
      </c>
    </row>
    <row r="1056">
      <c r="A1056" s="491" t="s">
        <v>2020</v>
      </c>
      <c r="B1056" s="491" t="s">
        <v>1857</v>
      </c>
      <c r="C1056" s="491" t="s">
        <v>1875</v>
      </c>
      <c r="D1056" s="491" t="s">
        <v>2018</v>
      </c>
      <c r="E1056" s="492" t="s">
        <v>369</v>
      </c>
      <c r="F1056" s="493">
        <v>67647.0</v>
      </c>
      <c r="G1056" s="493">
        <v>35107.0</v>
      </c>
      <c r="H1056" s="493">
        <v>51.9</v>
      </c>
      <c r="I1056" s="493">
        <v>16.4</v>
      </c>
      <c r="J1056" s="493">
        <v>19.69</v>
      </c>
      <c r="K1056" s="493">
        <v>478795.0</v>
      </c>
      <c r="L1056" s="493">
        <v>2918655.0</v>
      </c>
      <c r="M1056" s="493">
        <v>7.0778</v>
      </c>
      <c r="N1056" s="6">
        <v>13.6382</v>
      </c>
    </row>
    <row r="1057">
      <c r="A1057" s="491" t="s">
        <v>2020</v>
      </c>
      <c r="B1057" s="491" t="s">
        <v>1857</v>
      </c>
      <c r="C1057" s="491" t="s">
        <v>1875</v>
      </c>
      <c r="D1057" s="491" t="s">
        <v>2018</v>
      </c>
      <c r="E1057" s="492" t="s">
        <v>189</v>
      </c>
      <c r="F1057" s="493">
        <v>67647.0</v>
      </c>
      <c r="G1057" s="493">
        <v>18402.0</v>
      </c>
      <c r="H1057" s="493">
        <v>27.2</v>
      </c>
      <c r="I1057" s="493">
        <v>6.44</v>
      </c>
      <c r="J1057" s="493">
        <v>8.31</v>
      </c>
      <c r="K1057" s="493">
        <v>187970.0</v>
      </c>
      <c r="L1057" s="493">
        <v>2918655.0</v>
      </c>
      <c r="M1057" s="493">
        <v>2.7787</v>
      </c>
      <c r="N1057" s="6">
        <v>10.2147</v>
      </c>
    </row>
    <row r="1058">
      <c r="A1058" s="491" t="s">
        <v>2020</v>
      </c>
      <c r="B1058" s="491" t="s">
        <v>1857</v>
      </c>
      <c r="C1058" s="491" t="s">
        <v>1875</v>
      </c>
      <c r="D1058" s="491" t="s">
        <v>2018</v>
      </c>
      <c r="E1058" s="492" t="s">
        <v>134</v>
      </c>
      <c r="F1058" s="493">
        <v>67647.0</v>
      </c>
      <c r="G1058" s="493">
        <v>5837.0</v>
      </c>
      <c r="H1058" s="493">
        <v>8.63</v>
      </c>
      <c r="I1058" s="493">
        <v>3.2</v>
      </c>
      <c r="J1058" s="493">
        <v>2.95</v>
      </c>
      <c r="K1058" s="493">
        <v>93500.0</v>
      </c>
      <c r="L1058" s="493">
        <v>2918655.0</v>
      </c>
      <c r="M1058" s="493">
        <v>1.3822</v>
      </c>
      <c r="N1058" s="6">
        <v>16.0185</v>
      </c>
    </row>
    <row r="1059">
      <c r="A1059" s="491" t="s">
        <v>2020</v>
      </c>
      <c r="B1059" s="491" t="s">
        <v>1857</v>
      </c>
      <c r="C1059" s="491" t="s">
        <v>1875</v>
      </c>
      <c r="D1059" s="491" t="s">
        <v>2018</v>
      </c>
      <c r="E1059" s="492" t="s">
        <v>35</v>
      </c>
      <c r="F1059" s="493">
        <v>67647.0</v>
      </c>
      <c r="G1059" s="493">
        <v>4495.0</v>
      </c>
      <c r="H1059" s="493">
        <v>6.64</v>
      </c>
      <c r="I1059" s="493">
        <v>2.53</v>
      </c>
      <c r="J1059" s="493">
        <v>2.01</v>
      </c>
      <c r="K1059" s="493">
        <v>73935.0</v>
      </c>
      <c r="L1059" s="493">
        <v>2918655.0</v>
      </c>
      <c r="M1059" s="493">
        <v>1.093</v>
      </c>
      <c r="N1059" s="6">
        <v>16.4483</v>
      </c>
    </row>
    <row r="1060">
      <c r="A1060" s="491" t="s">
        <v>2020</v>
      </c>
      <c r="B1060" s="491" t="s">
        <v>1857</v>
      </c>
      <c r="C1060" s="491" t="s">
        <v>1875</v>
      </c>
      <c r="D1060" s="491" t="s">
        <v>2018</v>
      </c>
      <c r="E1060" s="492" t="s">
        <v>44</v>
      </c>
      <c r="F1060" s="493">
        <v>67647.0</v>
      </c>
      <c r="G1060" s="493">
        <v>5462.0</v>
      </c>
      <c r="H1060" s="493">
        <v>8.07</v>
      </c>
      <c r="I1060" s="493">
        <v>2.21</v>
      </c>
      <c r="J1060" s="493">
        <v>1.9</v>
      </c>
      <c r="K1060" s="493">
        <v>64460.0</v>
      </c>
      <c r="L1060" s="493">
        <v>2918655.0</v>
      </c>
      <c r="M1060" s="493">
        <v>0.9529</v>
      </c>
      <c r="N1060" s="6">
        <v>11.8015</v>
      </c>
    </row>
    <row r="1061">
      <c r="A1061" s="491" t="s">
        <v>2020</v>
      </c>
      <c r="B1061" s="491" t="s">
        <v>1857</v>
      </c>
      <c r="C1061" s="491" t="s">
        <v>1875</v>
      </c>
      <c r="D1061" s="491" t="s">
        <v>2018</v>
      </c>
      <c r="E1061" s="492" t="s">
        <v>370</v>
      </c>
      <c r="F1061" s="493">
        <v>67647.0</v>
      </c>
      <c r="G1061" s="493">
        <v>283.0</v>
      </c>
      <c r="H1061" s="493">
        <v>0.42</v>
      </c>
      <c r="I1061" s="493">
        <v>0.29</v>
      </c>
      <c r="J1061" s="493">
        <v>0.29</v>
      </c>
      <c r="K1061" s="493">
        <v>8550.0</v>
      </c>
      <c r="L1061" s="493">
        <v>2918655.0</v>
      </c>
      <c r="M1061" s="493">
        <v>0.1264</v>
      </c>
      <c r="N1061" s="6">
        <v>30.212</v>
      </c>
    </row>
    <row r="1062">
      <c r="A1062" s="491" t="s">
        <v>2020</v>
      </c>
      <c r="B1062" s="491" t="s">
        <v>1857</v>
      </c>
      <c r="C1062" s="491" t="s">
        <v>1875</v>
      </c>
      <c r="D1062" s="491" t="s">
        <v>2018</v>
      </c>
      <c r="E1062" s="492" t="s">
        <v>373</v>
      </c>
      <c r="F1062" s="493">
        <v>67647.0</v>
      </c>
      <c r="G1062" s="493">
        <v>1.0</v>
      </c>
      <c r="H1062" s="493">
        <v>0.0</v>
      </c>
      <c r="I1062" s="493">
        <v>0.0</v>
      </c>
      <c r="J1062" s="493">
        <v>0.0</v>
      </c>
      <c r="K1062" s="493">
        <v>10.0</v>
      </c>
      <c r="L1062" s="493">
        <v>2918655.0</v>
      </c>
      <c r="M1062" s="493">
        <v>1.0E-4</v>
      </c>
      <c r="N1062" s="6">
        <v>10.0</v>
      </c>
    </row>
    <row r="1063">
      <c r="A1063" s="491" t="s">
        <v>2020</v>
      </c>
      <c r="B1063" s="491" t="s">
        <v>1857</v>
      </c>
      <c r="C1063" s="491" t="s">
        <v>1875</v>
      </c>
      <c r="D1063" s="491" t="s">
        <v>2018</v>
      </c>
      <c r="E1063" s="492" t="s">
        <v>54</v>
      </c>
      <c r="F1063" s="493">
        <v>67647.0</v>
      </c>
      <c r="G1063" s="493">
        <v>1.0</v>
      </c>
      <c r="H1063" s="493">
        <v>0.0</v>
      </c>
      <c r="I1063" s="493">
        <v>0.0</v>
      </c>
      <c r="J1063" s="493">
        <v>0.0</v>
      </c>
      <c r="K1063" s="493">
        <v>15.0</v>
      </c>
      <c r="L1063" s="493">
        <v>2918655.0</v>
      </c>
      <c r="M1063" s="493">
        <v>2.0E-4</v>
      </c>
      <c r="N1063" s="6">
        <v>15.0</v>
      </c>
    </row>
    <row r="1064">
      <c r="A1064" s="491" t="s">
        <v>2020</v>
      </c>
      <c r="B1064" s="491" t="s">
        <v>1857</v>
      </c>
      <c r="C1064" s="491" t="s">
        <v>1875</v>
      </c>
      <c r="D1064" s="491" t="s">
        <v>2018</v>
      </c>
      <c r="E1064" s="492" t="s">
        <v>371</v>
      </c>
      <c r="F1064" s="493">
        <v>67647.0</v>
      </c>
      <c r="G1064" s="493">
        <v>3.0</v>
      </c>
      <c r="H1064" s="493">
        <v>0.0</v>
      </c>
      <c r="I1064" s="493">
        <v>0.0</v>
      </c>
      <c r="J1064" s="493">
        <v>0.0</v>
      </c>
      <c r="K1064" s="493">
        <v>45.0</v>
      </c>
      <c r="L1064" s="493">
        <v>2918655.0</v>
      </c>
      <c r="M1064" s="493">
        <v>7.0E-4</v>
      </c>
      <c r="N1064" s="6">
        <v>15.0</v>
      </c>
    </row>
    <row r="1065">
      <c r="A1065" s="491" t="s">
        <v>2020</v>
      </c>
      <c r="B1065" s="491" t="s">
        <v>1857</v>
      </c>
      <c r="C1065" s="491" t="s">
        <v>1875</v>
      </c>
      <c r="D1065" s="491" t="s">
        <v>2018</v>
      </c>
      <c r="E1065" s="492" t="s">
        <v>46</v>
      </c>
      <c r="F1065" s="493">
        <v>67647.0</v>
      </c>
      <c r="G1065" s="493">
        <v>1.0</v>
      </c>
      <c r="H1065" s="493">
        <v>0.0</v>
      </c>
      <c r="I1065" s="493">
        <v>0.0</v>
      </c>
      <c r="J1065" s="493">
        <v>0.0</v>
      </c>
      <c r="K1065" s="493">
        <v>15.0</v>
      </c>
      <c r="L1065" s="493">
        <v>2918655.0</v>
      </c>
      <c r="M1065" s="493">
        <v>2.0E-4</v>
      </c>
      <c r="N1065" s="6">
        <v>15.0</v>
      </c>
    </row>
    <row r="1066">
      <c r="A1066" s="491" t="s">
        <v>2020</v>
      </c>
      <c r="B1066" s="491" t="s">
        <v>1857</v>
      </c>
      <c r="C1066" s="491" t="s">
        <v>75</v>
      </c>
      <c r="D1066" s="491" t="s">
        <v>2018</v>
      </c>
      <c r="E1066" s="492" t="s">
        <v>371</v>
      </c>
      <c r="F1066" s="493">
        <v>87418.0</v>
      </c>
      <c r="G1066" s="493">
        <v>80954.0</v>
      </c>
      <c r="H1066" s="493">
        <v>92.61</v>
      </c>
      <c r="I1066" s="493">
        <v>22.24</v>
      </c>
      <c r="J1066" s="493">
        <v>22.82</v>
      </c>
      <c r="K1066" s="493">
        <v>1.401734E7</v>
      </c>
      <c r="L1066" s="493">
        <v>6.3034588E7</v>
      </c>
      <c r="M1066" s="493">
        <v>160.3484</v>
      </c>
      <c r="N1066" s="6">
        <v>173.1519</v>
      </c>
    </row>
    <row r="1067">
      <c r="A1067" s="491" t="s">
        <v>2020</v>
      </c>
      <c r="B1067" s="491" t="s">
        <v>1857</v>
      </c>
      <c r="C1067" s="491" t="s">
        <v>75</v>
      </c>
      <c r="D1067" s="491" t="s">
        <v>2018</v>
      </c>
      <c r="E1067" s="492" t="s">
        <v>49</v>
      </c>
      <c r="F1067" s="493">
        <v>87418.0</v>
      </c>
      <c r="G1067" s="493">
        <v>58317.0</v>
      </c>
      <c r="H1067" s="493">
        <v>66.71</v>
      </c>
      <c r="I1067" s="493">
        <v>18.74</v>
      </c>
      <c r="J1067" s="493">
        <v>18.41</v>
      </c>
      <c r="K1067" s="493">
        <v>1.18113E7</v>
      </c>
      <c r="L1067" s="493">
        <v>6.3034588E7</v>
      </c>
      <c r="M1067" s="493">
        <v>135.1129</v>
      </c>
      <c r="N1067" s="6">
        <v>202.5361</v>
      </c>
    </row>
    <row r="1068">
      <c r="A1068" s="491" t="s">
        <v>2020</v>
      </c>
      <c r="B1068" s="491" t="s">
        <v>1857</v>
      </c>
      <c r="C1068" s="491" t="s">
        <v>75</v>
      </c>
      <c r="D1068" s="491" t="s">
        <v>2018</v>
      </c>
      <c r="E1068" s="492" t="s">
        <v>372</v>
      </c>
      <c r="F1068" s="493">
        <v>87418.0</v>
      </c>
      <c r="G1068" s="493">
        <v>60435.0</v>
      </c>
      <c r="H1068" s="493">
        <v>69.13</v>
      </c>
      <c r="I1068" s="493">
        <v>16.43</v>
      </c>
      <c r="J1068" s="493">
        <v>16.47</v>
      </c>
      <c r="K1068" s="493">
        <v>1.0359275E7</v>
      </c>
      <c r="L1068" s="493">
        <v>6.3034588E7</v>
      </c>
      <c r="M1068" s="493">
        <v>118.5028</v>
      </c>
      <c r="N1068" s="6">
        <v>171.4118</v>
      </c>
    </row>
    <row r="1069">
      <c r="A1069" s="491" t="s">
        <v>2020</v>
      </c>
      <c r="B1069" s="491" t="s">
        <v>1857</v>
      </c>
      <c r="C1069" s="491" t="s">
        <v>75</v>
      </c>
      <c r="D1069" s="491" t="s">
        <v>2018</v>
      </c>
      <c r="E1069" s="492" t="s">
        <v>367</v>
      </c>
      <c r="F1069" s="493">
        <v>87418.0</v>
      </c>
      <c r="G1069" s="493">
        <v>67059.0</v>
      </c>
      <c r="H1069" s="493">
        <v>76.71</v>
      </c>
      <c r="I1069" s="493">
        <v>13.82</v>
      </c>
      <c r="J1069" s="493">
        <v>12.77</v>
      </c>
      <c r="K1069" s="493">
        <v>8711875.0</v>
      </c>
      <c r="L1069" s="493">
        <v>6.3034588E7</v>
      </c>
      <c r="M1069" s="493">
        <v>99.6577</v>
      </c>
      <c r="N1069" s="6">
        <v>129.9136</v>
      </c>
    </row>
    <row r="1070">
      <c r="A1070" s="491" t="s">
        <v>2020</v>
      </c>
      <c r="B1070" s="491" t="s">
        <v>1857</v>
      </c>
      <c r="C1070" s="491" t="s">
        <v>75</v>
      </c>
      <c r="D1070" s="491" t="s">
        <v>2018</v>
      </c>
      <c r="E1070" s="492" t="s">
        <v>44</v>
      </c>
      <c r="F1070" s="493">
        <v>87418.0</v>
      </c>
      <c r="G1070" s="493">
        <v>52514.0</v>
      </c>
      <c r="H1070" s="493">
        <v>60.07</v>
      </c>
      <c r="I1070" s="493">
        <v>9.73</v>
      </c>
      <c r="J1070" s="493">
        <v>10.78</v>
      </c>
      <c r="K1070" s="493">
        <v>6130530.0</v>
      </c>
      <c r="L1070" s="493">
        <v>6.3034588E7</v>
      </c>
      <c r="M1070" s="493">
        <v>70.1289</v>
      </c>
      <c r="N1070" s="6">
        <v>116.7409</v>
      </c>
    </row>
    <row r="1071">
      <c r="A1071" s="491" t="s">
        <v>2020</v>
      </c>
      <c r="B1071" s="491" t="s">
        <v>1857</v>
      </c>
      <c r="C1071" s="491" t="s">
        <v>75</v>
      </c>
      <c r="D1071" s="491" t="s">
        <v>2018</v>
      </c>
      <c r="E1071" s="492" t="s">
        <v>368</v>
      </c>
      <c r="F1071" s="493">
        <v>87418.0</v>
      </c>
      <c r="G1071" s="493">
        <v>38520.0</v>
      </c>
      <c r="H1071" s="493">
        <v>44.06</v>
      </c>
      <c r="I1071" s="493">
        <v>4.99</v>
      </c>
      <c r="J1071" s="493">
        <v>5.43</v>
      </c>
      <c r="K1071" s="493">
        <v>3145200.0</v>
      </c>
      <c r="L1071" s="493">
        <v>6.3034588E7</v>
      </c>
      <c r="M1071" s="493">
        <v>35.9789</v>
      </c>
      <c r="N1071" s="6">
        <v>81.6511</v>
      </c>
    </row>
    <row r="1072">
      <c r="A1072" s="491" t="s">
        <v>2020</v>
      </c>
      <c r="B1072" s="491" t="s">
        <v>1857</v>
      </c>
      <c r="C1072" s="491" t="s">
        <v>75</v>
      </c>
      <c r="D1072" s="491" t="s">
        <v>2018</v>
      </c>
      <c r="E1072" s="492" t="s">
        <v>366</v>
      </c>
      <c r="F1072" s="493">
        <v>87418.0</v>
      </c>
      <c r="G1072" s="493">
        <v>33397.0</v>
      </c>
      <c r="H1072" s="493">
        <v>38.2</v>
      </c>
      <c r="I1072" s="493">
        <v>3.13</v>
      </c>
      <c r="J1072" s="493">
        <v>3.27</v>
      </c>
      <c r="K1072" s="493">
        <v>1974600.0</v>
      </c>
      <c r="L1072" s="493">
        <v>6.3034588E7</v>
      </c>
      <c r="M1072" s="493">
        <v>22.588</v>
      </c>
      <c r="N1072" s="6">
        <v>59.1251</v>
      </c>
    </row>
    <row r="1073">
      <c r="A1073" s="491" t="s">
        <v>2020</v>
      </c>
      <c r="B1073" s="491" t="s">
        <v>1857</v>
      </c>
      <c r="C1073" s="491" t="s">
        <v>75</v>
      </c>
      <c r="D1073" s="491" t="s">
        <v>2018</v>
      </c>
      <c r="E1073" s="492" t="s">
        <v>370</v>
      </c>
      <c r="F1073" s="493">
        <v>87418.0</v>
      </c>
      <c r="G1073" s="493">
        <v>15481.0</v>
      </c>
      <c r="H1073" s="493">
        <v>17.71</v>
      </c>
      <c r="I1073" s="493">
        <v>2.51</v>
      </c>
      <c r="J1073" s="493">
        <v>1.65</v>
      </c>
      <c r="K1073" s="493">
        <v>1583853.0</v>
      </c>
      <c r="L1073" s="493">
        <v>6.3034588E7</v>
      </c>
      <c r="M1073" s="493">
        <v>18.1182</v>
      </c>
      <c r="N1073" s="6">
        <v>102.3095</v>
      </c>
    </row>
    <row r="1074">
      <c r="A1074" s="491" t="s">
        <v>2020</v>
      </c>
      <c r="B1074" s="491" t="s">
        <v>1857</v>
      </c>
      <c r="C1074" s="491" t="s">
        <v>75</v>
      </c>
      <c r="D1074" s="491" t="s">
        <v>2018</v>
      </c>
      <c r="E1074" s="492" t="s">
        <v>32</v>
      </c>
      <c r="F1074" s="493">
        <v>87418.0</v>
      </c>
      <c r="G1074" s="493">
        <v>30018.0</v>
      </c>
      <c r="H1074" s="493">
        <v>34.34</v>
      </c>
      <c r="I1074" s="493">
        <v>2.22</v>
      </c>
      <c r="J1074" s="493">
        <v>2.39</v>
      </c>
      <c r="K1074" s="493">
        <v>1399230.0</v>
      </c>
      <c r="L1074" s="493">
        <v>6.3034588E7</v>
      </c>
      <c r="M1074" s="493">
        <v>16.0062</v>
      </c>
      <c r="N1074" s="6">
        <v>46.613</v>
      </c>
    </row>
    <row r="1075">
      <c r="A1075" s="491" t="s">
        <v>2020</v>
      </c>
      <c r="B1075" s="491" t="s">
        <v>1857</v>
      </c>
      <c r="C1075" s="491" t="s">
        <v>75</v>
      </c>
      <c r="D1075" s="491" t="s">
        <v>2018</v>
      </c>
      <c r="E1075" s="492" t="s">
        <v>369</v>
      </c>
      <c r="F1075" s="493">
        <v>87418.0</v>
      </c>
      <c r="G1075" s="493">
        <v>22863.0</v>
      </c>
      <c r="H1075" s="493">
        <v>26.15</v>
      </c>
      <c r="I1075" s="493">
        <v>1.72</v>
      </c>
      <c r="J1075" s="493">
        <v>1.44</v>
      </c>
      <c r="K1075" s="493">
        <v>1083150.0</v>
      </c>
      <c r="L1075" s="493">
        <v>6.3034588E7</v>
      </c>
      <c r="M1075" s="493">
        <v>12.3905</v>
      </c>
      <c r="N1075" s="6">
        <v>47.3757</v>
      </c>
    </row>
    <row r="1076">
      <c r="A1076" s="491" t="s">
        <v>2020</v>
      </c>
      <c r="B1076" s="491" t="s">
        <v>1857</v>
      </c>
      <c r="C1076" s="491" t="s">
        <v>75</v>
      </c>
      <c r="D1076" s="491" t="s">
        <v>2018</v>
      </c>
      <c r="E1076" s="492" t="s">
        <v>43</v>
      </c>
      <c r="F1076" s="493">
        <v>87418.0</v>
      </c>
      <c r="G1076" s="493">
        <v>24983.0</v>
      </c>
      <c r="H1076" s="493">
        <v>28.58</v>
      </c>
      <c r="I1076" s="493">
        <v>1.44</v>
      </c>
      <c r="J1076" s="493">
        <v>1.85</v>
      </c>
      <c r="K1076" s="493">
        <v>906505.0</v>
      </c>
      <c r="L1076" s="493">
        <v>6.3034588E7</v>
      </c>
      <c r="M1076" s="493">
        <v>10.3698</v>
      </c>
      <c r="N1076" s="6">
        <v>36.2849</v>
      </c>
    </row>
    <row r="1077">
      <c r="A1077" s="491" t="s">
        <v>2020</v>
      </c>
      <c r="B1077" s="491" t="s">
        <v>1857</v>
      </c>
      <c r="C1077" s="491" t="s">
        <v>75</v>
      </c>
      <c r="D1077" s="491" t="s">
        <v>2018</v>
      </c>
      <c r="E1077" s="492" t="s">
        <v>365</v>
      </c>
      <c r="F1077" s="493">
        <v>87418.0</v>
      </c>
      <c r="G1077" s="493">
        <v>22807.0</v>
      </c>
      <c r="H1077" s="493">
        <v>26.09</v>
      </c>
      <c r="I1077" s="493">
        <v>1.33</v>
      </c>
      <c r="J1077" s="493">
        <v>1.05</v>
      </c>
      <c r="K1077" s="493">
        <v>839910.0</v>
      </c>
      <c r="L1077" s="493">
        <v>6.3034588E7</v>
      </c>
      <c r="M1077" s="493">
        <v>9.608</v>
      </c>
      <c r="N1077" s="6">
        <v>36.8269</v>
      </c>
    </row>
    <row r="1078">
      <c r="A1078" s="491" t="s">
        <v>2020</v>
      </c>
      <c r="B1078" s="491" t="s">
        <v>1857</v>
      </c>
      <c r="C1078" s="491" t="s">
        <v>75</v>
      </c>
      <c r="D1078" s="491" t="s">
        <v>2018</v>
      </c>
      <c r="E1078" s="492" t="s">
        <v>35</v>
      </c>
      <c r="F1078" s="493">
        <v>87418.0</v>
      </c>
      <c r="G1078" s="493">
        <v>13864.0</v>
      </c>
      <c r="H1078" s="493">
        <v>15.86</v>
      </c>
      <c r="I1078" s="493">
        <v>0.95</v>
      </c>
      <c r="J1078" s="493">
        <v>0.91</v>
      </c>
      <c r="K1078" s="493">
        <v>601770.0</v>
      </c>
      <c r="L1078" s="493">
        <v>6.3034588E7</v>
      </c>
      <c r="M1078" s="493">
        <v>6.8838</v>
      </c>
      <c r="N1078" s="6">
        <v>43.4052</v>
      </c>
    </row>
    <row r="1079">
      <c r="A1079" s="491" t="s">
        <v>2020</v>
      </c>
      <c r="B1079" s="491" t="s">
        <v>1857</v>
      </c>
      <c r="C1079" s="491" t="s">
        <v>75</v>
      </c>
      <c r="D1079" s="491" t="s">
        <v>2018</v>
      </c>
      <c r="E1079" s="492" t="s">
        <v>189</v>
      </c>
      <c r="F1079" s="493">
        <v>87418.0</v>
      </c>
      <c r="G1079" s="493">
        <v>11464.0</v>
      </c>
      <c r="H1079" s="493">
        <v>13.11</v>
      </c>
      <c r="I1079" s="493">
        <v>0.61</v>
      </c>
      <c r="J1079" s="493">
        <v>0.53</v>
      </c>
      <c r="K1079" s="493">
        <v>382770.0</v>
      </c>
      <c r="L1079" s="493">
        <v>6.3034588E7</v>
      </c>
      <c r="M1079" s="493">
        <v>4.3786</v>
      </c>
      <c r="N1079" s="6">
        <v>33.3889</v>
      </c>
    </row>
    <row r="1080">
      <c r="A1080" s="491" t="s">
        <v>2020</v>
      </c>
      <c r="B1080" s="491" t="s">
        <v>1857</v>
      </c>
      <c r="C1080" s="491" t="s">
        <v>75</v>
      </c>
      <c r="D1080" s="491" t="s">
        <v>2018</v>
      </c>
      <c r="E1080" s="492" t="s">
        <v>50</v>
      </c>
      <c r="F1080" s="493">
        <v>87418.0</v>
      </c>
      <c r="G1080" s="493">
        <v>998.0</v>
      </c>
      <c r="H1080" s="493">
        <v>1.14</v>
      </c>
      <c r="I1080" s="493">
        <v>0.08</v>
      </c>
      <c r="J1080" s="493">
        <v>0.14</v>
      </c>
      <c r="K1080" s="493">
        <v>51250.0</v>
      </c>
      <c r="L1080" s="493">
        <v>6.3034588E7</v>
      </c>
      <c r="M1080" s="493">
        <v>0.5863</v>
      </c>
      <c r="N1080" s="6">
        <v>51.3527</v>
      </c>
    </row>
    <row r="1081">
      <c r="A1081" s="491" t="s">
        <v>2020</v>
      </c>
      <c r="B1081" s="491" t="s">
        <v>1857</v>
      </c>
      <c r="C1081" s="491" t="s">
        <v>75</v>
      </c>
      <c r="D1081" s="491" t="s">
        <v>2018</v>
      </c>
      <c r="E1081" s="492" t="s">
        <v>134</v>
      </c>
      <c r="F1081" s="493">
        <v>87418.0</v>
      </c>
      <c r="G1081" s="493">
        <v>1712.0</v>
      </c>
      <c r="H1081" s="493">
        <v>1.96</v>
      </c>
      <c r="I1081" s="493">
        <v>0.06</v>
      </c>
      <c r="J1081" s="493">
        <v>0.09</v>
      </c>
      <c r="K1081" s="493">
        <v>36010.0</v>
      </c>
      <c r="L1081" s="493">
        <v>6.3034588E7</v>
      </c>
      <c r="M1081" s="493">
        <v>0.4119</v>
      </c>
      <c r="N1081" s="6">
        <v>21.0339</v>
      </c>
    </row>
    <row r="1082">
      <c r="A1082" s="491" t="s">
        <v>2020</v>
      </c>
      <c r="B1082" s="491" t="s">
        <v>1857</v>
      </c>
      <c r="C1082" s="491" t="s">
        <v>75</v>
      </c>
      <c r="D1082" s="491" t="s">
        <v>2018</v>
      </c>
      <c r="E1082" s="492" t="s">
        <v>42</v>
      </c>
      <c r="F1082" s="493">
        <v>87418.0</v>
      </c>
      <c r="G1082" s="493">
        <v>1.0</v>
      </c>
      <c r="H1082" s="493">
        <v>0.0</v>
      </c>
      <c r="I1082" s="493">
        <v>0.0</v>
      </c>
      <c r="J1082" s="493">
        <v>0.0</v>
      </c>
      <c r="K1082" s="493">
        <v>20.0</v>
      </c>
      <c r="L1082" s="493">
        <v>6.3034588E7</v>
      </c>
      <c r="M1082" s="493">
        <v>2.0E-4</v>
      </c>
      <c r="N1082" s="6">
        <v>20.0</v>
      </c>
    </row>
    <row r="1083">
      <c r="A1083" s="491" t="s">
        <v>2021</v>
      </c>
      <c r="B1083" s="491" t="s">
        <v>163</v>
      </c>
      <c r="C1083" s="491" t="s">
        <v>71</v>
      </c>
      <c r="D1083" s="491" t="s">
        <v>565</v>
      </c>
      <c r="E1083" s="492" t="s">
        <v>371</v>
      </c>
      <c r="F1083" s="493">
        <v>90094.0</v>
      </c>
      <c r="G1083" s="493">
        <v>72307.0</v>
      </c>
      <c r="H1083" s="493">
        <v>80.26</v>
      </c>
      <c r="I1083" s="493">
        <v>41.01</v>
      </c>
      <c r="J1083" s="493">
        <v>38.02</v>
      </c>
      <c r="K1083" s="493">
        <v>271186.0</v>
      </c>
      <c r="L1083" s="493">
        <v>661229.0</v>
      </c>
      <c r="M1083" s="493">
        <v>3.01</v>
      </c>
      <c r="N1083" s="6">
        <v>3.7505</v>
      </c>
    </row>
    <row r="1084">
      <c r="A1084" s="491" t="s">
        <v>2021</v>
      </c>
      <c r="B1084" s="491" t="s">
        <v>163</v>
      </c>
      <c r="C1084" s="491" t="s">
        <v>71</v>
      </c>
      <c r="D1084" s="491" t="s">
        <v>565</v>
      </c>
      <c r="E1084" s="492" t="s">
        <v>370</v>
      </c>
      <c r="F1084" s="493">
        <v>90094.0</v>
      </c>
      <c r="G1084" s="493">
        <v>59809.0</v>
      </c>
      <c r="H1084" s="493">
        <v>66.39</v>
      </c>
      <c r="I1084" s="493">
        <v>15.43</v>
      </c>
      <c r="J1084" s="493">
        <v>22.08</v>
      </c>
      <c r="K1084" s="493">
        <v>102060.0</v>
      </c>
      <c r="L1084" s="493">
        <v>661229.0</v>
      </c>
      <c r="M1084" s="493">
        <v>1.1328</v>
      </c>
      <c r="N1084" s="6">
        <v>1.7064</v>
      </c>
    </row>
    <row r="1085">
      <c r="A1085" s="491" t="s">
        <v>2021</v>
      </c>
      <c r="B1085" s="491" t="s">
        <v>163</v>
      </c>
      <c r="C1085" s="491" t="s">
        <v>71</v>
      </c>
      <c r="D1085" s="491" t="s">
        <v>565</v>
      </c>
      <c r="E1085" s="492" t="s">
        <v>49</v>
      </c>
      <c r="F1085" s="493">
        <v>90094.0</v>
      </c>
      <c r="G1085" s="493">
        <v>34805.0</v>
      </c>
      <c r="H1085" s="493">
        <v>38.63</v>
      </c>
      <c r="I1085" s="493">
        <v>10.29</v>
      </c>
      <c r="J1085" s="493">
        <v>9.04</v>
      </c>
      <c r="K1085" s="493">
        <v>68053.0</v>
      </c>
      <c r="L1085" s="493">
        <v>661229.0</v>
      </c>
      <c r="M1085" s="493">
        <v>0.7554</v>
      </c>
      <c r="N1085" s="6">
        <v>1.9553</v>
      </c>
    </row>
    <row r="1086">
      <c r="A1086" s="491" t="s">
        <v>2021</v>
      </c>
      <c r="B1086" s="491" t="s">
        <v>163</v>
      </c>
      <c r="C1086" s="491" t="s">
        <v>71</v>
      </c>
      <c r="D1086" s="491" t="s">
        <v>565</v>
      </c>
      <c r="E1086" s="492" t="s">
        <v>372</v>
      </c>
      <c r="F1086" s="493">
        <v>90094.0</v>
      </c>
      <c r="G1086" s="493">
        <v>34926.0</v>
      </c>
      <c r="H1086" s="493">
        <v>38.77</v>
      </c>
      <c r="I1086" s="493">
        <v>9.22</v>
      </c>
      <c r="J1086" s="493">
        <v>7.83</v>
      </c>
      <c r="K1086" s="493">
        <v>60990.0</v>
      </c>
      <c r="L1086" s="493">
        <v>661229.0</v>
      </c>
      <c r="M1086" s="493">
        <v>0.677</v>
      </c>
      <c r="N1086" s="6">
        <v>1.7463</v>
      </c>
    </row>
    <row r="1087">
      <c r="A1087" s="491" t="s">
        <v>2021</v>
      </c>
      <c r="B1087" s="491" t="s">
        <v>163</v>
      </c>
      <c r="C1087" s="491" t="s">
        <v>71</v>
      </c>
      <c r="D1087" s="491" t="s">
        <v>565</v>
      </c>
      <c r="E1087" s="492" t="s">
        <v>44</v>
      </c>
      <c r="F1087" s="493">
        <v>90094.0</v>
      </c>
      <c r="G1087" s="493">
        <v>35982.0</v>
      </c>
      <c r="H1087" s="493">
        <v>39.94</v>
      </c>
      <c r="I1087" s="493">
        <v>8.84</v>
      </c>
      <c r="J1087" s="493">
        <v>7.27</v>
      </c>
      <c r="K1087" s="493">
        <v>58434.0</v>
      </c>
      <c r="L1087" s="493">
        <v>661229.0</v>
      </c>
      <c r="M1087" s="493">
        <v>0.6486</v>
      </c>
      <c r="N1087" s="6">
        <v>1.624</v>
      </c>
    </row>
    <row r="1088">
      <c r="A1088" s="491" t="s">
        <v>2021</v>
      </c>
      <c r="B1088" s="491" t="s">
        <v>163</v>
      </c>
      <c r="C1088" s="491" t="s">
        <v>71</v>
      </c>
      <c r="D1088" s="491" t="s">
        <v>565</v>
      </c>
      <c r="E1088" s="492" t="s">
        <v>42</v>
      </c>
      <c r="F1088" s="493">
        <v>90094.0</v>
      </c>
      <c r="G1088" s="493">
        <v>21085.0</v>
      </c>
      <c r="H1088" s="493">
        <v>23.4</v>
      </c>
      <c r="I1088" s="493">
        <v>5.06</v>
      </c>
      <c r="J1088" s="493">
        <v>5.29</v>
      </c>
      <c r="K1088" s="493">
        <v>33471.0</v>
      </c>
      <c r="L1088" s="493">
        <v>661229.0</v>
      </c>
      <c r="M1088" s="493">
        <v>0.3715</v>
      </c>
      <c r="N1088" s="6">
        <v>1.5874</v>
      </c>
    </row>
    <row r="1089">
      <c r="A1089" s="491" t="s">
        <v>2021</v>
      </c>
      <c r="B1089" s="491" t="s">
        <v>163</v>
      </c>
      <c r="C1089" s="491" t="s">
        <v>71</v>
      </c>
      <c r="D1089" s="491" t="s">
        <v>565</v>
      </c>
      <c r="E1089" s="492" t="s">
        <v>366</v>
      </c>
      <c r="F1089" s="493">
        <v>90094.0</v>
      </c>
      <c r="G1089" s="493">
        <v>26542.0</v>
      </c>
      <c r="H1089" s="493">
        <v>29.46</v>
      </c>
      <c r="I1089" s="493">
        <v>4.49</v>
      </c>
      <c r="J1089" s="493">
        <v>5.74</v>
      </c>
      <c r="K1089" s="493">
        <v>29665.0</v>
      </c>
      <c r="L1089" s="493">
        <v>661229.0</v>
      </c>
      <c r="M1089" s="493">
        <v>0.3293</v>
      </c>
      <c r="N1089" s="6">
        <v>1.1177</v>
      </c>
    </row>
    <row r="1090">
      <c r="A1090" s="491" t="s">
        <v>2021</v>
      </c>
      <c r="B1090" s="491" t="s">
        <v>163</v>
      </c>
      <c r="C1090" s="491" t="s">
        <v>71</v>
      </c>
      <c r="D1090" s="491" t="s">
        <v>565</v>
      </c>
      <c r="E1090" s="492" t="s">
        <v>50</v>
      </c>
      <c r="F1090" s="493">
        <v>90094.0</v>
      </c>
      <c r="G1090" s="493">
        <v>15819.0</v>
      </c>
      <c r="H1090" s="493">
        <v>17.56</v>
      </c>
      <c r="I1090" s="493">
        <v>3.25</v>
      </c>
      <c r="J1090" s="493">
        <v>2.59</v>
      </c>
      <c r="K1090" s="493">
        <v>21497.0</v>
      </c>
      <c r="L1090" s="493">
        <v>661229.0</v>
      </c>
      <c r="M1090" s="493">
        <v>0.2386</v>
      </c>
      <c r="N1090" s="6">
        <v>1.3589</v>
      </c>
    </row>
    <row r="1091">
      <c r="A1091" s="491" t="s">
        <v>2021</v>
      </c>
      <c r="B1091" s="491" t="s">
        <v>163</v>
      </c>
      <c r="C1091" s="491" t="s">
        <v>71</v>
      </c>
      <c r="D1091" s="491" t="s">
        <v>565</v>
      </c>
      <c r="E1091" s="492" t="s">
        <v>134</v>
      </c>
      <c r="F1091" s="493">
        <v>90094.0</v>
      </c>
      <c r="G1091" s="493">
        <v>8898.0</v>
      </c>
      <c r="H1091" s="493">
        <v>9.88</v>
      </c>
      <c r="I1091" s="493">
        <v>1.93</v>
      </c>
      <c r="J1091" s="493">
        <v>1.68</v>
      </c>
      <c r="K1091" s="493">
        <v>12746.0</v>
      </c>
      <c r="L1091" s="493">
        <v>661229.0</v>
      </c>
      <c r="M1091" s="493">
        <v>0.1415</v>
      </c>
      <c r="N1091" s="6">
        <v>1.4325</v>
      </c>
    </row>
    <row r="1092">
      <c r="A1092" s="491" t="s">
        <v>2021</v>
      </c>
      <c r="B1092" s="491" t="s">
        <v>163</v>
      </c>
      <c r="C1092" s="491" t="s">
        <v>71</v>
      </c>
      <c r="D1092" s="491" t="s">
        <v>565</v>
      </c>
      <c r="E1092" s="492" t="s">
        <v>43</v>
      </c>
      <c r="F1092" s="493">
        <v>90094.0</v>
      </c>
      <c r="G1092" s="493">
        <v>2388.0</v>
      </c>
      <c r="H1092" s="493">
        <v>2.65</v>
      </c>
      <c r="I1092" s="493">
        <v>0.38</v>
      </c>
      <c r="J1092" s="493">
        <v>0.39</v>
      </c>
      <c r="K1092" s="493">
        <v>2498.0</v>
      </c>
      <c r="L1092" s="493">
        <v>661229.0</v>
      </c>
      <c r="M1092" s="493">
        <v>0.0277</v>
      </c>
      <c r="N1092" s="6">
        <v>1.0461</v>
      </c>
    </row>
    <row r="1093">
      <c r="A1093" s="491" t="s">
        <v>2021</v>
      </c>
      <c r="B1093" s="491" t="s">
        <v>163</v>
      </c>
      <c r="C1093" s="491" t="s">
        <v>71</v>
      </c>
      <c r="D1093" s="491" t="s">
        <v>565</v>
      </c>
      <c r="E1093" s="492" t="s">
        <v>369</v>
      </c>
      <c r="F1093" s="493">
        <v>90094.0</v>
      </c>
      <c r="G1093" s="493">
        <v>326.0</v>
      </c>
      <c r="H1093" s="493">
        <v>0.36</v>
      </c>
      <c r="I1093" s="493">
        <v>0.05</v>
      </c>
      <c r="J1093" s="493">
        <v>0.04</v>
      </c>
      <c r="K1093" s="493">
        <v>339.0</v>
      </c>
      <c r="L1093" s="493">
        <v>661229.0</v>
      </c>
      <c r="M1093" s="493">
        <v>0.0038</v>
      </c>
      <c r="N1093" s="6">
        <v>1.0399</v>
      </c>
    </row>
    <row r="1094">
      <c r="A1094" s="491" t="s">
        <v>2021</v>
      </c>
      <c r="B1094" s="491" t="s">
        <v>163</v>
      </c>
      <c r="C1094" s="491" t="s">
        <v>71</v>
      </c>
      <c r="D1094" s="491" t="s">
        <v>565</v>
      </c>
      <c r="E1094" s="492" t="s">
        <v>35</v>
      </c>
      <c r="F1094" s="493">
        <v>90094.0</v>
      </c>
      <c r="G1094" s="493">
        <v>207.0</v>
      </c>
      <c r="H1094" s="493">
        <v>0.23</v>
      </c>
      <c r="I1094" s="493">
        <v>0.03</v>
      </c>
      <c r="J1094" s="493">
        <v>0.02</v>
      </c>
      <c r="K1094" s="493">
        <v>222.0</v>
      </c>
      <c r="L1094" s="493">
        <v>661229.0</v>
      </c>
      <c r="M1094" s="493">
        <v>0.0025</v>
      </c>
      <c r="N1094" s="6">
        <v>1.0725</v>
      </c>
    </row>
    <row r="1095">
      <c r="A1095" s="491" t="s">
        <v>2021</v>
      </c>
      <c r="B1095" s="491" t="s">
        <v>163</v>
      </c>
      <c r="C1095" s="491" t="s">
        <v>71</v>
      </c>
      <c r="D1095" s="491" t="s">
        <v>565</v>
      </c>
      <c r="E1095" s="492" t="s">
        <v>189</v>
      </c>
      <c r="F1095" s="493">
        <v>90094.0</v>
      </c>
      <c r="G1095" s="493">
        <v>28.0</v>
      </c>
      <c r="H1095" s="493">
        <v>0.03</v>
      </c>
      <c r="I1095" s="493">
        <v>0.0</v>
      </c>
      <c r="J1095" s="493">
        <v>0.0</v>
      </c>
      <c r="K1095" s="493">
        <v>28.0</v>
      </c>
      <c r="L1095" s="493">
        <v>661229.0</v>
      </c>
      <c r="M1095" s="493">
        <v>3.0E-4</v>
      </c>
      <c r="N1095" s="6">
        <v>1.0</v>
      </c>
    </row>
    <row r="1096">
      <c r="A1096" s="491" t="s">
        <v>2021</v>
      </c>
      <c r="B1096" s="491" t="s">
        <v>163</v>
      </c>
      <c r="C1096" s="491" t="s">
        <v>71</v>
      </c>
      <c r="D1096" s="491" t="s">
        <v>565</v>
      </c>
      <c r="E1096" s="492" t="s">
        <v>368</v>
      </c>
      <c r="F1096" s="493">
        <v>90094.0</v>
      </c>
      <c r="G1096" s="493">
        <v>3.0</v>
      </c>
      <c r="H1096" s="493">
        <v>0.0</v>
      </c>
      <c r="I1096" s="493">
        <v>0.0</v>
      </c>
      <c r="J1096" s="493">
        <v>0.0</v>
      </c>
      <c r="K1096" s="493">
        <v>7.0</v>
      </c>
      <c r="L1096" s="493">
        <v>661229.0</v>
      </c>
      <c r="M1096" s="493">
        <v>1.0E-4</v>
      </c>
      <c r="N1096" s="6">
        <v>2.3333</v>
      </c>
    </row>
    <row r="1097">
      <c r="A1097" s="491" t="s">
        <v>2021</v>
      </c>
      <c r="B1097" s="491" t="s">
        <v>163</v>
      </c>
      <c r="C1097" s="491" t="s">
        <v>71</v>
      </c>
      <c r="D1097" s="491" t="s">
        <v>565</v>
      </c>
      <c r="E1097" s="492" t="s">
        <v>373</v>
      </c>
      <c r="F1097" s="493">
        <v>90094.0</v>
      </c>
      <c r="G1097" s="493">
        <v>5.0</v>
      </c>
      <c r="H1097" s="493">
        <v>0.01</v>
      </c>
      <c r="I1097" s="493">
        <v>0.0</v>
      </c>
      <c r="J1097" s="493">
        <v>0.0</v>
      </c>
      <c r="K1097" s="493">
        <v>16.0</v>
      </c>
      <c r="L1097" s="493">
        <v>661229.0</v>
      </c>
      <c r="M1097" s="493">
        <v>2.0E-4</v>
      </c>
      <c r="N1097" s="6">
        <v>3.2</v>
      </c>
    </row>
    <row r="1098">
      <c r="A1098" s="491" t="s">
        <v>2021</v>
      </c>
      <c r="B1098" s="491" t="s">
        <v>163</v>
      </c>
      <c r="C1098" s="491" t="s">
        <v>71</v>
      </c>
      <c r="D1098" s="491" t="s">
        <v>565</v>
      </c>
      <c r="E1098" s="492" t="s">
        <v>32</v>
      </c>
      <c r="F1098" s="493">
        <v>90094.0</v>
      </c>
      <c r="G1098" s="493">
        <v>13.0</v>
      </c>
      <c r="H1098" s="493">
        <v>0.01</v>
      </c>
      <c r="I1098" s="493">
        <v>0.0</v>
      </c>
      <c r="J1098" s="493">
        <v>0.01</v>
      </c>
      <c r="K1098" s="493">
        <v>17.0</v>
      </c>
      <c r="L1098" s="493">
        <v>661229.0</v>
      </c>
      <c r="M1098" s="493">
        <v>2.0E-4</v>
      </c>
      <c r="N1098" s="6">
        <v>1.3077</v>
      </c>
    </row>
    <row r="1099">
      <c r="A1099" s="491" t="s">
        <v>2021</v>
      </c>
      <c r="B1099" s="491" t="s">
        <v>163</v>
      </c>
      <c r="C1099" s="491" t="s">
        <v>70</v>
      </c>
      <c r="D1099" s="491" t="s">
        <v>565</v>
      </c>
      <c r="E1099" s="492" t="s">
        <v>371</v>
      </c>
      <c r="F1099" s="493">
        <v>95739.0</v>
      </c>
      <c r="G1099" s="493">
        <v>85343.0</v>
      </c>
      <c r="H1099" s="493">
        <v>89.14</v>
      </c>
      <c r="I1099" s="493">
        <v>41.72</v>
      </c>
      <c r="J1099" s="493">
        <v>39.03</v>
      </c>
      <c r="K1099" s="493">
        <v>479755.0</v>
      </c>
      <c r="L1099" s="493">
        <v>1149852.0</v>
      </c>
      <c r="M1099" s="493">
        <v>5.0111</v>
      </c>
      <c r="N1099" s="6">
        <v>5.6215</v>
      </c>
    </row>
    <row r="1100">
      <c r="A1100" s="491" t="s">
        <v>2021</v>
      </c>
      <c r="B1100" s="491" t="s">
        <v>163</v>
      </c>
      <c r="C1100" s="491" t="s">
        <v>70</v>
      </c>
      <c r="D1100" s="491" t="s">
        <v>565</v>
      </c>
      <c r="E1100" s="492" t="s">
        <v>372</v>
      </c>
      <c r="F1100" s="493">
        <v>95739.0</v>
      </c>
      <c r="G1100" s="493">
        <v>61317.0</v>
      </c>
      <c r="H1100" s="493">
        <v>64.05</v>
      </c>
      <c r="I1100" s="493">
        <v>16.84</v>
      </c>
      <c r="J1100" s="493">
        <v>18.37</v>
      </c>
      <c r="K1100" s="493">
        <v>193683.0</v>
      </c>
      <c r="L1100" s="493">
        <v>1149852.0</v>
      </c>
      <c r="M1100" s="493">
        <v>2.023</v>
      </c>
      <c r="N1100" s="6">
        <v>3.1587</v>
      </c>
    </row>
    <row r="1101">
      <c r="A1101" s="491" t="s">
        <v>2021</v>
      </c>
      <c r="B1101" s="491" t="s">
        <v>163</v>
      </c>
      <c r="C1101" s="491" t="s">
        <v>70</v>
      </c>
      <c r="D1101" s="491" t="s">
        <v>565</v>
      </c>
      <c r="E1101" s="492" t="s">
        <v>370</v>
      </c>
      <c r="F1101" s="493">
        <v>95739.0</v>
      </c>
      <c r="G1101" s="493">
        <v>60095.0</v>
      </c>
      <c r="H1101" s="493">
        <v>62.77</v>
      </c>
      <c r="I1101" s="493">
        <v>8.98</v>
      </c>
      <c r="J1101" s="493">
        <v>11.05</v>
      </c>
      <c r="K1101" s="493">
        <v>103240.0</v>
      </c>
      <c r="L1101" s="493">
        <v>1149852.0</v>
      </c>
      <c r="M1101" s="493">
        <v>1.0783</v>
      </c>
      <c r="N1101" s="6">
        <v>1.7179</v>
      </c>
    </row>
    <row r="1102">
      <c r="A1102" s="491" t="s">
        <v>2021</v>
      </c>
      <c r="B1102" s="491" t="s">
        <v>163</v>
      </c>
      <c r="C1102" s="491" t="s">
        <v>70</v>
      </c>
      <c r="D1102" s="491" t="s">
        <v>565</v>
      </c>
      <c r="E1102" s="492" t="s">
        <v>44</v>
      </c>
      <c r="F1102" s="493">
        <v>95739.0</v>
      </c>
      <c r="G1102" s="493">
        <v>45107.0</v>
      </c>
      <c r="H1102" s="493">
        <v>47.11</v>
      </c>
      <c r="I1102" s="493">
        <v>6.48</v>
      </c>
      <c r="J1102" s="493">
        <v>6.09</v>
      </c>
      <c r="K1102" s="493">
        <v>74470.0</v>
      </c>
      <c r="L1102" s="493">
        <v>1149852.0</v>
      </c>
      <c r="M1102" s="493">
        <v>0.7778</v>
      </c>
      <c r="N1102" s="6">
        <v>1.651</v>
      </c>
    </row>
    <row r="1103">
      <c r="A1103" s="491" t="s">
        <v>2021</v>
      </c>
      <c r="B1103" s="491" t="s">
        <v>163</v>
      </c>
      <c r="C1103" s="491" t="s">
        <v>70</v>
      </c>
      <c r="D1103" s="491" t="s">
        <v>565</v>
      </c>
      <c r="E1103" s="492" t="s">
        <v>49</v>
      </c>
      <c r="F1103" s="493">
        <v>95739.0</v>
      </c>
      <c r="G1103" s="493">
        <v>34805.0</v>
      </c>
      <c r="H1103" s="493">
        <v>36.35</v>
      </c>
      <c r="I1103" s="493">
        <v>5.92</v>
      </c>
      <c r="J1103" s="493">
        <v>4.94</v>
      </c>
      <c r="K1103" s="493">
        <v>68053.0</v>
      </c>
      <c r="L1103" s="493">
        <v>1149852.0</v>
      </c>
      <c r="M1103" s="493">
        <v>0.7108</v>
      </c>
      <c r="N1103" s="6">
        <v>1.9553</v>
      </c>
    </row>
    <row r="1104">
      <c r="A1104" s="491" t="s">
        <v>2021</v>
      </c>
      <c r="B1104" s="491" t="s">
        <v>163</v>
      </c>
      <c r="C1104" s="491" t="s">
        <v>70</v>
      </c>
      <c r="D1104" s="491" t="s">
        <v>565</v>
      </c>
      <c r="E1104" s="492" t="s">
        <v>368</v>
      </c>
      <c r="F1104" s="493">
        <v>95739.0</v>
      </c>
      <c r="G1104" s="493">
        <v>26405.0</v>
      </c>
      <c r="H1104" s="493">
        <v>27.58</v>
      </c>
      <c r="I1104" s="493">
        <v>5.49</v>
      </c>
      <c r="J1104" s="493">
        <v>5.59</v>
      </c>
      <c r="K1104" s="493">
        <v>63094.0</v>
      </c>
      <c r="L1104" s="493">
        <v>1149852.0</v>
      </c>
      <c r="M1104" s="493">
        <v>0.659</v>
      </c>
      <c r="N1104" s="6">
        <v>2.3895</v>
      </c>
    </row>
    <row r="1105">
      <c r="A1105" s="491" t="s">
        <v>2021</v>
      </c>
      <c r="B1105" s="491" t="s">
        <v>163</v>
      </c>
      <c r="C1105" s="491" t="s">
        <v>70</v>
      </c>
      <c r="D1105" s="491" t="s">
        <v>565</v>
      </c>
      <c r="E1105" s="492" t="s">
        <v>369</v>
      </c>
      <c r="F1105" s="493">
        <v>95739.0</v>
      </c>
      <c r="G1105" s="493">
        <v>41219.0</v>
      </c>
      <c r="H1105" s="493">
        <v>43.05</v>
      </c>
      <c r="I1105" s="493">
        <v>4.82</v>
      </c>
      <c r="J1105" s="493">
        <v>5.48</v>
      </c>
      <c r="K1105" s="493">
        <v>55437.0</v>
      </c>
      <c r="L1105" s="493">
        <v>1149852.0</v>
      </c>
      <c r="M1105" s="493">
        <v>0.579</v>
      </c>
      <c r="N1105" s="6">
        <v>1.3449</v>
      </c>
    </row>
    <row r="1106">
      <c r="A1106" s="491" t="s">
        <v>2021</v>
      </c>
      <c r="B1106" s="491" t="s">
        <v>163</v>
      </c>
      <c r="C1106" s="491" t="s">
        <v>70</v>
      </c>
      <c r="D1106" s="491" t="s">
        <v>565</v>
      </c>
      <c r="E1106" s="492" t="s">
        <v>366</v>
      </c>
      <c r="F1106" s="493">
        <v>95739.0</v>
      </c>
      <c r="G1106" s="493">
        <v>23854.0</v>
      </c>
      <c r="H1106" s="493">
        <v>24.92</v>
      </c>
      <c r="I1106" s="493">
        <v>2.75</v>
      </c>
      <c r="J1106" s="493">
        <v>2.48</v>
      </c>
      <c r="K1106" s="493">
        <v>31635.0</v>
      </c>
      <c r="L1106" s="493">
        <v>1149852.0</v>
      </c>
      <c r="M1106" s="493">
        <v>0.3304</v>
      </c>
      <c r="N1106" s="6">
        <v>1.3262</v>
      </c>
    </row>
    <row r="1107">
      <c r="A1107" s="491" t="s">
        <v>2021</v>
      </c>
      <c r="B1107" s="491" t="s">
        <v>163</v>
      </c>
      <c r="C1107" s="491" t="s">
        <v>70</v>
      </c>
      <c r="D1107" s="491" t="s">
        <v>565</v>
      </c>
      <c r="E1107" s="492" t="s">
        <v>35</v>
      </c>
      <c r="F1107" s="493">
        <v>95739.0</v>
      </c>
      <c r="G1107" s="493">
        <v>19849.0</v>
      </c>
      <c r="H1107" s="493">
        <v>20.73</v>
      </c>
      <c r="I1107" s="493">
        <v>1.86</v>
      </c>
      <c r="J1107" s="493">
        <v>1.98</v>
      </c>
      <c r="K1107" s="493">
        <v>21338.0</v>
      </c>
      <c r="L1107" s="493">
        <v>1149852.0</v>
      </c>
      <c r="M1107" s="493">
        <v>0.2229</v>
      </c>
      <c r="N1107" s="6">
        <v>1.075</v>
      </c>
    </row>
    <row r="1108">
      <c r="A1108" s="491" t="s">
        <v>2021</v>
      </c>
      <c r="B1108" s="491" t="s">
        <v>163</v>
      </c>
      <c r="C1108" s="491" t="s">
        <v>70</v>
      </c>
      <c r="D1108" s="491" t="s">
        <v>565</v>
      </c>
      <c r="E1108" s="492" t="s">
        <v>189</v>
      </c>
      <c r="F1108" s="493">
        <v>95739.0</v>
      </c>
      <c r="G1108" s="493">
        <v>20839.0</v>
      </c>
      <c r="H1108" s="493">
        <v>21.77</v>
      </c>
      <c r="I1108" s="493">
        <v>1.85</v>
      </c>
      <c r="J1108" s="493">
        <v>2.16</v>
      </c>
      <c r="K1108" s="493">
        <v>21296.0</v>
      </c>
      <c r="L1108" s="493">
        <v>1149852.0</v>
      </c>
      <c r="M1108" s="493">
        <v>0.2224</v>
      </c>
      <c r="N1108" s="6">
        <v>1.0219</v>
      </c>
    </row>
    <row r="1109">
      <c r="A1109" s="491" t="s">
        <v>2021</v>
      </c>
      <c r="B1109" s="491" t="s">
        <v>163</v>
      </c>
      <c r="C1109" s="491" t="s">
        <v>70</v>
      </c>
      <c r="D1109" s="491" t="s">
        <v>565</v>
      </c>
      <c r="E1109" s="492" t="s">
        <v>134</v>
      </c>
      <c r="F1109" s="493">
        <v>95739.0</v>
      </c>
      <c r="G1109" s="493">
        <v>9610.0</v>
      </c>
      <c r="H1109" s="493">
        <v>10.04</v>
      </c>
      <c r="I1109" s="493">
        <v>1.19</v>
      </c>
      <c r="J1109" s="493">
        <v>0.95</v>
      </c>
      <c r="K1109" s="493">
        <v>13722.0</v>
      </c>
      <c r="L1109" s="493">
        <v>1149852.0</v>
      </c>
      <c r="M1109" s="493">
        <v>0.1433</v>
      </c>
      <c r="N1109" s="6">
        <v>1.4279</v>
      </c>
    </row>
    <row r="1110">
      <c r="A1110" s="491" t="s">
        <v>2021</v>
      </c>
      <c r="B1110" s="491" t="s">
        <v>163</v>
      </c>
      <c r="C1110" s="491" t="s">
        <v>70</v>
      </c>
      <c r="D1110" s="491" t="s">
        <v>565</v>
      </c>
      <c r="E1110" s="492" t="s">
        <v>50</v>
      </c>
      <c r="F1110" s="493">
        <v>95739.0</v>
      </c>
      <c r="G1110" s="493">
        <v>9078.0</v>
      </c>
      <c r="H1110" s="493">
        <v>9.48</v>
      </c>
      <c r="I1110" s="493">
        <v>0.97</v>
      </c>
      <c r="J1110" s="493">
        <v>0.73</v>
      </c>
      <c r="K1110" s="493">
        <v>11183.0</v>
      </c>
      <c r="L1110" s="493">
        <v>1149852.0</v>
      </c>
      <c r="M1110" s="493">
        <v>0.1168</v>
      </c>
      <c r="N1110" s="6">
        <v>1.2319</v>
      </c>
    </row>
    <row r="1111">
      <c r="A1111" s="491" t="s">
        <v>2021</v>
      </c>
      <c r="B1111" s="491" t="s">
        <v>163</v>
      </c>
      <c r="C1111" s="491" t="s">
        <v>70</v>
      </c>
      <c r="D1111" s="491" t="s">
        <v>565</v>
      </c>
      <c r="E1111" s="492" t="s">
        <v>42</v>
      </c>
      <c r="F1111" s="493">
        <v>95739.0</v>
      </c>
      <c r="G1111" s="493">
        <v>8547.0</v>
      </c>
      <c r="H1111" s="493">
        <v>8.93</v>
      </c>
      <c r="I1111" s="493">
        <v>0.93</v>
      </c>
      <c r="J1111" s="493">
        <v>0.9</v>
      </c>
      <c r="K1111" s="493">
        <v>10647.0</v>
      </c>
      <c r="L1111" s="493">
        <v>1149852.0</v>
      </c>
      <c r="M1111" s="493">
        <v>0.1112</v>
      </c>
      <c r="N1111" s="6">
        <v>1.2457</v>
      </c>
    </row>
    <row r="1112">
      <c r="A1112" s="491" t="s">
        <v>2021</v>
      </c>
      <c r="B1112" s="491" t="s">
        <v>163</v>
      </c>
      <c r="C1112" s="491" t="s">
        <v>70</v>
      </c>
      <c r="D1112" s="491" t="s">
        <v>565</v>
      </c>
      <c r="E1112" s="492" t="s">
        <v>43</v>
      </c>
      <c r="F1112" s="493">
        <v>95739.0</v>
      </c>
      <c r="G1112" s="493">
        <v>2158.0</v>
      </c>
      <c r="H1112" s="493">
        <v>2.25</v>
      </c>
      <c r="I1112" s="493">
        <v>0.2</v>
      </c>
      <c r="J1112" s="493">
        <v>0.24</v>
      </c>
      <c r="K1112" s="493">
        <v>2257.0</v>
      </c>
      <c r="L1112" s="493">
        <v>1149852.0</v>
      </c>
      <c r="M1112" s="493">
        <v>0.0236</v>
      </c>
      <c r="N1112" s="6">
        <v>1.0459</v>
      </c>
    </row>
    <row r="1113">
      <c r="A1113" s="491" t="s">
        <v>2021</v>
      </c>
      <c r="B1113" s="491" t="s">
        <v>163</v>
      </c>
      <c r="C1113" s="491" t="s">
        <v>70</v>
      </c>
      <c r="D1113" s="491" t="s">
        <v>565</v>
      </c>
      <c r="E1113" s="492" t="s">
        <v>373</v>
      </c>
      <c r="F1113" s="493">
        <v>95739.0</v>
      </c>
      <c r="G1113" s="493">
        <v>5.0</v>
      </c>
      <c r="H1113" s="493">
        <v>0.01</v>
      </c>
      <c r="I1113" s="493">
        <v>0.0</v>
      </c>
      <c r="J1113" s="493">
        <v>0.0</v>
      </c>
      <c r="K1113" s="493">
        <v>16.0</v>
      </c>
      <c r="L1113" s="493">
        <v>1149852.0</v>
      </c>
      <c r="M1113" s="493">
        <v>2.0E-4</v>
      </c>
      <c r="N1113" s="6">
        <v>3.2</v>
      </c>
    </row>
    <row r="1114">
      <c r="A1114" s="491" t="s">
        <v>2021</v>
      </c>
      <c r="B1114" s="491" t="s">
        <v>163</v>
      </c>
      <c r="C1114" s="491" t="s">
        <v>70</v>
      </c>
      <c r="D1114" s="491" t="s">
        <v>565</v>
      </c>
      <c r="E1114" s="492" t="s">
        <v>32</v>
      </c>
      <c r="F1114" s="493">
        <v>95739.0</v>
      </c>
      <c r="G1114" s="493">
        <v>19.0</v>
      </c>
      <c r="H1114" s="493">
        <v>0.02</v>
      </c>
      <c r="I1114" s="493">
        <v>0.0</v>
      </c>
      <c r="J1114" s="493">
        <v>0.01</v>
      </c>
      <c r="K1114" s="493">
        <v>20.0</v>
      </c>
      <c r="L1114" s="493">
        <v>1149852.0</v>
      </c>
      <c r="M1114" s="493">
        <v>2.0E-4</v>
      </c>
      <c r="N1114" s="6">
        <v>1.0526</v>
      </c>
    </row>
    <row r="1115">
      <c r="A1115" s="491" t="s">
        <v>2021</v>
      </c>
      <c r="B1115" s="491" t="s">
        <v>163</v>
      </c>
      <c r="C1115" s="491" t="s">
        <v>70</v>
      </c>
      <c r="D1115" s="491" t="s">
        <v>565</v>
      </c>
      <c r="E1115" s="492" t="s">
        <v>311</v>
      </c>
      <c r="F1115" s="493">
        <v>95739.0</v>
      </c>
      <c r="G1115" s="493">
        <v>5.0</v>
      </c>
      <c r="H1115" s="493">
        <v>0.01</v>
      </c>
      <c r="I1115" s="493">
        <v>0.0</v>
      </c>
      <c r="J1115" s="493">
        <v>0.0</v>
      </c>
      <c r="K1115" s="493">
        <v>6.0</v>
      </c>
      <c r="L1115" s="493">
        <v>1149852.0</v>
      </c>
      <c r="M1115" s="493">
        <v>1.0E-4</v>
      </c>
      <c r="N1115" s="6">
        <v>1.2</v>
      </c>
    </row>
    <row r="1116">
      <c r="A1116" s="491" t="s">
        <v>2021</v>
      </c>
      <c r="B1116" s="491" t="s">
        <v>163</v>
      </c>
      <c r="C1116" s="491" t="s">
        <v>74</v>
      </c>
      <c r="D1116" s="491" t="s">
        <v>565</v>
      </c>
      <c r="E1116" s="492" t="s">
        <v>371</v>
      </c>
      <c r="F1116" s="493">
        <v>83308.0</v>
      </c>
      <c r="G1116" s="493">
        <v>70988.0</v>
      </c>
      <c r="H1116" s="493">
        <v>85.21</v>
      </c>
      <c r="I1116" s="493">
        <v>42.92</v>
      </c>
      <c r="J1116" s="493">
        <v>47.41</v>
      </c>
      <c r="K1116" s="493">
        <v>205792.0</v>
      </c>
      <c r="L1116" s="493">
        <v>479507.0</v>
      </c>
      <c r="M1116" s="493">
        <v>2.4703</v>
      </c>
      <c r="N1116" s="6">
        <v>2.899</v>
      </c>
    </row>
    <row r="1117">
      <c r="A1117" s="491" t="s">
        <v>2021</v>
      </c>
      <c r="B1117" s="491" t="s">
        <v>163</v>
      </c>
      <c r="C1117" s="491" t="s">
        <v>74</v>
      </c>
      <c r="D1117" s="491" t="s">
        <v>565</v>
      </c>
      <c r="E1117" s="492" t="s">
        <v>42</v>
      </c>
      <c r="F1117" s="493">
        <v>83308.0</v>
      </c>
      <c r="G1117" s="493">
        <v>34001.0</v>
      </c>
      <c r="H1117" s="493">
        <v>40.81</v>
      </c>
      <c r="I1117" s="493">
        <v>15.51</v>
      </c>
      <c r="J1117" s="493">
        <v>14.47</v>
      </c>
      <c r="K1117" s="493">
        <v>74358.0</v>
      </c>
      <c r="L1117" s="493">
        <v>479507.0</v>
      </c>
      <c r="M1117" s="493">
        <v>0.8926</v>
      </c>
      <c r="N1117" s="6">
        <v>2.1869</v>
      </c>
    </row>
    <row r="1118">
      <c r="A1118" s="491" t="s">
        <v>2021</v>
      </c>
      <c r="B1118" s="491" t="s">
        <v>163</v>
      </c>
      <c r="C1118" s="491" t="s">
        <v>74</v>
      </c>
      <c r="D1118" s="491" t="s">
        <v>565</v>
      </c>
      <c r="E1118" s="492" t="s">
        <v>366</v>
      </c>
      <c r="F1118" s="493">
        <v>83308.0</v>
      </c>
      <c r="G1118" s="493">
        <v>29587.0</v>
      </c>
      <c r="H1118" s="493">
        <v>35.52</v>
      </c>
      <c r="I1118" s="493">
        <v>7.54</v>
      </c>
      <c r="J1118" s="493">
        <v>8.95</v>
      </c>
      <c r="K1118" s="493">
        <v>36168.0</v>
      </c>
      <c r="L1118" s="493">
        <v>479507.0</v>
      </c>
      <c r="M1118" s="493">
        <v>0.4341</v>
      </c>
      <c r="N1118" s="6">
        <v>1.2224</v>
      </c>
    </row>
    <row r="1119">
      <c r="A1119" s="491" t="s">
        <v>2021</v>
      </c>
      <c r="B1119" s="491" t="s">
        <v>163</v>
      </c>
      <c r="C1119" s="491" t="s">
        <v>74</v>
      </c>
      <c r="D1119" s="491" t="s">
        <v>565</v>
      </c>
      <c r="E1119" s="492" t="s">
        <v>134</v>
      </c>
      <c r="F1119" s="493">
        <v>83308.0</v>
      </c>
      <c r="G1119" s="493">
        <v>21018.0</v>
      </c>
      <c r="H1119" s="493">
        <v>25.23</v>
      </c>
      <c r="I1119" s="493">
        <v>6.98</v>
      </c>
      <c r="J1119" s="493">
        <v>7.34</v>
      </c>
      <c r="K1119" s="493">
        <v>33457.0</v>
      </c>
      <c r="L1119" s="493">
        <v>479507.0</v>
      </c>
      <c r="M1119" s="493">
        <v>0.4016</v>
      </c>
      <c r="N1119" s="6">
        <v>1.5918</v>
      </c>
    </row>
    <row r="1120">
      <c r="A1120" s="491" t="s">
        <v>2021</v>
      </c>
      <c r="B1120" s="491" t="s">
        <v>163</v>
      </c>
      <c r="C1120" s="491" t="s">
        <v>74</v>
      </c>
      <c r="D1120" s="491" t="s">
        <v>565</v>
      </c>
      <c r="E1120" s="492" t="s">
        <v>50</v>
      </c>
      <c r="F1120" s="493">
        <v>83308.0</v>
      </c>
      <c r="G1120" s="493">
        <v>22022.0</v>
      </c>
      <c r="H1120" s="493">
        <v>26.43</v>
      </c>
      <c r="I1120" s="493">
        <v>6.62</v>
      </c>
      <c r="J1120" s="493">
        <v>6.49</v>
      </c>
      <c r="K1120" s="493">
        <v>31722.0</v>
      </c>
      <c r="L1120" s="493">
        <v>479507.0</v>
      </c>
      <c r="M1120" s="493">
        <v>0.3808</v>
      </c>
      <c r="N1120" s="6">
        <v>1.4405</v>
      </c>
    </row>
    <row r="1121">
      <c r="A1121" s="491" t="s">
        <v>2021</v>
      </c>
      <c r="B1121" s="491" t="s">
        <v>163</v>
      </c>
      <c r="C1121" s="491" t="s">
        <v>74</v>
      </c>
      <c r="D1121" s="491" t="s">
        <v>565</v>
      </c>
      <c r="E1121" s="492" t="s">
        <v>365</v>
      </c>
      <c r="F1121" s="493">
        <v>83308.0</v>
      </c>
      <c r="G1121" s="493">
        <v>11672.0</v>
      </c>
      <c r="H1121" s="493">
        <v>14.01</v>
      </c>
      <c r="I1121" s="493">
        <v>5.07</v>
      </c>
      <c r="J1121" s="493">
        <v>3.38</v>
      </c>
      <c r="K1121" s="493">
        <v>24327.0</v>
      </c>
      <c r="L1121" s="493">
        <v>479507.0</v>
      </c>
      <c r="M1121" s="493">
        <v>0.292</v>
      </c>
      <c r="N1121" s="6">
        <v>2.0842</v>
      </c>
    </row>
    <row r="1122">
      <c r="A1122" s="491" t="s">
        <v>2021</v>
      </c>
      <c r="B1122" s="491" t="s">
        <v>163</v>
      </c>
      <c r="C1122" s="491" t="s">
        <v>74</v>
      </c>
      <c r="D1122" s="491" t="s">
        <v>565</v>
      </c>
      <c r="E1122" s="492" t="s">
        <v>370</v>
      </c>
      <c r="F1122" s="493">
        <v>83308.0</v>
      </c>
      <c r="G1122" s="493">
        <v>18314.0</v>
      </c>
      <c r="H1122" s="493">
        <v>21.98</v>
      </c>
      <c r="I1122" s="493">
        <v>4.88</v>
      </c>
      <c r="J1122" s="493">
        <v>4.0</v>
      </c>
      <c r="K1122" s="493">
        <v>23412.0</v>
      </c>
      <c r="L1122" s="493">
        <v>479507.0</v>
      </c>
      <c r="M1122" s="493">
        <v>0.281</v>
      </c>
      <c r="N1122" s="6">
        <v>1.2784</v>
      </c>
    </row>
    <row r="1123">
      <c r="A1123" s="491" t="s">
        <v>2021</v>
      </c>
      <c r="B1123" s="491" t="s">
        <v>163</v>
      </c>
      <c r="C1123" s="491" t="s">
        <v>74</v>
      </c>
      <c r="D1123" s="491" t="s">
        <v>565</v>
      </c>
      <c r="E1123" s="492" t="s">
        <v>44</v>
      </c>
      <c r="F1123" s="493">
        <v>83308.0</v>
      </c>
      <c r="G1123" s="493">
        <v>11762.0</v>
      </c>
      <c r="H1123" s="493">
        <v>14.12</v>
      </c>
      <c r="I1123" s="493">
        <v>3.21</v>
      </c>
      <c r="J1123" s="493">
        <v>1.91</v>
      </c>
      <c r="K1123" s="493">
        <v>15387.0</v>
      </c>
      <c r="L1123" s="493">
        <v>479507.0</v>
      </c>
      <c r="M1123" s="493">
        <v>0.1847</v>
      </c>
      <c r="N1123" s="6">
        <v>1.3082</v>
      </c>
    </row>
    <row r="1124">
      <c r="A1124" s="491" t="s">
        <v>2021</v>
      </c>
      <c r="B1124" s="491" t="s">
        <v>163</v>
      </c>
      <c r="C1124" s="491" t="s">
        <v>74</v>
      </c>
      <c r="D1124" s="491" t="s">
        <v>565</v>
      </c>
      <c r="E1124" s="492" t="s">
        <v>367</v>
      </c>
      <c r="F1124" s="493">
        <v>83308.0</v>
      </c>
      <c r="G1124" s="493">
        <v>8730.0</v>
      </c>
      <c r="H1124" s="493">
        <v>10.48</v>
      </c>
      <c r="I1124" s="493">
        <v>1.89</v>
      </c>
      <c r="J1124" s="493">
        <v>1.28</v>
      </c>
      <c r="K1124" s="493">
        <v>9079.0</v>
      </c>
      <c r="L1124" s="493">
        <v>479507.0</v>
      </c>
      <c r="M1124" s="493">
        <v>0.109</v>
      </c>
      <c r="N1124" s="6">
        <v>1.04</v>
      </c>
    </row>
    <row r="1125">
      <c r="A1125" s="491" t="s">
        <v>2021</v>
      </c>
      <c r="B1125" s="491" t="s">
        <v>163</v>
      </c>
      <c r="C1125" s="491" t="s">
        <v>74</v>
      </c>
      <c r="D1125" s="491" t="s">
        <v>565</v>
      </c>
      <c r="E1125" s="492" t="s">
        <v>40</v>
      </c>
      <c r="F1125" s="493">
        <v>83308.0</v>
      </c>
      <c r="G1125" s="493">
        <v>4750.0</v>
      </c>
      <c r="H1125" s="493">
        <v>5.7</v>
      </c>
      <c r="I1125" s="493">
        <v>1.72</v>
      </c>
      <c r="J1125" s="493">
        <v>1.53</v>
      </c>
      <c r="K1125" s="493">
        <v>8240.0</v>
      </c>
      <c r="L1125" s="493">
        <v>479507.0</v>
      </c>
      <c r="M1125" s="493">
        <v>0.0989</v>
      </c>
      <c r="N1125" s="6">
        <v>1.7347</v>
      </c>
    </row>
    <row r="1126">
      <c r="A1126" s="491" t="s">
        <v>2021</v>
      </c>
      <c r="B1126" s="491" t="s">
        <v>163</v>
      </c>
      <c r="C1126" s="491" t="s">
        <v>74</v>
      </c>
      <c r="D1126" s="491" t="s">
        <v>565</v>
      </c>
      <c r="E1126" s="492" t="s">
        <v>310</v>
      </c>
      <c r="F1126" s="493">
        <v>83308.0</v>
      </c>
      <c r="G1126" s="493">
        <v>5162.0</v>
      </c>
      <c r="H1126" s="493">
        <v>6.2</v>
      </c>
      <c r="I1126" s="493">
        <v>1.18</v>
      </c>
      <c r="J1126" s="493">
        <v>1.06</v>
      </c>
      <c r="K1126" s="493">
        <v>5677.0</v>
      </c>
      <c r="L1126" s="493">
        <v>479507.0</v>
      </c>
      <c r="M1126" s="493">
        <v>0.0681</v>
      </c>
      <c r="N1126" s="6">
        <v>1.0998</v>
      </c>
    </row>
    <row r="1127">
      <c r="A1127" s="491" t="s">
        <v>2021</v>
      </c>
      <c r="B1127" s="491" t="s">
        <v>163</v>
      </c>
      <c r="C1127" s="491" t="s">
        <v>74</v>
      </c>
      <c r="D1127" s="491" t="s">
        <v>565</v>
      </c>
      <c r="E1127" s="492" t="s">
        <v>32</v>
      </c>
      <c r="F1127" s="493">
        <v>83308.0</v>
      </c>
      <c r="G1127" s="493">
        <v>4538.0</v>
      </c>
      <c r="H1127" s="493">
        <v>5.45</v>
      </c>
      <c r="I1127" s="493">
        <v>1.02</v>
      </c>
      <c r="J1127" s="493">
        <v>0.96</v>
      </c>
      <c r="K1127" s="493">
        <v>4910.0</v>
      </c>
      <c r="L1127" s="493">
        <v>479507.0</v>
      </c>
      <c r="M1127" s="493">
        <v>0.0589</v>
      </c>
      <c r="N1127" s="6">
        <v>1.082</v>
      </c>
    </row>
    <row r="1128">
      <c r="A1128" s="491" t="s">
        <v>2021</v>
      </c>
      <c r="B1128" s="491" t="s">
        <v>163</v>
      </c>
      <c r="C1128" s="491" t="s">
        <v>74</v>
      </c>
      <c r="D1128" s="491" t="s">
        <v>565</v>
      </c>
      <c r="E1128" s="492" t="s">
        <v>312</v>
      </c>
      <c r="F1128" s="493">
        <v>83308.0</v>
      </c>
      <c r="G1128" s="493">
        <v>3844.0</v>
      </c>
      <c r="H1128" s="493">
        <v>4.61</v>
      </c>
      <c r="I1128" s="493">
        <v>0.9</v>
      </c>
      <c r="J1128" s="493">
        <v>0.74</v>
      </c>
      <c r="K1128" s="493">
        <v>4302.0</v>
      </c>
      <c r="L1128" s="493">
        <v>479507.0</v>
      </c>
      <c r="M1128" s="493">
        <v>0.0516</v>
      </c>
      <c r="N1128" s="6">
        <v>1.1191</v>
      </c>
    </row>
    <row r="1129">
      <c r="A1129" s="491" t="s">
        <v>2021</v>
      </c>
      <c r="B1129" s="491" t="s">
        <v>163</v>
      </c>
      <c r="C1129" s="491" t="s">
        <v>74</v>
      </c>
      <c r="D1129" s="491" t="s">
        <v>565</v>
      </c>
      <c r="E1129" s="492" t="s">
        <v>311</v>
      </c>
      <c r="F1129" s="493">
        <v>83308.0</v>
      </c>
      <c r="G1129" s="493">
        <v>1120.0</v>
      </c>
      <c r="H1129" s="493">
        <v>1.34</v>
      </c>
      <c r="I1129" s="493">
        <v>0.24</v>
      </c>
      <c r="J1129" s="493">
        <v>0.24</v>
      </c>
      <c r="K1129" s="493">
        <v>1136.0</v>
      </c>
      <c r="L1129" s="493">
        <v>479507.0</v>
      </c>
      <c r="M1129" s="493">
        <v>0.0136</v>
      </c>
      <c r="N1129" s="6">
        <v>1.0143</v>
      </c>
    </row>
    <row r="1130">
      <c r="A1130" s="491" t="s">
        <v>2021</v>
      </c>
      <c r="B1130" s="491" t="s">
        <v>163</v>
      </c>
      <c r="C1130" s="491" t="s">
        <v>74</v>
      </c>
      <c r="D1130" s="491" t="s">
        <v>565</v>
      </c>
      <c r="E1130" s="492" t="s">
        <v>368</v>
      </c>
      <c r="F1130" s="493">
        <v>83308.0</v>
      </c>
      <c r="G1130" s="493">
        <v>514.0</v>
      </c>
      <c r="H1130" s="493">
        <v>0.62</v>
      </c>
      <c r="I1130" s="493">
        <v>0.15</v>
      </c>
      <c r="J1130" s="493">
        <v>0.08</v>
      </c>
      <c r="K1130" s="493">
        <v>716.0</v>
      </c>
      <c r="L1130" s="493">
        <v>479507.0</v>
      </c>
      <c r="M1130" s="493">
        <v>0.0086</v>
      </c>
      <c r="N1130" s="6">
        <v>1.393</v>
      </c>
    </row>
    <row r="1131">
      <c r="A1131" s="491" t="s">
        <v>2021</v>
      </c>
      <c r="B1131" s="491" t="s">
        <v>163</v>
      </c>
      <c r="C1131" s="491" t="s">
        <v>74</v>
      </c>
      <c r="D1131" s="491" t="s">
        <v>565</v>
      </c>
      <c r="E1131" s="492" t="s">
        <v>43</v>
      </c>
      <c r="F1131" s="493">
        <v>83308.0</v>
      </c>
      <c r="G1131" s="493">
        <v>428.0</v>
      </c>
      <c r="H1131" s="493">
        <v>0.51</v>
      </c>
      <c r="I1131" s="493">
        <v>0.09</v>
      </c>
      <c r="J1131" s="493">
        <v>0.11</v>
      </c>
      <c r="K1131" s="493">
        <v>441.0</v>
      </c>
      <c r="L1131" s="493">
        <v>479507.0</v>
      </c>
      <c r="M1131" s="493">
        <v>0.0053</v>
      </c>
      <c r="N1131" s="6">
        <v>1.0304</v>
      </c>
    </row>
    <row r="1132">
      <c r="A1132" s="491" t="s">
        <v>2021</v>
      </c>
      <c r="B1132" s="491" t="s">
        <v>163</v>
      </c>
      <c r="C1132" s="491" t="s">
        <v>74</v>
      </c>
      <c r="D1132" s="491" t="s">
        <v>565</v>
      </c>
      <c r="E1132" s="492" t="s">
        <v>369</v>
      </c>
      <c r="F1132" s="493">
        <v>83308.0</v>
      </c>
      <c r="G1132" s="493">
        <v>326.0</v>
      </c>
      <c r="H1132" s="493">
        <v>0.39</v>
      </c>
      <c r="I1132" s="493">
        <v>0.07</v>
      </c>
      <c r="J1132" s="493">
        <v>0.04</v>
      </c>
      <c r="K1132" s="493">
        <v>339.0</v>
      </c>
      <c r="L1132" s="493">
        <v>479507.0</v>
      </c>
      <c r="M1132" s="493">
        <v>0.0041</v>
      </c>
      <c r="N1132" s="6">
        <v>1.0399</v>
      </c>
    </row>
    <row r="1133">
      <c r="A1133" s="491" t="s">
        <v>2021</v>
      </c>
      <c r="B1133" s="491" t="s">
        <v>163</v>
      </c>
      <c r="C1133" s="491" t="s">
        <v>74</v>
      </c>
      <c r="D1133" s="491" t="s">
        <v>565</v>
      </c>
      <c r="E1133" s="492" t="s">
        <v>189</v>
      </c>
      <c r="F1133" s="493">
        <v>83308.0</v>
      </c>
      <c r="G1133" s="493">
        <v>28.0</v>
      </c>
      <c r="H1133" s="493">
        <v>0.03</v>
      </c>
      <c r="I1133" s="493">
        <v>0.01</v>
      </c>
      <c r="J1133" s="493">
        <v>0.0</v>
      </c>
      <c r="K1133" s="493">
        <v>28.0</v>
      </c>
      <c r="L1133" s="493">
        <v>479507.0</v>
      </c>
      <c r="M1133" s="493">
        <v>3.0E-4</v>
      </c>
      <c r="N1133" s="6">
        <v>1.0</v>
      </c>
    </row>
    <row r="1134">
      <c r="A1134" s="491" t="s">
        <v>2021</v>
      </c>
      <c r="B1134" s="491" t="s">
        <v>163</v>
      </c>
      <c r="C1134" s="491" t="s">
        <v>74</v>
      </c>
      <c r="D1134" s="491" t="s">
        <v>565</v>
      </c>
      <c r="E1134" s="492" t="s">
        <v>373</v>
      </c>
      <c r="F1134" s="493">
        <v>83308.0</v>
      </c>
      <c r="G1134" s="493">
        <v>5.0</v>
      </c>
      <c r="H1134" s="493">
        <v>0.01</v>
      </c>
      <c r="I1134" s="493">
        <v>0.0</v>
      </c>
      <c r="J1134" s="493">
        <v>0.0</v>
      </c>
      <c r="K1134" s="493">
        <v>16.0</v>
      </c>
      <c r="L1134" s="493">
        <v>479507.0</v>
      </c>
      <c r="M1134" s="493">
        <v>2.0E-4</v>
      </c>
      <c r="N1134" s="6">
        <v>3.2</v>
      </c>
    </row>
    <row r="1135">
      <c r="A1135" s="491" t="s">
        <v>2021</v>
      </c>
      <c r="B1135" s="491" t="s">
        <v>163</v>
      </c>
      <c r="C1135" s="491" t="s">
        <v>1872</v>
      </c>
      <c r="D1135" s="491" t="s">
        <v>1872</v>
      </c>
      <c r="E1135" s="492" t="s">
        <v>371</v>
      </c>
      <c r="F1135" s="493">
        <v>99372.0</v>
      </c>
      <c r="G1135" s="493">
        <v>97255.0</v>
      </c>
      <c r="H1135" s="493">
        <v>97.87</v>
      </c>
      <c r="I1135" s="493">
        <v>22.76</v>
      </c>
      <c r="J1135" s="493">
        <v>25.91</v>
      </c>
      <c r="K1135" s="493">
        <v>1.976788E7</v>
      </c>
      <c r="L1135" s="493">
        <v>8.6841982E7</v>
      </c>
      <c r="M1135" s="493">
        <v>198.9281</v>
      </c>
      <c r="N1135" s="6">
        <v>203.2582</v>
      </c>
    </row>
    <row r="1136">
      <c r="A1136" s="491" t="s">
        <v>2021</v>
      </c>
      <c r="B1136" s="491" t="s">
        <v>163</v>
      </c>
      <c r="C1136" s="491" t="s">
        <v>1872</v>
      </c>
      <c r="D1136" s="491" t="s">
        <v>1872</v>
      </c>
      <c r="E1136" s="492" t="s">
        <v>367</v>
      </c>
      <c r="F1136" s="493">
        <v>99372.0</v>
      </c>
      <c r="G1136" s="493">
        <v>81945.0</v>
      </c>
      <c r="H1136" s="493">
        <v>82.46</v>
      </c>
      <c r="I1136" s="493">
        <v>11.03</v>
      </c>
      <c r="J1136" s="493">
        <v>11.84</v>
      </c>
      <c r="K1136" s="493">
        <v>9582770.0</v>
      </c>
      <c r="L1136" s="493">
        <v>8.6841982E7</v>
      </c>
      <c r="M1136" s="493">
        <v>96.4333</v>
      </c>
      <c r="N1136" s="6">
        <v>116.9415</v>
      </c>
    </row>
    <row r="1137">
      <c r="A1137" s="491" t="s">
        <v>2021</v>
      </c>
      <c r="B1137" s="491" t="s">
        <v>163</v>
      </c>
      <c r="C1137" s="491" t="s">
        <v>1872</v>
      </c>
      <c r="D1137" s="491" t="s">
        <v>1872</v>
      </c>
      <c r="E1137" s="492" t="s">
        <v>368</v>
      </c>
      <c r="F1137" s="493">
        <v>99372.0</v>
      </c>
      <c r="G1137" s="493">
        <v>42275.0</v>
      </c>
      <c r="H1137" s="493">
        <v>42.54</v>
      </c>
      <c r="I1137" s="493">
        <v>9.94</v>
      </c>
      <c r="J1137" s="493">
        <v>9.68</v>
      </c>
      <c r="K1137" s="493">
        <v>8631150.0</v>
      </c>
      <c r="L1137" s="493">
        <v>8.6841982E7</v>
      </c>
      <c r="M1137" s="493">
        <v>86.857</v>
      </c>
      <c r="N1137" s="6">
        <v>204.1668</v>
      </c>
    </row>
    <row r="1138">
      <c r="A1138" s="491" t="s">
        <v>2021</v>
      </c>
      <c r="B1138" s="491" t="s">
        <v>163</v>
      </c>
      <c r="C1138" s="491" t="s">
        <v>1872</v>
      </c>
      <c r="D1138" s="491" t="s">
        <v>1872</v>
      </c>
      <c r="E1138" s="492" t="s">
        <v>366</v>
      </c>
      <c r="F1138" s="493">
        <v>99372.0</v>
      </c>
      <c r="G1138" s="493">
        <v>74758.0</v>
      </c>
      <c r="H1138" s="493">
        <v>75.23</v>
      </c>
      <c r="I1138" s="493">
        <v>9.3</v>
      </c>
      <c r="J1138" s="493">
        <v>11.62</v>
      </c>
      <c r="K1138" s="493">
        <v>8074110.0</v>
      </c>
      <c r="L1138" s="493">
        <v>8.6841982E7</v>
      </c>
      <c r="M1138" s="493">
        <v>81.2514</v>
      </c>
      <c r="N1138" s="6">
        <v>108.0033</v>
      </c>
    </row>
    <row r="1139">
      <c r="A1139" s="491" t="s">
        <v>2021</v>
      </c>
      <c r="B1139" s="491" t="s">
        <v>163</v>
      </c>
      <c r="C1139" s="491" t="s">
        <v>1872</v>
      </c>
      <c r="D1139" s="491" t="s">
        <v>1872</v>
      </c>
      <c r="E1139" s="492" t="s">
        <v>370</v>
      </c>
      <c r="F1139" s="493">
        <v>99372.0</v>
      </c>
      <c r="G1139" s="493">
        <v>38638.0</v>
      </c>
      <c r="H1139" s="493">
        <v>38.88</v>
      </c>
      <c r="I1139" s="493">
        <v>6.68</v>
      </c>
      <c r="J1139" s="493">
        <v>4.73</v>
      </c>
      <c r="K1139" s="493">
        <v>5797617.0</v>
      </c>
      <c r="L1139" s="493">
        <v>8.6841982E7</v>
      </c>
      <c r="M1139" s="493">
        <v>58.3426</v>
      </c>
      <c r="N1139" s="6">
        <v>150.0496</v>
      </c>
    </row>
    <row r="1140">
      <c r="A1140" s="491" t="s">
        <v>2021</v>
      </c>
      <c r="B1140" s="491" t="s">
        <v>163</v>
      </c>
      <c r="C1140" s="491" t="s">
        <v>1872</v>
      </c>
      <c r="D1140" s="491" t="s">
        <v>1872</v>
      </c>
      <c r="E1140" s="492" t="s">
        <v>50</v>
      </c>
      <c r="F1140" s="493">
        <v>99372.0</v>
      </c>
      <c r="G1140" s="493">
        <v>47223.0</v>
      </c>
      <c r="H1140" s="493">
        <v>47.52</v>
      </c>
      <c r="I1140" s="493">
        <v>6.68</v>
      </c>
      <c r="J1140" s="493">
        <v>6.06</v>
      </c>
      <c r="K1140" s="493">
        <v>5801375.0</v>
      </c>
      <c r="L1140" s="493">
        <v>8.6841982E7</v>
      </c>
      <c r="M1140" s="493">
        <v>58.3804</v>
      </c>
      <c r="N1140" s="6">
        <v>122.8506</v>
      </c>
    </row>
    <row r="1141">
      <c r="A1141" s="491" t="s">
        <v>2021</v>
      </c>
      <c r="B1141" s="491" t="s">
        <v>163</v>
      </c>
      <c r="C1141" s="491" t="s">
        <v>1872</v>
      </c>
      <c r="D1141" s="491" t="s">
        <v>1872</v>
      </c>
      <c r="E1141" s="492" t="s">
        <v>42</v>
      </c>
      <c r="F1141" s="493">
        <v>99372.0</v>
      </c>
      <c r="G1141" s="493">
        <v>34712.0</v>
      </c>
      <c r="H1141" s="493">
        <v>34.93</v>
      </c>
      <c r="I1141" s="493">
        <v>6.04</v>
      </c>
      <c r="J1141" s="493">
        <v>5.59</v>
      </c>
      <c r="K1141" s="493">
        <v>5249115.0</v>
      </c>
      <c r="L1141" s="493">
        <v>8.6841982E7</v>
      </c>
      <c r="M1141" s="493">
        <v>52.8229</v>
      </c>
      <c r="N1141" s="6">
        <v>151.219</v>
      </c>
    </row>
    <row r="1142">
      <c r="A1142" s="491" t="s">
        <v>2021</v>
      </c>
      <c r="B1142" s="491" t="s">
        <v>163</v>
      </c>
      <c r="C1142" s="491" t="s">
        <v>1872</v>
      </c>
      <c r="D1142" s="491" t="s">
        <v>1872</v>
      </c>
      <c r="E1142" s="492" t="s">
        <v>372</v>
      </c>
      <c r="F1142" s="493">
        <v>99372.0</v>
      </c>
      <c r="G1142" s="493">
        <v>67416.0</v>
      </c>
      <c r="H1142" s="493">
        <v>67.84</v>
      </c>
      <c r="I1142" s="493">
        <v>5.61</v>
      </c>
      <c r="J1142" s="493">
        <v>7.17</v>
      </c>
      <c r="K1142" s="493">
        <v>4871405.0</v>
      </c>
      <c r="L1142" s="493">
        <v>8.6841982E7</v>
      </c>
      <c r="M1142" s="493">
        <v>49.0219</v>
      </c>
      <c r="N1142" s="6">
        <v>72.2589</v>
      </c>
    </row>
    <row r="1143">
      <c r="A1143" s="491" t="s">
        <v>2021</v>
      </c>
      <c r="B1143" s="491" t="s">
        <v>163</v>
      </c>
      <c r="C1143" s="491" t="s">
        <v>1872</v>
      </c>
      <c r="D1143" s="491" t="s">
        <v>1872</v>
      </c>
      <c r="E1143" s="492" t="s">
        <v>40</v>
      </c>
      <c r="F1143" s="493">
        <v>99372.0</v>
      </c>
      <c r="G1143" s="493">
        <v>27693.0</v>
      </c>
      <c r="H1143" s="493">
        <v>27.87</v>
      </c>
      <c r="I1143" s="493">
        <v>3.89</v>
      </c>
      <c r="J1143" s="493">
        <v>3.21</v>
      </c>
      <c r="K1143" s="493">
        <v>3375030.0</v>
      </c>
      <c r="L1143" s="493">
        <v>8.6841982E7</v>
      </c>
      <c r="M1143" s="493">
        <v>33.9636</v>
      </c>
      <c r="N1143" s="6">
        <v>121.873</v>
      </c>
    </row>
    <row r="1144">
      <c r="A1144" s="491" t="s">
        <v>2021</v>
      </c>
      <c r="B1144" s="491" t="s">
        <v>163</v>
      </c>
      <c r="C1144" s="491" t="s">
        <v>1872</v>
      </c>
      <c r="D1144" s="491" t="s">
        <v>1872</v>
      </c>
      <c r="E1144" s="492" t="s">
        <v>365</v>
      </c>
      <c r="F1144" s="493">
        <v>99372.0</v>
      </c>
      <c r="G1144" s="493">
        <v>27970.0</v>
      </c>
      <c r="H1144" s="493">
        <v>28.15</v>
      </c>
      <c r="I1144" s="493">
        <v>2.66</v>
      </c>
      <c r="J1144" s="493">
        <v>2.0</v>
      </c>
      <c r="K1144" s="493">
        <v>2307745.0</v>
      </c>
      <c r="L1144" s="493">
        <v>8.6841982E7</v>
      </c>
      <c r="M1144" s="493">
        <v>23.2233</v>
      </c>
      <c r="N1144" s="6">
        <v>82.5079</v>
      </c>
    </row>
    <row r="1145">
      <c r="A1145" s="491" t="s">
        <v>2021</v>
      </c>
      <c r="B1145" s="491" t="s">
        <v>163</v>
      </c>
      <c r="C1145" s="491" t="s">
        <v>1872</v>
      </c>
      <c r="D1145" s="491" t="s">
        <v>1872</v>
      </c>
      <c r="E1145" s="492" t="s">
        <v>310</v>
      </c>
      <c r="F1145" s="493">
        <v>99372.0</v>
      </c>
      <c r="G1145" s="493">
        <v>16771.0</v>
      </c>
      <c r="H1145" s="493">
        <v>16.88</v>
      </c>
      <c r="I1145" s="493">
        <v>2.62</v>
      </c>
      <c r="J1145" s="493">
        <v>1.93</v>
      </c>
      <c r="K1145" s="493">
        <v>2274575.0</v>
      </c>
      <c r="L1145" s="493">
        <v>8.6841982E7</v>
      </c>
      <c r="M1145" s="493">
        <v>22.8895</v>
      </c>
      <c r="N1145" s="6">
        <v>135.6255</v>
      </c>
    </row>
    <row r="1146">
      <c r="A1146" s="491" t="s">
        <v>2021</v>
      </c>
      <c r="B1146" s="491" t="s">
        <v>163</v>
      </c>
      <c r="C1146" s="491" t="s">
        <v>1872</v>
      </c>
      <c r="D1146" s="491" t="s">
        <v>1872</v>
      </c>
      <c r="E1146" s="492" t="s">
        <v>134</v>
      </c>
      <c r="F1146" s="493">
        <v>99372.0</v>
      </c>
      <c r="G1146" s="493">
        <v>23834.0</v>
      </c>
      <c r="H1146" s="493">
        <v>23.98</v>
      </c>
      <c r="I1146" s="493">
        <v>2.46</v>
      </c>
      <c r="J1146" s="493">
        <v>2.1</v>
      </c>
      <c r="K1146" s="493">
        <v>2137630.0</v>
      </c>
      <c r="L1146" s="493">
        <v>8.6841982E7</v>
      </c>
      <c r="M1146" s="493">
        <v>21.5114</v>
      </c>
      <c r="N1146" s="6">
        <v>89.6883</v>
      </c>
    </row>
    <row r="1147">
      <c r="A1147" s="491" t="s">
        <v>2021</v>
      </c>
      <c r="B1147" s="491" t="s">
        <v>163</v>
      </c>
      <c r="C1147" s="491" t="s">
        <v>1872</v>
      </c>
      <c r="D1147" s="491" t="s">
        <v>1872</v>
      </c>
      <c r="E1147" s="492" t="s">
        <v>32</v>
      </c>
      <c r="F1147" s="493">
        <v>99372.0</v>
      </c>
      <c r="G1147" s="493">
        <v>14828.0</v>
      </c>
      <c r="H1147" s="493">
        <v>14.92</v>
      </c>
      <c r="I1147" s="493">
        <v>2.27</v>
      </c>
      <c r="J1147" s="493">
        <v>1.73</v>
      </c>
      <c r="K1147" s="493">
        <v>1971165.0</v>
      </c>
      <c r="L1147" s="493">
        <v>8.6841982E7</v>
      </c>
      <c r="M1147" s="493">
        <v>19.8362</v>
      </c>
      <c r="N1147" s="6">
        <v>132.9353</v>
      </c>
    </row>
    <row r="1148">
      <c r="A1148" s="491" t="s">
        <v>2021</v>
      </c>
      <c r="B1148" s="491" t="s">
        <v>163</v>
      </c>
      <c r="C1148" s="491" t="s">
        <v>1872</v>
      </c>
      <c r="D1148" s="491" t="s">
        <v>1872</v>
      </c>
      <c r="E1148" s="492" t="s">
        <v>44</v>
      </c>
      <c r="F1148" s="493">
        <v>99372.0</v>
      </c>
      <c r="G1148" s="493">
        <v>47734.0</v>
      </c>
      <c r="H1148" s="493">
        <v>48.04</v>
      </c>
      <c r="I1148" s="493">
        <v>2.21</v>
      </c>
      <c r="J1148" s="493">
        <v>1.83</v>
      </c>
      <c r="K1148" s="493">
        <v>1920520.0</v>
      </c>
      <c r="L1148" s="493">
        <v>8.6841982E7</v>
      </c>
      <c r="M1148" s="493">
        <v>19.3266</v>
      </c>
      <c r="N1148" s="6">
        <v>40.2338</v>
      </c>
    </row>
    <row r="1149">
      <c r="A1149" s="491" t="s">
        <v>2021</v>
      </c>
      <c r="B1149" s="491" t="s">
        <v>163</v>
      </c>
      <c r="C1149" s="491" t="s">
        <v>1872</v>
      </c>
      <c r="D1149" s="491" t="s">
        <v>1872</v>
      </c>
      <c r="E1149" s="492" t="s">
        <v>312</v>
      </c>
      <c r="F1149" s="493">
        <v>99372.0</v>
      </c>
      <c r="G1149" s="493">
        <v>13129.0</v>
      </c>
      <c r="H1149" s="493">
        <v>13.21</v>
      </c>
      <c r="I1149" s="493">
        <v>2.03</v>
      </c>
      <c r="J1149" s="493">
        <v>1.49</v>
      </c>
      <c r="K1149" s="493">
        <v>1758850.0</v>
      </c>
      <c r="L1149" s="493">
        <v>8.6841982E7</v>
      </c>
      <c r="M1149" s="493">
        <v>17.6997</v>
      </c>
      <c r="N1149" s="6">
        <v>133.9668</v>
      </c>
    </row>
    <row r="1150">
      <c r="A1150" s="491" t="s">
        <v>2021</v>
      </c>
      <c r="B1150" s="491" t="s">
        <v>163</v>
      </c>
      <c r="C1150" s="491" t="s">
        <v>1872</v>
      </c>
      <c r="D1150" s="491" t="s">
        <v>1872</v>
      </c>
      <c r="E1150" s="492" t="s">
        <v>369</v>
      </c>
      <c r="F1150" s="493">
        <v>99372.0</v>
      </c>
      <c r="G1150" s="493">
        <v>28777.0</v>
      </c>
      <c r="H1150" s="493">
        <v>28.96</v>
      </c>
      <c r="I1150" s="493">
        <v>1.32</v>
      </c>
      <c r="J1150" s="493">
        <v>1.08</v>
      </c>
      <c r="K1150" s="493">
        <v>1148995.0</v>
      </c>
      <c r="L1150" s="493">
        <v>8.6841982E7</v>
      </c>
      <c r="M1150" s="493">
        <v>11.5626</v>
      </c>
      <c r="N1150" s="6">
        <v>39.9275</v>
      </c>
    </row>
    <row r="1151">
      <c r="A1151" s="491" t="s">
        <v>2021</v>
      </c>
      <c r="B1151" s="491" t="s">
        <v>163</v>
      </c>
      <c r="C1151" s="491" t="s">
        <v>1872</v>
      </c>
      <c r="D1151" s="491" t="s">
        <v>1872</v>
      </c>
      <c r="E1151" s="492" t="s">
        <v>43</v>
      </c>
      <c r="F1151" s="493">
        <v>99372.0</v>
      </c>
      <c r="G1151" s="493">
        <v>3967.0</v>
      </c>
      <c r="H1151" s="493">
        <v>3.99</v>
      </c>
      <c r="I1151" s="493">
        <v>0.77</v>
      </c>
      <c r="J1151" s="493">
        <v>0.6</v>
      </c>
      <c r="K1151" s="493">
        <v>669100.0</v>
      </c>
      <c r="L1151" s="493">
        <v>8.6841982E7</v>
      </c>
      <c r="M1151" s="493">
        <v>6.7333</v>
      </c>
      <c r="N1151" s="6">
        <v>168.6665</v>
      </c>
    </row>
    <row r="1152">
      <c r="A1152" s="491" t="s">
        <v>2021</v>
      </c>
      <c r="B1152" s="491" t="s">
        <v>163</v>
      </c>
      <c r="C1152" s="491" t="s">
        <v>1872</v>
      </c>
      <c r="D1152" s="491" t="s">
        <v>1872</v>
      </c>
      <c r="E1152" s="492" t="s">
        <v>35</v>
      </c>
      <c r="F1152" s="493">
        <v>99372.0</v>
      </c>
      <c r="G1152" s="493">
        <v>17479.0</v>
      </c>
      <c r="H1152" s="493">
        <v>17.59</v>
      </c>
      <c r="I1152" s="493">
        <v>0.67</v>
      </c>
      <c r="J1152" s="493">
        <v>0.56</v>
      </c>
      <c r="K1152" s="493">
        <v>581875.0</v>
      </c>
      <c r="L1152" s="493">
        <v>8.6841982E7</v>
      </c>
      <c r="M1152" s="493">
        <v>5.8555</v>
      </c>
      <c r="N1152" s="6">
        <v>33.2899</v>
      </c>
    </row>
    <row r="1153">
      <c r="A1153" s="491" t="s">
        <v>2021</v>
      </c>
      <c r="B1153" s="491" t="s">
        <v>163</v>
      </c>
      <c r="C1153" s="491" t="s">
        <v>1872</v>
      </c>
      <c r="D1153" s="491" t="s">
        <v>1872</v>
      </c>
      <c r="E1153" s="492" t="s">
        <v>311</v>
      </c>
      <c r="F1153" s="493">
        <v>99372.0</v>
      </c>
      <c r="G1153" s="493">
        <v>4330.0</v>
      </c>
      <c r="H1153" s="493">
        <v>4.36</v>
      </c>
      <c r="I1153" s="493">
        <v>0.54</v>
      </c>
      <c r="J1153" s="493">
        <v>0.44</v>
      </c>
      <c r="K1153" s="493">
        <v>472975.0</v>
      </c>
      <c r="L1153" s="493">
        <v>8.6841982E7</v>
      </c>
      <c r="M1153" s="493">
        <v>4.7596</v>
      </c>
      <c r="N1153" s="6">
        <v>109.2321</v>
      </c>
    </row>
    <row r="1154">
      <c r="A1154" s="491" t="s">
        <v>2021</v>
      </c>
      <c r="B1154" s="491" t="s">
        <v>163</v>
      </c>
      <c r="C1154" s="491" t="s">
        <v>1872</v>
      </c>
      <c r="D1154" s="491" t="s">
        <v>1872</v>
      </c>
      <c r="E1154" s="492" t="s">
        <v>189</v>
      </c>
      <c r="F1154" s="493">
        <v>99372.0</v>
      </c>
      <c r="G1154" s="493">
        <v>15625.0</v>
      </c>
      <c r="H1154" s="493">
        <v>15.72</v>
      </c>
      <c r="I1154" s="493">
        <v>0.52</v>
      </c>
      <c r="J1154" s="493">
        <v>0.42</v>
      </c>
      <c r="K1154" s="493">
        <v>448100.0</v>
      </c>
      <c r="L1154" s="493">
        <v>8.6841982E7</v>
      </c>
      <c r="M1154" s="493">
        <v>4.5093</v>
      </c>
      <c r="N1154" s="6">
        <v>28.6784</v>
      </c>
    </row>
    <row r="1155">
      <c r="A1155" s="491" t="s">
        <v>2021</v>
      </c>
      <c r="B1155" s="491" t="s">
        <v>163</v>
      </c>
      <c r="C1155" s="491" t="s">
        <v>69</v>
      </c>
      <c r="D1155" s="491" t="s">
        <v>565</v>
      </c>
      <c r="E1155" s="492" t="s">
        <v>371</v>
      </c>
      <c r="F1155" s="493">
        <v>95557.0</v>
      </c>
      <c r="G1155" s="493">
        <v>82735.0</v>
      </c>
      <c r="H1155" s="493">
        <v>86.58</v>
      </c>
      <c r="I1155" s="493">
        <v>42.54</v>
      </c>
      <c r="J1155" s="493">
        <v>39.77</v>
      </c>
      <c r="K1155" s="493">
        <v>480401.0</v>
      </c>
      <c r="L1155" s="493">
        <v>1129329.0</v>
      </c>
      <c r="M1155" s="493">
        <v>5.0274</v>
      </c>
      <c r="N1155" s="6">
        <v>5.8065</v>
      </c>
    </row>
    <row r="1156">
      <c r="A1156" s="491" t="s">
        <v>2021</v>
      </c>
      <c r="B1156" s="491" t="s">
        <v>163</v>
      </c>
      <c r="C1156" s="491" t="s">
        <v>69</v>
      </c>
      <c r="D1156" s="491" t="s">
        <v>565</v>
      </c>
      <c r="E1156" s="492" t="s">
        <v>372</v>
      </c>
      <c r="F1156" s="493">
        <v>95557.0</v>
      </c>
      <c r="G1156" s="493">
        <v>53740.0</v>
      </c>
      <c r="H1156" s="493">
        <v>56.24</v>
      </c>
      <c r="I1156" s="493">
        <v>13.9</v>
      </c>
      <c r="J1156" s="493">
        <v>14.93</v>
      </c>
      <c r="K1156" s="493">
        <v>156980.0</v>
      </c>
      <c r="L1156" s="493">
        <v>1129329.0</v>
      </c>
      <c r="M1156" s="493">
        <v>1.6428</v>
      </c>
      <c r="N1156" s="6">
        <v>2.9211</v>
      </c>
    </row>
    <row r="1157">
      <c r="A1157" s="491" t="s">
        <v>2021</v>
      </c>
      <c r="B1157" s="491" t="s">
        <v>163</v>
      </c>
      <c r="C1157" s="491" t="s">
        <v>69</v>
      </c>
      <c r="D1157" s="491" t="s">
        <v>565</v>
      </c>
      <c r="E1157" s="492" t="s">
        <v>368</v>
      </c>
      <c r="F1157" s="493">
        <v>95557.0</v>
      </c>
      <c r="G1157" s="493">
        <v>36963.0</v>
      </c>
      <c r="H1157" s="493">
        <v>38.68</v>
      </c>
      <c r="I1157" s="493">
        <v>10.04</v>
      </c>
      <c r="J1157" s="493">
        <v>10.38</v>
      </c>
      <c r="K1157" s="493">
        <v>113333.0</v>
      </c>
      <c r="L1157" s="493">
        <v>1129329.0</v>
      </c>
      <c r="M1157" s="493">
        <v>1.186</v>
      </c>
      <c r="N1157" s="6">
        <v>3.0661</v>
      </c>
    </row>
    <row r="1158">
      <c r="A1158" s="491" t="s">
        <v>2021</v>
      </c>
      <c r="B1158" s="491" t="s">
        <v>163</v>
      </c>
      <c r="C1158" s="491" t="s">
        <v>69</v>
      </c>
      <c r="D1158" s="491" t="s">
        <v>565</v>
      </c>
      <c r="E1158" s="492" t="s">
        <v>370</v>
      </c>
      <c r="F1158" s="493">
        <v>95557.0</v>
      </c>
      <c r="G1158" s="493">
        <v>60419.0</v>
      </c>
      <c r="H1158" s="493">
        <v>63.23</v>
      </c>
      <c r="I1158" s="493">
        <v>9.17</v>
      </c>
      <c r="J1158" s="493">
        <v>11.64</v>
      </c>
      <c r="K1158" s="493">
        <v>103599.0</v>
      </c>
      <c r="L1158" s="493">
        <v>1129329.0</v>
      </c>
      <c r="M1158" s="493">
        <v>1.0842</v>
      </c>
      <c r="N1158" s="6">
        <v>1.7147</v>
      </c>
    </row>
    <row r="1159">
      <c r="A1159" s="491" t="s">
        <v>2021</v>
      </c>
      <c r="B1159" s="491" t="s">
        <v>163</v>
      </c>
      <c r="C1159" s="491" t="s">
        <v>69</v>
      </c>
      <c r="D1159" s="491" t="s">
        <v>565</v>
      </c>
      <c r="E1159" s="492" t="s">
        <v>44</v>
      </c>
      <c r="F1159" s="493">
        <v>95557.0</v>
      </c>
      <c r="G1159" s="493">
        <v>55114.0</v>
      </c>
      <c r="H1159" s="493">
        <v>57.68</v>
      </c>
      <c r="I1159" s="493">
        <v>8.09</v>
      </c>
      <c r="J1159" s="493">
        <v>9.36</v>
      </c>
      <c r="K1159" s="493">
        <v>91348.0</v>
      </c>
      <c r="L1159" s="493">
        <v>1129329.0</v>
      </c>
      <c r="M1159" s="493">
        <v>0.956</v>
      </c>
      <c r="N1159" s="6">
        <v>1.6574</v>
      </c>
    </row>
    <row r="1160">
      <c r="A1160" s="491" t="s">
        <v>2021</v>
      </c>
      <c r="B1160" s="491" t="s">
        <v>163</v>
      </c>
      <c r="C1160" s="491" t="s">
        <v>69</v>
      </c>
      <c r="D1160" s="491" t="s">
        <v>565</v>
      </c>
      <c r="E1160" s="492" t="s">
        <v>49</v>
      </c>
      <c r="F1160" s="493">
        <v>95557.0</v>
      </c>
      <c r="G1160" s="493">
        <v>34805.0</v>
      </c>
      <c r="H1160" s="493">
        <v>36.42</v>
      </c>
      <c r="I1160" s="493">
        <v>6.03</v>
      </c>
      <c r="J1160" s="493">
        <v>5.12</v>
      </c>
      <c r="K1160" s="493">
        <v>68053.0</v>
      </c>
      <c r="L1160" s="493">
        <v>1129329.0</v>
      </c>
      <c r="M1160" s="493">
        <v>0.7122</v>
      </c>
      <c r="N1160" s="6">
        <v>1.9553</v>
      </c>
    </row>
    <row r="1161">
      <c r="A1161" s="491" t="s">
        <v>2021</v>
      </c>
      <c r="B1161" s="491" t="s">
        <v>163</v>
      </c>
      <c r="C1161" s="491" t="s">
        <v>69</v>
      </c>
      <c r="D1161" s="491" t="s">
        <v>565</v>
      </c>
      <c r="E1161" s="492" t="s">
        <v>366</v>
      </c>
      <c r="F1161" s="493">
        <v>95557.0</v>
      </c>
      <c r="G1161" s="493">
        <v>25333.0</v>
      </c>
      <c r="H1161" s="493">
        <v>26.51</v>
      </c>
      <c r="I1161" s="493">
        <v>2.71</v>
      </c>
      <c r="J1161" s="493">
        <v>2.99</v>
      </c>
      <c r="K1161" s="493">
        <v>30648.0</v>
      </c>
      <c r="L1161" s="493">
        <v>1129329.0</v>
      </c>
      <c r="M1161" s="493">
        <v>0.3207</v>
      </c>
      <c r="N1161" s="6">
        <v>1.2098</v>
      </c>
    </row>
    <row r="1162">
      <c r="A1162" s="491" t="s">
        <v>2021</v>
      </c>
      <c r="B1162" s="491" t="s">
        <v>163</v>
      </c>
      <c r="C1162" s="491" t="s">
        <v>69</v>
      </c>
      <c r="D1162" s="491" t="s">
        <v>565</v>
      </c>
      <c r="E1162" s="492" t="s">
        <v>369</v>
      </c>
      <c r="F1162" s="493">
        <v>95557.0</v>
      </c>
      <c r="G1162" s="493">
        <v>23047.0</v>
      </c>
      <c r="H1162" s="493">
        <v>24.12</v>
      </c>
      <c r="I1162" s="493">
        <v>2.68</v>
      </c>
      <c r="J1162" s="493">
        <v>2.02</v>
      </c>
      <c r="K1162" s="493">
        <v>30231.0</v>
      </c>
      <c r="L1162" s="493">
        <v>1129329.0</v>
      </c>
      <c r="M1162" s="493">
        <v>0.3164</v>
      </c>
      <c r="N1162" s="6">
        <v>1.3117</v>
      </c>
    </row>
    <row r="1163">
      <c r="A1163" s="491" t="s">
        <v>2021</v>
      </c>
      <c r="B1163" s="491" t="s">
        <v>163</v>
      </c>
      <c r="C1163" s="491" t="s">
        <v>69</v>
      </c>
      <c r="D1163" s="491" t="s">
        <v>565</v>
      </c>
      <c r="E1163" s="492" t="s">
        <v>134</v>
      </c>
      <c r="F1163" s="493">
        <v>95557.0</v>
      </c>
      <c r="G1163" s="493">
        <v>13061.0</v>
      </c>
      <c r="H1163" s="493">
        <v>13.67</v>
      </c>
      <c r="I1163" s="493">
        <v>1.81</v>
      </c>
      <c r="J1163" s="493">
        <v>1.31</v>
      </c>
      <c r="K1163" s="493">
        <v>20407.0</v>
      </c>
      <c r="L1163" s="493">
        <v>1129329.0</v>
      </c>
      <c r="M1163" s="493">
        <v>0.2136</v>
      </c>
      <c r="N1163" s="6">
        <v>1.5624</v>
      </c>
    </row>
    <row r="1164">
      <c r="A1164" s="491" t="s">
        <v>2021</v>
      </c>
      <c r="B1164" s="491" t="s">
        <v>163</v>
      </c>
      <c r="C1164" s="491" t="s">
        <v>69</v>
      </c>
      <c r="D1164" s="491" t="s">
        <v>565</v>
      </c>
      <c r="E1164" s="492" t="s">
        <v>35</v>
      </c>
      <c r="F1164" s="493">
        <v>95557.0</v>
      </c>
      <c r="G1164" s="493">
        <v>10420.0</v>
      </c>
      <c r="H1164" s="493">
        <v>10.9</v>
      </c>
      <c r="I1164" s="493">
        <v>1.04</v>
      </c>
      <c r="J1164" s="493">
        <v>0.77</v>
      </c>
      <c r="K1164" s="493">
        <v>11690.0</v>
      </c>
      <c r="L1164" s="493">
        <v>1129329.0</v>
      </c>
      <c r="M1164" s="493">
        <v>0.1223</v>
      </c>
      <c r="N1164" s="6">
        <v>1.1219</v>
      </c>
    </row>
    <row r="1165">
      <c r="A1165" s="491" t="s">
        <v>2021</v>
      </c>
      <c r="B1165" s="491" t="s">
        <v>163</v>
      </c>
      <c r="C1165" s="491" t="s">
        <v>69</v>
      </c>
      <c r="D1165" s="491" t="s">
        <v>565</v>
      </c>
      <c r="E1165" s="492" t="s">
        <v>189</v>
      </c>
      <c r="F1165" s="493">
        <v>95557.0</v>
      </c>
      <c r="G1165" s="493">
        <v>10247.0</v>
      </c>
      <c r="H1165" s="493">
        <v>10.72</v>
      </c>
      <c r="I1165" s="493">
        <v>0.93</v>
      </c>
      <c r="J1165" s="493">
        <v>0.68</v>
      </c>
      <c r="K1165" s="493">
        <v>10471.0</v>
      </c>
      <c r="L1165" s="493">
        <v>1129329.0</v>
      </c>
      <c r="M1165" s="493">
        <v>0.1096</v>
      </c>
      <c r="N1165" s="6">
        <v>1.0219</v>
      </c>
    </row>
    <row r="1166">
      <c r="A1166" s="491" t="s">
        <v>2021</v>
      </c>
      <c r="B1166" s="491" t="s">
        <v>163</v>
      </c>
      <c r="C1166" s="491" t="s">
        <v>69</v>
      </c>
      <c r="D1166" s="491" t="s">
        <v>565</v>
      </c>
      <c r="E1166" s="492" t="s">
        <v>42</v>
      </c>
      <c r="F1166" s="493">
        <v>95557.0</v>
      </c>
      <c r="G1166" s="493">
        <v>4667.0</v>
      </c>
      <c r="H1166" s="493">
        <v>4.88</v>
      </c>
      <c r="I1166" s="493">
        <v>0.48</v>
      </c>
      <c r="J1166" s="493">
        <v>0.49</v>
      </c>
      <c r="K1166" s="493">
        <v>5366.0</v>
      </c>
      <c r="L1166" s="493">
        <v>1129329.0</v>
      </c>
      <c r="M1166" s="493">
        <v>0.0562</v>
      </c>
      <c r="N1166" s="6">
        <v>1.1498</v>
      </c>
    </row>
    <row r="1167">
      <c r="A1167" s="491" t="s">
        <v>2021</v>
      </c>
      <c r="B1167" s="491" t="s">
        <v>163</v>
      </c>
      <c r="C1167" s="491" t="s">
        <v>69</v>
      </c>
      <c r="D1167" s="491" t="s">
        <v>565</v>
      </c>
      <c r="E1167" s="492" t="s">
        <v>50</v>
      </c>
      <c r="F1167" s="493">
        <v>95557.0</v>
      </c>
      <c r="G1167" s="493">
        <v>4144.0</v>
      </c>
      <c r="H1167" s="493">
        <v>4.34</v>
      </c>
      <c r="I1167" s="493">
        <v>0.41</v>
      </c>
      <c r="J1167" s="493">
        <v>0.3</v>
      </c>
      <c r="K1167" s="493">
        <v>4659.0</v>
      </c>
      <c r="L1167" s="493">
        <v>1129329.0</v>
      </c>
      <c r="M1167" s="493">
        <v>0.0488</v>
      </c>
      <c r="N1167" s="6">
        <v>1.1243</v>
      </c>
    </row>
    <row r="1168">
      <c r="A1168" s="491" t="s">
        <v>2021</v>
      </c>
      <c r="B1168" s="491" t="s">
        <v>163</v>
      </c>
      <c r="C1168" s="491" t="s">
        <v>69</v>
      </c>
      <c r="D1168" s="491" t="s">
        <v>565</v>
      </c>
      <c r="E1168" s="492" t="s">
        <v>43</v>
      </c>
      <c r="F1168" s="493">
        <v>95557.0</v>
      </c>
      <c r="G1168" s="493">
        <v>2020.0</v>
      </c>
      <c r="H1168" s="493">
        <v>2.11</v>
      </c>
      <c r="I1168" s="493">
        <v>0.19</v>
      </c>
      <c r="J1168" s="493">
        <v>0.22</v>
      </c>
      <c r="K1168" s="493">
        <v>2095.0</v>
      </c>
      <c r="L1168" s="493">
        <v>1129329.0</v>
      </c>
      <c r="M1168" s="493">
        <v>0.0219</v>
      </c>
      <c r="N1168" s="6">
        <v>1.0371</v>
      </c>
    </row>
    <row r="1169">
      <c r="A1169" s="491" t="s">
        <v>2021</v>
      </c>
      <c r="B1169" s="491" t="s">
        <v>163</v>
      </c>
      <c r="C1169" s="491" t="s">
        <v>69</v>
      </c>
      <c r="D1169" s="491" t="s">
        <v>565</v>
      </c>
      <c r="E1169" s="492" t="s">
        <v>310</v>
      </c>
      <c r="F1169" s="493">
        <v>95557.0</v>
      </c>
      <c r="G1169" s="493">
        <v>4.0</v>
      </c>
      <c r="H1169" s="493">
        <v>0.0</v>
      </c>
      <c r="I1169" s="493">
        <v>0.0</v>
      </c>
      <c r="J1169" s="493">
        <v>0.0</v>
      </c>
      <c r="K1169" s="493">
        <v>7.0</v>
      </c>
      <c r="L1169" s="493">
        <v>1129329.0</v>
      </c>
      <c r="M1169" s="493">
        <v>1.0E-4</v>
      </c>
      <c r="N1169" s="6">
        <v>1.75</v>
      </c>
    </row>
    <row r="1170">
      <c r="A1170" s="491" t="s">
        <v>2021</v>
      </c>
      <c r="B1170" s="491" t="s">
        <v>163</v>
      </c>
      <c r="C1170" s="491" t="s">
        <v>69</v>
      </c>
      <c r="D1170" s="491" t="s">
        <v>565</v>
      </c>
      <c r="E1170" s="492" t="s">
        <v>312</v>
      </c>
      <c r="F1170" s="493">
        <v>95557.0</v>
      </c>
      <c r="G1170" s="493">
        <v>1.0</v>
      </c>
      <c r="H1170" s="493">
        <v>0.0</v>
      </c>
      <c r="I1170" s="493">
        <v>0.0</v>
      </c>
      <c r="J1170" s="493">
        <v>0.0</v>
      </c>
      <c r="K1170" s="493">
        <v>1.0</v>
      </c>
      <c r="L1170" s="493">
        <v>1129329.0</v>
      </c>
      <c r="M1170" s="493">
        <v>0.0</v>
      </c>
      <c r="N1170" s="6">
        <v>1.0</v>
      </c>
    </row>
    <row r="1171">
      <c r="A1171" s="491" t="s">
        <v>2021</v>
      </c>
      <c r="B1171" s="491" t="s">
        <v>163</v>
      </c>
      <c r="C1171" s="491" t="s">
        <v>69</v>
      </c>
      <c r="D1171" s="491" t="s">
        <v>565</v>
      </c>
      <c r="E1171" s="492" t="s">
        <v>311</v>
      </c>
      <c r="F1171" s="493">
        <v>95557.0</v>
      </c>
      <c r="G1171" s="493">
        <v>4.0</v>
      </c>
      <c r="H1171" s="493">
        <v>0.0</v>
      </c>
      <c r="I1171" s="493">
        <v>0.0</v>
      </c>
      <c r="J1171" s="493">
        <v>0.0</v>
      </c>
      <c r="K1171" s="493">
        <v>4.0</v>
      </c>
      <c r="L1171" s="493">
        <v>1129329.0</v>
      </c>
      <c r="M1171" s="493">
        <v>0.0</v>
      </c>
      <c r="N1171" s="6">
        <v>1.0</v>
      </c>
    </row>
    <row r="1172">
      <c r="A1172" s="491" t="s">
        <v>2021</v>
      </c>
      <c r="B1172" s="491" t="s">
        <v>163</v>
      </c>
      <c r="C1172" s="491" t="s">
        <v>69</v>
      </c>
      <c r="D1172" s="491" t="s">
        <v>565</v>
      </c>
      <c r="E1172" s="492" t="s">
        <v>32</v>
      </c>
      <c r="F1172" s="493">
        <v>95557.0</v>
      </c>
      <c r="G1172" s="493">
        <v>30.0</v>
      </c>
      <c r="H1172" s="493">
        <v>0.03</v>
      </c>
      <c r="I1172" s="493">
        <v>0.0</v>
      </c>
      <c r="J1172" s="493">
        <v>0.01</v>
      </c>
      <c r="K1172" s="493">
        <v>36.0</v>
      </c>
      <c r="L1172" s="493">
        <v>1129329.0</v>
      </c>
      <c r="M1172" s="493">
        <v>4.0E-4</v>
      </c>
      <c r="N1172" s="6">
        <v>1.2</v>
      </c>
    </row>
    <row r="1173">
      <c r="A1173" s="491" t="s">
        <v>2021</v>
      </c>
      <c r="B1173" s="491" t="s">
        <v>163</v>
      </c>
      <c r="C1173" s="491" t="s">
        <v>73</v>
      </c>
      <c r="D1173" s="491" t="s">
        <v>565</v>
      </c>
      <c r="E1173" s="492" t="s">
        <v>371</v>
      </c>
      <c r="F1173" s="493">
        <v>90968.0</v>
      </c>
      <c r="G1173" s="493">
        <v>74837.0</v>
      </c>
      <c r="H1173" s="493">
        <v>82.27</v>
      </c>
      <c r="I1173" s="493">
        <v>30.77</v>
      </c>
      <c r="J1173" s="493">
        <v>33.1</v>
      </c>
      <c r="K1173" s="493">
        <v>270259.0</v>
      </c>
      <c r="L1173" s="493">
        <v>878414.0</v>
      </c>
      <c r="M1173" s="493">
        <v>2.9709</v>
      </c>
      <c r="N1173" s="6">
        <v>3.6113</v>
      </c>
    </row>
    <row r="1174">
      <c r="A1174" s="491" t="s">
        <v>2021</v>
      </c>
      <c r="B1174" s="491" t="s">
        <v>163</v>
      </c>
      <c r="C1174" s="491" t="s">
        <v>73</v>
      </c>
      <c r="D1174" s="491" t="s">
        <v>565</v>
      </c>
      <c r="E1174" s="492" t="s">
        <v>366</v>
      </c>
      <c r="F1174" s="493">
        <v>90968.0</v>
      </c>
      <c r="G1174" s="493">
        <v>51597.0</v>
      </c>
      <c r="H1174" s="493">
        <v>56.72</v>
      </c>
      <c r="I1174" s="493">
        <v>10.13</v>
      </c>
      <c r="J1174" s="493">
        <v>13.14</v>
      </c>
      <c r="K1174" s="493">
        <v>88973.0</v>
      </c>
      <c r="L1174" s="493">
        <v>878414.0</v>
      </c>
      <c r="M1174" s="493">
        <v>0.9781</v>
      </c>
      <c r="N1174" s="6">
        <v>1.7244</v>
      </c>
    </row>
    <row r="1175">
      <c r="A1175" s="491" t="s">
        <v>2021</v>
      </c>
      <c r="B1175" s="491" t="s">
        <v>163</v>
      </c>
      <c r="C1175" s="491" t="s">
        <v>73</v>
      </c>
      <c r="D1175" s="491" t="s">
        <v>565</v>
      </c>
      <c r="E1175" s="492" t="s">
        <v>372</v>
      </c>
      <c r="F1175" s="493">
        <v>90968.0</v>
      </c>
      <c r="G1175" s="493">
        <v>39945.0</v>
      </c>
      <c r="H1175" s="493">
        <v>43.91</v>
      </c>
      <c r="I1175" s="493">
        <v>7.65</v>
      </c>
      <c r="J1175" s="493">
        <v>7.91</v>
      </c>
      <c r="K1175" s="493">
        <v>67222.0</v>
      </c>
      <c r="L1175" s="493">
        <v>878414.0</v>
      </c>
      <c r="M1175" s="493">
        <v>0.739</v>
      </c>
      <c r="N1175" s="6">
        <v>1.6829</v>
      </c>
    </row>
    <row r="1176">
      <c r="A1176" s="491" t="s">
        <v>2021</v>
      </c>
      <c r="B1176" s="491" t="s">
        <v>163</v>
      </c>
      <c r="C1176" s="491" t="s">
        <v>73</v>
      </c>
      <c r="D1176" s="491" t="s">
        <v>565</v>
      </c>
      <c r="E1176" s="492" t="s">
        <v>367</v>
      </c>
      <c r="F1176" s="493">
        <v>90968.0</v>
      </c>
      <c r="G1176" s="493">
        <v>35655.0</v>
      </c>
      <c r="H1176" s="493">
        <v>39.2</v>
      </c>
      <c r="I1176" s="493">
        <v>6.95</v>
      </c>
      <c r="J1176" s="493">
        <v>5.46</v>
      </c>
      <c r="K1176" s="493">
        <v>61053.0</v>
      </c>
      <c r="L1176" s="493">
        <v>878414.0</v>
      </c>
      <c r="M1176" s="493">
        <v>0.6711</v>
      </c>
      <c r="N1176" s="6">
        <v>1.7123</v>
      </c>
    </row>
    <row r="1177">
      <c r="A1177" s="491" t="s">
        <v>2021</v>
      </c>
      <c r="B1177" s="491" t="s">
        <v>163</v>
      </c>
      <c r="C1177" s="491" t="s">
        <v>73</v>
      </c>
      <c r="D1177" s="491" t="s">
        <v>565</v>
      </c>
      <c r="E1177" s="492" t="s">
        <v>44</v>
      </c>
      <c r="F1177" s="493">
        <v>90968.0</v>
      </c>
      <c r="G1177" s="493">
        <v>35982.0</v>
      </c>
      <c r="H1177" s="493">
        <v>39.55</v>
      </c>
      <c r="I1177" s="493">
        <v>6.65</v>
      </c>
      <c r="J1177" s="493">
        <v>5.44</v>
      </c>
      <c r="K1177" s="493">
        <v>58434.0</v>
      </c>
      <c r="L1177" s="493">
        <v>878414.0</v>
      </c>
      <c r="M1177" s="493">
        <v>0.6424</v>
      </c>
      <c r="N1177" s="6">
        <v>1.624</v>
      </c>
    </row>
    <row r="1178">
      <c r="A1178" s="491" t="s">
        <v>2021</v>
      </c>
      <c r="B1178" s="491" t="s">
        <v>163</v>
      </c>
      <c r="C1178" s="491" t="s">
        <v>73</v>
      </c>
      <c r="D1178" s="491" t="s">
        <v>565</v>
      </c>
      <c r="E1178" s="492" t="s">
        <v>370</v>
      </c>
      <c r="F1178" s="493">
        <v>90968.0</v>
      </c>
      <c r="G1178" s="493">
        <v>32716.0</v>
      </c>
      <c r="H1178" s="493">
        <v>35.96</v>
      </c>
      <c r="I1178" s="493">
        <v>6.32</v>
      </c>
      <c r="J1178" s="493">
        <v>6.04</v>
      </c>
      <c r="K1178" s="493">
        <v>55552.0</v>
      </c>
      <c r="L1178" s="493">
        <v>878414.0</v>
      </c>
      <c r="M1178" s="493">
        <v>0.6107</v>
      </c>
      <c r="N1178" s="6">
        <v>1.698</v>
      </c>
    </row>
    <row r="1179">
      <c r="A1179" s="491" t="s">
        <v>2021</v>
      </c>
      <c r="B1179" s="491" t="s">
        <v>163</v>
      </c>
      <c r="C1179" s="491" t="s">
        <v>73</v>
      </c>
      <c r="D1179" s="491" t="s">
        <v>565</v>
      </c>
      <c r="E1179" s="492" t="s">
        <v>365</v>
      </c>
      <c r="F1179" s="493">
        <v>90968.0</v>
      </c>
      <c r="G1179" s="493">
        <v>17318.0</v>
      </c>
      <c r="H1179" s="493">
        <v>19.04</v>
      </c>
      <c r="I1179" s="493">
        <v>5.81</v>
      </c>
      <c r="J1179" s="493">
        <v>3.85</v>
      </c>
      <c r="K1179" s="493">
        <v>50998.0</v>
      </c>
      <c r="L1179" s="493">
        <v>878414.0</v>
      </c>
      <c r="M1179" s="493">
        <v>0.5606</v>
      </c>
      <c r="N1179" s="6">
        <v>2.9448</v>
      </c>
    </row>
    <row r="1180">
      <c r="A1180" s="491" t="s">
        <v>2021</v>
      </c>
      <c r="B1180" s="491" t="s">
        <v>163</v>
      </c>
      <c r="C1180" s="491" t="s">
        <v>73</v>
      </c>
      <c r="D1180" s="491" t="s">
        <v>565</v>
      </c>
      <c r="E1180" s="492" t="s">
        <v>42</v>
      </c>
      <c r="F1180" s="493">
        <v>90968.0</v>
      </c>
      <c r="G1180" s="493">
        <v>26718.0</v>
      </c>
      <c r="H1180" s="493">
        <v>29.37</v>
      </c>
      <c r="I1180" s="493">
        <v>5.21</v>
      </c>
      <c r="J1180" s="493">
        <v>5.22</v>
      </c>
      <c r="K1180" s="493">
        <v>45806.0</v>
      </c>
      <c r="L1180" s="493">
        <v>878414.0</v>
      </c>
      <c r="M1180" s="493">
        <v>0.5035</v>
      </c>
      <c r="N1180" s="6">
        <v>1.7144</v>
      </c>
    </row>
    <row r="1181">
      <c r="A1181" s="491" t="s">
        <v>2021</v>
      </c>
      <c r="B1181" s="491" t="s">
        <v>163</v>
      </c>
      <c r="C1181" s="491" t="s">
        <v>73</v>
      </c>
      <c r="D1181" s="491" t="s">
        <v>565</v>
      </c>
      <c r="E1181" s="492" t="s">
        <v>50</v>
      </c>
      <c r="F1181" s="493">
        <v>90968.0</v>
      </c>
      <c r="G1181" s="493">
        <v>25287.0</v>
      </c>
      <c r="H1181" s="493">
        <v>27.8</v>
      </c>
      <c r="I1181" s="493">
        <v>4.18</v>
      </c>
      <c r="J1181" s="493">
        <v>3.98</v>
      </c>
      <c r="K1181" s="493">
        <v>36682.0</v>
      </c>
      <c r="L1181" s="493">
        <v>878414.0</v>
      </c>
      <c r="M1181" s="493">
        <v>0.4032</v>
      </c>
      <c r="N1181" s="6">
        <v>1.4506</v>
      </c>
    </row>
    <row r="1182">
      <c r="A1182" s="491" t="s">
        <v>2021</v>
      </c>
      <c r="B1182" s="491" t="s">
        <v>163</v>
      </c>
      <c r="C1182" s="491" t="s">
        <v>73</v>
      </c>
      <c r="D1182" s="491" t="s">
        <v>565</v>
      </c>
      <c r="E1182" s="492" t="s">
        <v>134</v>
      </c>
      <c r="F1182" s="493">
        <v>90968.0</v>
      </c>
      <c r="G1182" s="493">
        <v>19411.0</v>
      </c>
      <c r="H1182" s="493">
        <v>21.34</v>
      </c>
      <c r="I1182" s="493">
        <v>4.02</v>
      </c>
      <c r="J1182" s="493">
        <v>4.54</v>
      </c>
      <c r="K1182" s="493">
        <v>35327.0</v>
      </c>
      <c r="L1182" s="493">
        <v>878414.0</v>
      </c>
      <c r="M1182" s="493">
        <v>0.3883</v>
      </c>
      <c r="N1182" s="6">
        <v>1.8199</v>
      </c>
    </row>
    <row r="1183">
      <c r="A1183" s="491" t="s">
        <v>2021</v>
      </c>
      <c r="B1183" s="491" t="s">
        <v>163</v>
      </c>
      <c r="C1183" s="491" t="s">
        <v>73</v>
      </c>
      <c r="D1183" s="491" t="s">
        <v>565</v>
      </c>
      <c r="E1183" s="492" t="s">
        <v>310</v>
      </c>
      <c r="F1183" s="493">
        <v>90968.0</v>
      </c>
      <c r="G1183" s="493">
        <v>21885.0</v>
      </c>
      <c r="H1183" s="493">
        <v>24.06</v>
      </c>
      <c r="I1183" s="493">
        <v>3.21</v>
      </c>
      <c r="J1183" s="493">
        <v>3.01</v>
      </c>
      <c r="K1183" s="493">
        <v>28225.0</v>
      </c>
      <c r="L1183" s="493">
        <v>878414.0</v>
      </c>
      <c r="M1183" s="493">
        <v>0.3103</v>
      </c>
      <c r="N1183" s="6">
        <v>1.2897</v>
      </c>
    </row>
    <row r="1184">
      <c r="A1184" s="491" t="s">
        <v>2021</v>
      </c>
      <c r="B1184" s="491" t="s">
        <v>163</v>
      </c>
      <c r="C1184" s="491" t="s">
        <v>73</v>
      </c>
      <c r="D1184" s="491" t="s">
        <v>565</v>
      </c>
      <c r="E1184" s="492" t="s">
        <v>312</v>
      </c>
      <c r="F1184" s="493">
        <v>90968.0</v>
      </c>
      <c r="G1184" s="493">
        <v>18520.0</v>
      </c>
      <c r="H1184" s="493">
        <v>20.36</v>
      </c>
      <c r="I1184" s="493">
        <v>2.72</v>
      </c>
      <c r="J1184" s="493">
        <v>2.53</v>
      </c>
      <c r="K1184" s="493">
        <v>23886.0</v>
      </c>
      <c r="L1184" s="493">
        <v>878414.0</v>
      </c>
      <c r="M1184" s="493">
        <v>0.2626</v>
      </c>
      <c r="N1184" s="6">
        <v>1.2897</v>
      </c>
    </row>
    <row r="1185">
      <c r="A1185" s="491" t="s">
        <v>2021</v>
      </c>
      <c r="B1185" s="491" t="s">
        <v>163</v>
      </c>
      <c r="C1185" s="491" t="s">
        <v>73</v>
      </c>
      <c r="D1185" s="491" t="s">
        <v>565</v>
      </c>
      <c r="E1185" s="492" t="s">
        <v>32</v>
      </c>
      <c r="F1185" s="493">
        <v>90968.0</v>
      </c>
      <c r="G1185" s="493">
        <v>18953.0</v>
      </c>
      <c r="H1185" s="493">
        <v>20.83</v>
      </c>
      <c r="I1185" s="493">
        <v>2.71</v>
      </c>
      <c r="J1185" s="493">
        <v>2.64</v>
      </c>
      <c r="K1185" s="493">
        <v>23845.0</v>
      </c>
      <c r="L1185" s="493">
        <v>878414.0</v>
      </c>
      <c r="M1185" s="493">
        <v>0.2621</v>
      </c>
      <c r="N1185" s="6">
        <v>1.2581</v>
      </c>
    </row>
    <row r="1186">
      <c r="A1186" s="491" t="s">
        <v>2021</v>
      </c>
      <c r="B1186" s="491" t="s">
        <v>163</v>
      </c>
      <c r="C1186" s="491" t="s">
        <v>73</v>
      </c>
      <c r="D1186" s="491" t="s">
        <v>565</v>
      </c>
      <c r="E1186" s="492" t="s">
        <v>40</v>
      </c>
      <c r="F1186" s="493">
        <v>90968.0</v>
      </c>
      <c r="G1186" s="493">
        <v>6794.0</v>
      </c>
      <c r="H1186" s="493">
        <v>7.47</v>
      </c>
      <c r="I1186" s="493">
        <v>2.33</v>
      </c>
      <c r="J1186" s="493">
        <v>1.74</v>
      </c>
      <c r="K1186" s="493">
        <v>20474.0</v>
      </c>
      <c r="L1186" s="493">
        <v>878414.0</v>
      </c>
      <c r="M1186" s="493">
        <v>0.2251</v>
      </c>
      <c r="N1186" s="6">
        <v>3.0135</v>
      </c>
    </row>
    <row r="1187">
      <c r="A1187" s="491" t="s">
        <v>2021</v>
      </c>
      <c r="B1187" s="491" t="s">
        <v>163</v>
      </c>
      <c r="C1187" s="491" t="s">
        <v>73</v>
      </c>
      <c r="D1187" s="491" t="s">
        <v>565</v>
      </c>
      <c r="E1187" s="492" t="s">
        <v>311</v>
      </c>
      <c r="F1187" s="493">
        <v>90968.0</v>
      </c>
      <c r="G1187" s="493">
        <v>6259.0</v>
      </c>
      <c r="H1187" s="493">
        <v>6.88</v>
      </c>
      <c r="I1187" s="493">
        <v>0.73</v>
      </c>
      <c r="J1187" s="493">
        <v>0.77</v>
      </c>
      <c r="K1187" s="493">
        <v>6438.0</v>
      </c>
      <c r="L1187" s="493">
        <v>878414.0</v>
      </c>
      <c r="M1187" s="493">
        <v>0.0708</v>
      </c>
      <c r="N1187" s="6">
        <v>1.0286</v>
      </c>
    </row>
    <row r="1188">
      <c r="A1188" s="491" t="s">
        <v>2021</v>
      </c>
      <c r="B1188" s="491" t="s">
        <v>163</v>
      </c>
      <c r="C1188" s="491" t="s">
        <v>73</v>
      </c>
      <c r="D1188" s="491" t="s">
        <v>565</v>
      </c>
      <c r="E1188" s="492" t="s">
        <v>43</v>
      </c>
      <c r="F1188" s="493">
        <v>90968.0</v>
      </c>
      <c r="G1188" s="493">
        <v>3945.0</v>
      </c>
      <c r="H1188" s="493">
        <v>4.34</v>
      </c>
      <c r="I1188" s="493">
        <v>0.49</v>
      </c>
      <c r="J1188" s="493">
        <v>0.58</v>
      </c>
      <c r="K1188" s="493">
        <v>4285.0</v>
      </c>
      <c r="L1188" s="493">
        <v>878414.0</v>
      </c>
      <c r="M1188" s="493">
        <v>0.0471</v>
      </c>
      <c r="N1188" s="6">
        <v>1.0862</v>
      </c>
    </row>
    <row r="1189">
      <c r="A1189" s="491" t="s">
        <v>2021</v>
      </c>
      <c r="B1189" s="491" t="s">
        <v>163</v>
      </c>
      <c r="C1189" s="491" t="s">
        <v>73</v>
      </c>
      <c r="D1189" s="491" t="s">
        <v>565</v>
      </c>
      <c r="E1189" s="492" t="s">
        <v>35</v>
      </c>
      <c r="F1189" s="493">
        <v>90968.0</v>
      </c>
      <c r="G1189" s="493">
        <v>840.0</v>
      </c>
      <c r="H1189" s="493">
        <v>0.92</v>
      </c>
      <c r="I1189" s="493">
        <v>0.1</v>
      </c>
      <c r="J1189" s="493">
        <v>0.06</v>
      </c>
      <c r="K1189" s="493">
        <v>888.0</v>
      </c>
      <c r="L1189" s="493">
        <v>878414.0</v>
      </c>
      <c r="M1189" s="493">
        <v>0.0098</v>
      </c>
      <c r="N1189" s="6">
        <v>1.0571</v>
      </c>
    </row>
    <row r="1190">
      <c r="A1190" s="491" t="s">
        <v>2021</v>
      </c>
      <c r="B1190" s="491" t="s">
        <v>163</v>
      </c>
      <c r="C1190" s="491" t="s">
        <v>73</v>
      </c>
      <c r="D1190" s="491" t="s">
        <v>565</v>
      </c>
      <c r="E1190" s="492" t="s">
        <v>368</v>
      </c>
      <c r="F1190" s="493">
        <v>90968.0</v>
      </c>
      <c r="G1190" s="493">
        <v>10.0</v>
      </c>
      <c r="H1190" s="493">
        <v>0.01</v>
      </c>
      <c r="I1190" s="493">
        <v>0.0</v>
      </c>
      <c r="J1190" s="493">
        <v>0.01</v>
      </c>
      <c r="K1190" s="493">
        <v>38.0</v>
      </c>
      <c r="L1190" s="493">
        <v>878414.0</v>
      </c>
      <c r="M1190" s="493">
        <v>4.0E-4</v>
      </c>
      <c r="N1190" s="6">
        <v>3.8</v>
      </c>
    </row>
    <row r="1191">
      <c r="A1191" s="491" t="s">
        <v>2021</v>
      </c>
      <c r="B1191" s="491" t="s">
        <v>163</v>
      </c>
      <c r="C1191" s="491" t="s">
        <v>73</v>
      </c>
      <c r="D1191" s="491" t="s">
        <v>565</v>
      </c>
      <c r="E1191" s="492" t="s">
        <v>189</v>
      </c>
      <c r="F1191" s="493">
        <v>90968.0</v>
      </c>
      <c r="G1191" s="493">
        <v>28.0</v>
      </c>
      <c r="H1191" s="493">
        <v>0.03</v>
      </c>
      <c r="I1191" s="493">
        <v>0.0</v>
      </c>
      <c r="J1191" s="493">
        <v>0.0</v>
      </c>
      <c r="K1191" s="493">
        <v>28.0</v>
      </c>
      <c r="L1191" s="493">
        <v>878414.0</v>
      </c>
      <c r="M1191" s="493">
        <v>3.0E-4</v>
      </c>
      <c r="N1191" s="6">
        <v>1.0</v>
      </c>
    </row>
    <row r="1192">
      <c r="A1192" s="491" t="s">
        <v>2021</v>
      </c>
      <c r="B1192" s="491" t="s">
        <v>163</v>
      </c>
      <c r="C1192" s="491" t="s">
        <v>73</v>
      </c>
      <c r="D1192" s="491" t="s">
        <v>565</v>
      </c>
      <c r="E1192" s="492" t="s">
        <v>369</v>
      </c>
      <c r="F1192" s="493">
        <v>90968.0</v>
      </c>
      <c r="G1192" s="493">
        <v>1.0</v>
      </c>
      <c r="H1192" s="493">
        <v>0.0</v>
      </c>
      <c r="I1192" s="493">
        <v>0.0</v>
      </c>
      <c r="J1192" s="493">
        <v>0.0</v>
      </c>
      <c r="K1192" s="493">
        <v>1.0</v>
      </c>
      <c r="L1192" s="493">
        <v>878414.0</v>
      </c>
      <c r="M1192" s="493">
        <v>0.0</v>
      </c>
      <c r="N1192" s="6">
        <v>1.0</v>
      </c>
    </row>
    <row r="1193">
      <c r="A1193" s="491" t="s">
        <v>2021</v>
      </c>
      <c r="B1193" s="491" t="s">
        <v>163</v>
      </c>
      <c r="C1193" s="491" t="s">
        <v>72</v>
      </c>
      <c r="D1193" s="491" t="s">
        <v>565</v>
      </c>
      <c r="E1193" s="492" t="s">
        <v>371</v>
      </c>
      <c r="F1193" s="493">
        <v>89572.0</v>
      </c>
      <c r="G1193" s="493">
        <v>66487.0</v>
      </c>
      <c r="H1193" s="493">
        <v>74.23</v>
      </c>
      <c r="I1193" s="493">
        <v>24.14</v>
      </c>
      <c r="J1193" s="493">
        <v>26.17</v>
      </c>
      <c r="K1193" s="493">
        <v>202763.0</v>
      </c>
      <c r="L1193" s="493">
        <v>840034.0</v>
      </c>
      <c r="M1193" s="493">
        <v>2.2637</v>
      </c>
      <c r="N1193" s="6">
        <v>3.0497</v>
      </c>
    </row>
    <row r="1194">
      <c r="A1194" s="491" t="s">
        <v>2021</v>
      </c>
      <c r="B1194" s="491" t="s">
        <v>163</v>
      </c>
      <c r="C1194" s="491" t="s">
        <v>72</v>
      </c>
      <c r="D1194" s="491" t="s">
        <v>565</v>
      </c>
      <c r="E1194" s="492" t="s">
        <v>367</v>
      </c>
      <c r="F1194" s="493">
        <v>89572.0</v>
      </c>
      <c r="G1194" s="493">
        <v>44740.0</v>
      </c>
      <c r="H1194" s="493">
        <v>49.95</v>
      </c>
      <c r="I1194" s="493">
        <v>10.9</v>
      </c>
      <c r="J1194" s="493">
        <v>9.64</v>
      </c>
      <c r="K1194" s="493">
        <v>91569.0</v>
      </c>
      <c r="L1194" s="493">
        <v>840034.0</v>
      </c>
      <c r="M1194" s="493">
        <v>1.0223</v>
      </c>
      <c r="N1194" s="6">
        <v>2.0467</v>
      </c>
    </row>
    <row r="1195">
      <c r="A1195" s="491" t="s">
        <v>2021</v>
      </c>
      <c r="B1195" s="491" t="s">
        <v>163</v>
      </c>
      <c r="C1195" s="491" t="s">
        <v>72</v>
      </c>
      <c r="D1195" s="491" t="s">
        <v>565</v>
      </c>
      <c r="E1195" s="492" t="s">
        <v>49</v>
      </c>
      <c r="F1195" s="493">
        <v>89572.0</v>
      </c>
      <c r="G1195" s="493">
        <v>34805.0</v>
      </c>
      <c r="H1195" s="493">
        <v>38.86</v>
      </c>
      <c r="I1195" s="493">
        <v>8.1</v>
      </c>
      <c r="J1195" s="493">
        <v>7.78</v>
      </c>
      <c r="K1195" s="493">
        <v>68053.0</v>
      </c>
      <c r="L1195" s="493">
        <v>840034.0</v>
      </c>
      <c r="M1195" s="493">
        <v>0.7598</v>
      </c>
      <c r="N1195" s="6">
        <v>1.9553</v>
      </c>
    </row>
    <row r="1196">
      <c r="A1196" s="491" t="s">
        <v>2021</v>
      </c>
      <c r="B1196" s="491" t="s">
        <v>163</v>
      </c>
      <c r="C1196" s="491" t="s">
        <v>72</v>
      </c>
      <c r="D1196" s="491" t="s">
        <v>565</v>
      </c>
      <c r="E1196" s="492" t="s">
        <v>368</v>
      </c>
      <c r="F1196" s="493">
        <v>89572.0</v>
      </c>
      <c r="G1196" s="493">
        <v>26877.0</v>
      </c>
      <c r="H1196" s="493">
        <v>30.01</v>
      </c>
      <c r="I1196" s="493">
        <v>7.59</v>
      </c>
      <c r="J1196" s="493">
        <v>10.0</v>
      </c>
      <c r="K1196" s="493">
        <v>63784.0</v>
      </c>
      <c r="L1196" s="493">
        <v>840034.0</v>
      </c>
      <c r="M1196" s="493">
        <v>0.7121</v>
      </c>
      <c r="N1196" s="6">
        <v>2.3732</v>
      </c>
    </row>
    <row r="1197">
      <c r="A1197" s="491" t="s">
        <v>2021</v>
      </c>
      <c r="B1197" s="491" t="s">
        <v>163</v>
      </c>
      <c r="C1197" s="491" t="s">
        <v>72</v>
      </c>
      <c r="D1197" s="491" t="s">
        <v>565</v>
      </c>
      <c r="E1197" s="492" t="s">
        <v>366</v>
      </c>
      <c r="F1197" s="493">
        <v>89572.0</v>
      </c>
      <c r="G1197" s="493">
        <v>39600.0</v>
      </c>
      <c r="H1197" s="493">
        <v>44.21</v>
      </c>
      <c r="I1197" s="493">
        <v>6.98</v>
      </c>
      <c r="J1197" s="493">
        <v>8.47</v>
      </c>
      <c r="K1197" s="493">
        <v>58637.0</v>
      </c>
      <c r="L1197" s="493">
        <v>840034.0</v>
      </c>
      <c r="M1197" s="493">
        <v>0.6546</v>
      </c>
      <c r="N1197" s="6">
        <v>1.4807</v>
      </c>
    </row>
    <row r="1198">
      <c r="A1198" s="491" t="s">
        <v>2021</v>
      </c>
      <c r="B1198" s="491" t="s">
        <v>163</v>
      </c>
      <c r="C1198" s="491" t="s">
        <v>72</v>
      </c>
      <c r="D1198" s="491" t="s">
        <v>565</v>
      </c>
      <c r="E1198" s="492" t="s">
        <v>365</v>
      </c>
      <c r="F1198" s="493">
        <v>89572.0</v>
      </c>
      <c r="G1198" s="493">
        <v>17411.0</v>
      </c>
      <c r="H1198" s="493">
        <v>19.44</v>
      </c>
      <c r="I1198" s="493">
        <v>6.14</v>
      </c>
      <c r="J1198" s="493">
        <v>4.05</v>
      </c>
      <c r="K1198" s="493">
        <v>51606.0</v>
      </c>
      <c r="L1198" s="493">
        <v>840034.0</v>
      </c>
      <c r="M1198" s="493">
        <v>0.5761</v>
      </c>
      <c r="N1198" s="6">
        <v>2.964</v>
      </c>
    </row>
    <row r="1199">
      <c r="A1199" s="491" t="s">
        <v>2021</v>
      </c>
      <c r="B1199" s="491" t="s">
        <v>163</v>
      </c>
      <c r="C1199" s="491" t="s">
        <v>72</v>
      </c>
      <c r="D1199" s="491" t="s">
        <v>565</v>
      </c>
      <c r="E1199" s="492" t="s">
        <v>40</v>
      </c>
      <c r="F1199" s="493">
        <v>89572.0</v>
      </c>
      <c r="G1199" s="493">
        <v>23322.0</v>
      </c>
      <c r="H1199" s="493">
        <v>26.04</v>
      </c>
      <c r="I1199" s="493">
        <v>5.56</v>
      </c>
      <c r="J1199" s="493">
        <v>5.12</v>
      </c>
      <c r="K1199" s="493">
        <v>46747.0</v>
      </c>
      <c r="L1199" s="493">
        <v>840034.0</v>
      </c>
      <c r="M1199" s="493">
        <v>0.5219</v>
      </c>
      <c r="N1199" s="6">
        <v>2.0044</v>
      </c>
    </row>
    <row r="1200">
      <c r="A1200" s="491" t="s">
        <v>2021</v>
      </c>
      <c r="B1200" s="491" t="s">
        <v>163</v>
      </c>
      <c r="C1200" s="491" t="s">
        <v>72</v>
      </c>
      <c r="D1200" s="491" t="s">
        <v>565</v>
      </c>
      <c r="E1200" s="492" t="s">
        <v>370</v>
      </c>
      <c r="F1200" s="493">
        <v>89572.0</v>
      </c>
      <c r="G1200" s="493">
        <v>28194.0</v>
      </c>
      <c r="H1200" s="493">
        <v>31.48</v>
      </c>
      <c r="I1200" s="493">
        <v>4.99</v>
      </c>
      <c r="J1200" s="493">
        <v>5.25</v>
      </c>
      <c r="K1200" s="493">
        <v>41915.0</v>
      </c>
      <c r="L1200" s="493">
        <v>840034.0</v>
      </c>
      <c r="M1200" s="493">
        <v>0.4679</v>
      </c>
      <c r="N1200" s="6">
        <v>1.4867</v>
      </c>
    </row>
    <row r="1201">
      <c r="A1201" s="491" t="s">
        <v>2021</v>
      </c>
      <c r="B1201" s="491" t="s">
        <v>163</v>
      </c>
      <c r="C1201" s="491" t="s">
        <v>72</v>
      </c>
      <c r="D1201" s="491" t="s">
        <v>565</v>
      </c>
      <c r="E1201" s="492" t="s">
        <v>44</v>
      </c>
      <c r="F1201" s="493">
        <v>89572.0</v>
      </c>
      <c r="G1201" s="493">
        <v>24782.0</v>
      </c>
      <c r="H1201" s="493">
        <v>27.67</v>
      </c>
      <c r="I1201" s="493">
        <v>4.45</v>
      </c>
      <c r="J1201" s="493">
        <v>3.14</v>
      </c>
      <c r="K1201" s="493">
        <v>37356.0</v>
      </c>
      <c r="L1201" s="493">
        <v>840034.0</v>
      </c>
      <c r="M1201" s="493">
        <v>0.417</v>
      </c>
      <c r="N1201" s="6">
        <v>1.5074</v>
      </c>
    </row>
    <row r="1202">
      <c r="A1202" s="491" t="s">
        <v>2021</v>
      </c>
      <c r="B1202" s="491" t="s">
        <v>163</v>
      </c>
      <c r="C1202" s="491" t="s">
        <v>72</v>
      </c>
      <c r="D1202" s="491" t="s">
        <v>565</v>
      </c>
      <c r="E1202" s="492" t="s">
        <v>50</v>
      </c>
      <c r="F1202" s="493">
        <v>89572.0</v>
      </c>
      <c r="G1202" s="493">
        <v>22012.0</v>
      </c>
      <c r="H1202" s="493">
        <v>24.57</v>
      </c>
      <c r="I1202" s="493">
        <v>3.79</v>
      </c>
      <c r="J1202" s="493">
        <v>3.42</v>
      </c>
      <c r="K1202" s="493">
        <v>31803.0</v>
      </c>
      <c r="L1202" s="493">
        <v>840034.0</v>
      </c>
      <c r="M1202" s="493">
        <v>0.3551</v>
      </c>
      <c r="N1202" s="6">
        <v>1.4448</v>
      </c>
    </row>
    <row r="1203">
      <c r="A1203" s="491" t="s">
        <v>2021</v>
      </c>
      <c r="B1203" s="491" t="s">
        <v>163</v>
      </c>
      <c r="C1203" s="491" t="s">
        <v>72</v>
      </c>
      <c r="D1203" s="491" t="s">
        <v>565</v>
      </c>
      <c r="E1203" s="492" t="s">
        <v>372</v>
      </c>
      <c r="F1203" s="493">
        <v>89572.0</v>
      </c>
      <c r="G1203" s="493">
        <v>23467.0</v>
      </c>
      <c r="H1203" s="493">
        <v>26.2</v>
      </c>
      <c r="I1203" s="493">
        <v>3.75</v>
      </c>
      <c r="J1203" s="493">
        <v>3.01</v>
      </c>
      <c r="K1203" s="493">
        <v>31466.0</v>
      </c>
      <c r="L1203" s="493">
        <v>840034.0</v>
      </c>
      <c r="M1203" s="493">
        <v>0.3513</v>
      </c>
      <c r="N1203" s="6">
        <v>1.3409</v>
      </c>
    </row>
    <row r="1204">
      <c r="A1204" s="491" t="s">
        <v>2021</v>
      </c>
      <c r="B1204" s="491" t="s">
        <v>163</v>
      </c>
      <c r="C1204" s="491" t="s">
        <v>72</v>
      </c>
      <c r="D1204" s="491" t="s">
        <v>565</v>
      </c>
      <c r="E1204" s="492" t="s">
        <v>42</v>
      </c>
      <c r="F1204" s="493">
        <v>89572.0</v>
      </c>
      <c r="G1204" s="493">
        <v>21164.0</v>
      </c>
      <c r="H1204" s="493">
        <v>23.63</v>
      </c>
      <c r="I1204" s="493">
        <v>3.67</v>
      </c>
      <c r="J1204" s="493">
        <v>3.92</v>
      </c>
      <c r="K1204" s="493">
        <v>30822.0</v>
      </c>
      <c r="L1204" s="493">
        <v>840034.0</v>
      </c>
      <c r="M1204" s="493">
        <v>0.3441</v>
      </c>
      <c r="N1204" s="6">
        <v>1.4563</v>
      </c>
    </row>
    <row r="1205">
      <c r="A1205" s="491" t="s">
        <v>2021</v>
      </c>
      <c r="B1205" s="491" t="s">
        <v>163</v>
      </c>
      <c r="C1205" s="491" t="s">
        <v>72</v>
      </c>
      <c r="D1205" s="491" t="s">
        <v>565</v>
      </c>
      <c r="E1205" s="492" t="s">
        <v>312</v>
      </c>
      <c r="F1205" s="493">
        <v>89572.0</v>
      </c>
      <c r="G1205" s="493">
        <v>17775.0</v>
      </c>
      <c r="H1205" s="493">
        <v>19.84</v>
      </c>
      <c r="I1205" s="493">
        <v>2.63</v>
      </c>
      <c r="J1205" s="493">
        <v>2.88</v>
      </c>
      <c r="K1205" s="493">
        <v>22102.0</v>
      </c>
      <c r="L1205" s="493">
        <v>840034.0</v>
      </c>
      <c r="M1205" s="493">
        <v>0.2468</v>
      </c>
      <c r="N1205" s="6">
        <v>1.2434</v>
      </c>
    </row>
    <row r="1206">
      <c r="A1206" s="491" t="s">
        <v>2021</v>
      </c>
      <c r="B1206" s="491" t="s">
        <v>163</v>
      </c>
      <c r="C1206" s="491" t="s">
        <v>72</v>
      </c>
      <c r="D1206" s="491" t="s">
        <v>565</v>
      </c>
      <c r="E1206" s="492" t="s">
        <v>310</v>
      </c>
      <c r="F1206" s="493">
        <v>89572.0</v>
      </c>
      <c r="G1206" s="493">
        <v>15992.0</v>
      </c>
      <c r="H1206" s="493">
        <v>17.85</v>
      </c>
      <c r="I1206" s="493">
        <v>2.27</v>
      </c>
      <c r="J1206" s="493">
        <v>2.45</v>
      </c>
      <c r="K1206" s="493">
        <v>19037.0</v>
      </c>
      <c r="L1206" s="493">
        <v>840034.0</v>
      </c>
      <c r="M1206" s="493">
        <v>0.2125</v>
      </c>
      <c r="N1206" s="6">
        <v>1.1904</v>
      </c>
    </row>
    <row r="1207">
      <c r="A1207" s="491" t="s">
        <v>2021</v>
      </c>
      <c r="B1207" s="491" t="s">
        <v>163</v>
      </c>
      <c r="C1207" s="491" t="s">
        <v>72</v>
      </c>
      <c r="D1207" s="491" t="s">
        <v>565</v>
      </c>
      <c r="E1207" s="492" t="s">
        <v>32</v>
      </c>
      <c r="F1207" s="493">
        <v>89572.0</v>
      </c>
      <c r="G1207" s="493">
        <v>12875.0</v>
      </c>
      <c r="H1207" s="493">
        <v>14.37</v>
      </c>
      <c r="I1207" s="493">
        <v>1.81</v>
      </c>
      <c r="J1207" s="493">
        <v>1.89</v>
      </c>
      <c r="K1207" s="493">
        <v>15222.0</v>
      </c>
      <c r="L1207" s="493">
        <v>840034.0</v>
      </c>
      <c r="M1207" s="493">
        <v>0.1699</v>
      </c>
      <c r="N1207" s="6">
        <v>1.1823</v>
      </c>
    </row>
    <row r="1208">
      <c r="A1208" s="491" t="s">
        <v>2021</v>
      </c>
      <c r="B1208" s="491" t="s">
        <v>163</v>
      </c>
      <c r="C1208" s="491" t="s">
        <v>72</v>
      </c>
      <c r="D1208" s="491" t="s">
        <v>565</v>
      </c>
      <c r="E1208" s="492" t="s">
        <v>134</v>
      </c>
      <c r="F1208" s="493">
        <v>89572.0</v>
      </c>
      <c r="G1208" s="493">
        <v>7749.0</v>
      </c>
      <c r="H1208" s="493">
        <v>8.65</v>
      </c>
      <c r="I1208" s="493">
        <v>1.69</v>
      </c>
      <c r="J1208" s="493">
        <v>1.04</v>
      </c>
      <c r="K1208" s="493">
        <v>14233.0</v>
      </c>
      <c r="L1208" s="493">
        <v>840034.0</v>
      </c>
      <c r="M1208" s="493">
        <v>0.1589</v>
      </c>
      <c r="N1208" s="6">
        <v>1.8368</v>
      </c>
    </row>
    <row r="1209">
      <c r="A1209" s="491" t="s">
        <v>2021</v>
      </c>
      <c r="B1209" s="491" t="s">
        <v>163</v>
      </c>
      <c r="C1209" s="491" t="s">
        <v>72</v>
      </c>
      <c r="D1209" s="491" t="s">
        <v>565</v>
      </c>
      <c r="E1209" s="492" t="s">
        <v>43</v>
      </c>
      <c r="F1209" s="493">
        <v>89572.0</v>
      </c>
      <c r="G1209" s="493">
        <v>6167.0</v>
      </c>
      <c r="H1209" s="493">
        <v>6.88</v>
      </c>
      <c r="I1209" s="493">
        <v>0.81</v>
      </c>
      <c r="J1209" s="493">
        <v>0.96</v>
      </c>
      <c r="K1209" s="493">
        <v>6801.0</v>
      </c>
      <c r="L1209" s="493">
        <v>840034.0</v>
      </c>
      <c r="M1209" s="493">
        <v>0.0759</v>
      </c>
      <c r="N1209" s="6">
        <v>1.1028</v>
      </c>
    </row>
    <row r="1210">
      <c r="A1210" s="491" t="s">
        <v>2021</v>
      </c>
      <c r="B1210" s="491" t="s">
        <v>163</v>
      </c>
      <c r="C1210" s="491" t="s">
        <v>72</v>
      </c>
      <c r="D1210" s="491" t="s">
        <v>565</v>
      </c>
      <c r="E1210" s="492" t="s">
        <v>311</v>
      </c>
      <c r="F1210" s="493">
        <v>89572.0</v>
      </c>
      <c r="G1210" s="493">
        <v>4665.0</v>
      </c>
      <c r="H1210" s="493">
        <v>5.21</v>
      </c>
      <c r="I1210" s="493">
        <v>0.57</v>
      </c>
      <c r="J1210" s="493">
        <v>0.72</v>
      </c>
      <c r="K1210" s="493">
        <v>4789.0</v>
      </c>
      <c r="L1210" s="493">
        <v>840034.0</v>
      </c>
      <c r="M1210" s="493">
        <v>0.0535</v>
      </c>
      <c r="N1210" s="6">
        <v>1.0266</v>
      </c>
    </row>
    <row r="1211">
      <c r="A1211" s="491" t="s">
        <v>2021</v>
      </c>
      <c r="B1211" s="491" t="s">
        <v>163</v>
      </c>
      <c r="C1211" s="491" t="s">
        <v>72</v>
      </c>
      <c r="D1211" s="491" t="s">
        <v>565</v>
      </c>
      <c r="E1211" s="492" t="s">
        <v>369</v>
      </c>
      <c r="F1211" s="493">
        <v>89572.0</v>
      </c>
      <c r="G1211" s="493">
        <v>1052.0</v>
      </c>
      <c r="H1211" s="493">
        <v>1.17</v>
      </c>
      <c r="I1211" s="493">
        <v>0.14</v>
      </c>
      <c r="J1211" s="493">
        <v>0.09</v>
      </c>
      <c r="K1211" s="493">
        <v>1195.0</v>
      </c>
      <c r="L1211" s="493">
        <v>840034.0</v>
      </c>
      <c r="M1211" s="493">
        <v>0.0133</v>
      </c>
      <c r="N1211" s="6">
        <v>1.1359</v>
      </c>
    </row>
    <row r="1212">
      <c r="A1212" s="491" t="s">
        <v>2021</v>
      </c>
      <c r="B1212" s="491" t="s">
        <v>163</v>
      </c>
      <c r="C1212" s="491" t="s">
        <v>72</v>
      </c>
      <c r="D1212" s="491" t="s">
        <v>565</v>
      </c>
      <c r="E1212" s="492" t="s">
        <v>189</v>
      </c>
      <c r="F1212" s="493">
        <v>89572.0</v>
      </c>
      <c r="G1212" s="493">
        <v>130.0</v>
      </c>
      <c r="H1212" s="493">
        <v>0.15</v>
      </c>
      <c r="I1212" s="493">
        <v>0.02</v>
      </c>
      <c r="J1212" s="493">
        <v>0.01</v>
      </c>
      <c r="K1212" s="493">
        <v>134.0</v>
      </c>
      <c r="L1212" s="493">
        <v>840034.0</v>
      </c>
      <c r="M1212" s="493">
        <v>0.0015</v>
      </c>
      <c r="N1212" s="6">
        <v>1.0308</v>
      </c>
    </row>
    <row r="1213">
      <c r="A1213" s="491" t="s">
        <v>2021</v>
      </c>
      <c r="B1213" s="491" t="s">
        <v>163</v>
      </c>
      <c r="C1213" s="491" t="s">
        <v>1873</v>
      </c>
      <c r="D1213" s="491" t="s">
        <v>2018</v>
      </c>
      <c r="E1213" s="492" t="s">
        <v>369</v>
      </c>
      <c r="F1213" s="493">
        <v>37624.0</v>
      </c>
      <c r="G1213" s="493">
        <v>23078.0</v>
      </c>
      <c r="H1213" s="493">
        <v>61.34</v>
      </c>
      <c r="I1213" s="493">
        <v>28.5</v>
      </c>
      <c r="J1213" s="493">
        <v>38.63</v>
      </c>
      <c r="K1213" s="493">
        <v>303245.0</v>
      </c>
      <c r="L1213" s="493">
        <v>1064160.0</v>
      </c>
      <c r="M1213" s="493">
        <v>8.0599</v>
      </c>
      <c r="N1213" s="6">
        <v>13.14</v>
      </c>
    </row>
    <row r="1214">
      <c r="A1214" s="491" t="s">
        <v>2021</v>
      </c>
      <c r="B1214" s="491" t="s">
        <v>163</v>
      </c>
      <c r="C1214" s="491" t="s">
        <v>1873</v>
      </c>
      <c r="D1214" s="491" t="s">
        <v>2018</v>
      </c>
      <c r="E1214" s="492" t="s">
        <v>367</v>
      </c>
      <c r="F1214" s="493">
        <v>37624.0</v>
      </c>
      <c r="G1214" s="493">
        <v>9680.0</v>
      </c>
      <c r="H1214" s="493">
        <v>25.73</v>
      </c>
      <c r="I1214" s="493">
        <v>27.85</v>
      </c>
      <c r="J1214" s="493">
        <v>17.15</v>
      </c>
      <c r="K1214" s="493">
        <v>296400.0</v>
      </c>
      <c r="L1214" s="493">
        <v>1064160.0</v>
      </c>
      <c r="M1214" s="493">
        <v>7.878</v>
      </c>
      <c r="N1214" s="6">
        <v>30.6198</v>
      </c>
    </row>
    <row r="1215">
      <c r="A1215" s="491" t="s">
        <v>2021</v>
      </c>
      <c r="B1215" s="491" t="s">
        <v>163</v>
      </c>
      <c r="C1215" s="491" t="s">
        <v>1873</v>
      </c>
      <c r="D1215" s="491" t="s">
        <v>2018</v>
      </c>
      <c r="E1215" s="492" t="s">
        <v>134</v>
      </c>
      <c r="F1215" s="493">
        <v>37624.0</v>
      </c>
      <c r="G1215" s="493">
        <v>11899.0</v>
      </c>
      <c r="H1215" s="493">
        <v>31.63</v>
      </c>
      <c r="I1215" s="493">
        <v>26.51</v>
      </c>
      <c r="J1215" s="493">
        <v>22.8</v>
      </c>
      <c r="K1215" s="493">
        <v>282075.0</v>
      </c>
      <c r="L1215" s="493">
        <v>1064160.0</v>
      </c>
      <c r="M1215" s="493">
        <v>7.4972</v>
      </c>
      <c r="N1215" s="6">
        <v>23.7058</v>
      </c>
    </row>
    <row r="1216">
      <c r="A1216" s="491" t="s">
        <v>2021</v>
      </c>
      <c r="B1216" s="491" t="s">
        <v>163</v>
      </c>
      <c r="C1216" s="491" t="s">
        <v>1873</v>
      </c>
      <c r="D1216" s="491" t="s">
        <v>2018</v>
      </c>
      <c r="E1216" s="492" t="s">
        <v>189</v>
      </c>
      <c r="F1216" s="493">
        <v>37624.0</v>
      </c>
      <c r="G1216" s="493">
        <v>12819.0</v>
      </c>
      <c r="H1216" s="493">
        <v>34.07</v>
      </c>
      <c r="I1216" s="493">
        <v>12.64</v>
      </c>
      <c r="J1216" s="493">
        <v>17.44</v>
      </c>
      <c r="K1216" s="493">
        <v>134520.0</v>
      </c>
      <c r="L1216" s="493">
        <v>1064160.0</v>
      </c>
      <c r="M1216" s="493">
        <v>3.5754</v>
      </c>
      <c r="N1216" s="6">
        <v>10.4938</v>
      </c>
    </row>
    <row r="1217">
      <c r="A1217" s="491" t="s">
        <v>2021</v>
      </c>
      <c r="B1217" s="491" t="s">
        <v>163</v>
      </c>
      <c r="C1217" s="491" t="s">
        <v>1873</v>
      </c>
      <c r="D1217" s="491" t="s">
        <v>2018</v>
      </c>
      <c r="E1217" s="492" t="s">
        <v>35</v>
      </c>
      <c r="F1217" s="493">
        <v>37624.0</v>
      </c>
      <c r="G1217" s="493">
        <v>2065.0</v>
      </c>
      <c r="H1217" s="493">
        <v>5.49</v>
      </c>
      <c r="I1217" s="493">
        <v>3.08</v>
      </c>
      <c r="J1217" s="493">
        <v>2.56</v>
      </c>
      <c r="K1217" s="493">
        <v>32820.0</v>
      </c>
      <c r="L1217" s="493">
        <v>1064160.0</v>
      </c>
      <c r="M1217" s="493">
        <v>0.8723</v>
      </c>
      <c r="N1217" s="6">
        <v>15.8935</v>
      </c>
    </row>
    <row r="1218">
      <c r="A1218" s="491" t="s">
        <v>2021</v>
      </c>
      <c r="B1218" s="491" t="s">
        <v>163</v>
      </c>
      <c r="C1218" s="491" t="s">
        <v>1873</v>
      </c>
      <c r="D1218" s="491" t="s">
        <v>2018</v>
      </c>
      <c r="E1218" s="492" t="s">
        <v>370</v>
      </c>
      <c r="F1218" s="493">
        <v>37624.0</v>
      </c>
      <c r="G1218" s="493">
        <v>430.0</v>
      </c>
      <c r="H1218" s="493">
        <v>1.14</v>
      </c>
      <c r="I1218" s="493">
        <v>1.27</v>
      </c>
      <c r="J1218" s="493">
        <v>1.06</v>
      </c>
      <c r="K1218" s="493">
        <v>13465.0</v>
      </c>
      <c r="L1218" s="493">
        <v>1064160.0</v>
      </c>
      <c r="M1218" s="493">
        <v>0.3579</v>
      </c>
      <c r="N1218" s="6">
        <v>31.314</v>
      </c>
    </row>
    <row r="1219">
      <c r="A1219" s="491" t="s">
        <v>2021</v>
      </c>
      <c r="B1219" s="491" t="s">
        <v>163</v>
      </c>
      <c r="C1219" s="491" t="s">
        <v>1873</v>
      </c>
      <c r="D1219" s="491" t="s">
        <v>2018</v>
      </c>
      <c r="E1219" s="492" t="s">
        <v>372</v>
      </c>
      <c r="F1219" s="493">
        <v>37624.0</v>
      </c>
      <c r="G1219" s="493">
        <v>143.0</v>
      </c>
      <c r="H1219" s="493">
        <v>0.38</v>
      </c>
      <c r="I1219" s="493">
        <v>0.15</v>
      </c>
      <c r="J1219" s="493">
        <v>0.35</v>
      </c>
      <c r="K1219" s="493">
        <v>1560.0</v>
      </c>
      <c r="L1219" s="493">
        <v>1064160.0</v>
      </c>
      <c r="M1219" s="493">
        <v>0.0415</v>
      </c>
      <c r="N1219" s="6">
        <v>10.9091</v>
      </c>
    </row>
    <row r="1220">
      <c r="A1220" s="491" t="s">
        <v>2021</v>
      </c>
      <c r="B1220" s="491" t="s">
        <v>163</v>
      </c>
      <c r="C1220" s="491" t="s">
        <v>1873</v>
      </c>
      <c r="D1220" s="491" t="s">
        <v>2018</v>
      </c>
      <c r="E1220" s="492" t="s">
        <v>42</v>
      </c>
      <c r="F1220" s="493">
        <v>37624.0</v>
      </c>
      <c r="G1220" s="493">
        <v>2.0</v>
      </c>
      <c r="H1220" s="493">
        <v>0.01</v>
      </c>
      <c r="I1220" s="493">
        <v>0.01</v>
      </c>
      <c r="J1220" s="493">
        <v>0.0</v>
      </c>
      <c r="K1220" s="493">
        <v>60.0</v>
      </c>
      <c r="L1220" s="493">
        <v>1064160.0</v>
      </c>
      <c r="M1220" s="493">
        <v>0.0016</v>
      </c>
      <c r="N1220" s="6">
        <v>30.0</v>
      </c>
    </row>
    <row r="1221">
      <c r="A1221" s="491" t="s">
        <v>2021</v>
      </c>
      <c r="B1221" s="491" t="s">
        <v>163</v>
      </c>
      <c r="C1221" s="491" t="s">
        <v>1873</v>
      </c>
      <c r="D1221" s="491" t="s">
        <v>2018</v>
      </c>
      <c r="E1221" s="492" t="s">
        <v>46</v>
      </c>
      <c r="F1221" s="493">
        <v>37624.0</v>
      </c>
      <c r="G1221" s="493">
        <v>1.0</v>
      </c>
      <c r="H1221" s="493">
        <v>0.0</v>
      </c>
      <c r="I1221" s="493">
        <v>0.0</v>
      </c>
      <c r="J1221" s="493">
        <v>0.0</v>
      </c>
      <c r="K1221" s="493">
        <v>15.0</v>
      </c>
      <c r="L1221" s="493">
        <v>1064160.0</v>
      </c>
      <c r="M1221" s="493">
        <v>4.0E-4</v>
      </c>
      <c r="N1221" s="6">
        <v>15.0</v>
      </c>
    </row>
    <row r="1222">
      <c r="A1222" s="491" t="s">
        <v>2021</v>
      </c>
      <c r="B1222" s="491" t="s">
        <v>163</v>
      </c>
      <c r="C1222" s="491" t="s">
        <v>1874</v>
      </c>
      <c r="D1222" s="491" t="s">
        <v>2018</v>
      </c>
      <c r="E1222" s="492" t="s">
        <v>372</v>
      </c>
      <c r="F1222" s="493">
        <v>69105.0</v>
      </c>
      <c r="G1222" s="493">
        <v>39093.0</v>
      </c>
      <c r="H1222" s="493">
        <v>56.57</v>
      </c>
      <c r="I1222" s="493">
        <v>26.99</v>
      </c>
      <c r="J1222" s="493">
        <v>35.43</v>
      </c>
      <c r="K1222" s="493">
        <v>727500.0</v>
      </c>
      <c r="L1222" s="493">
        <v>2695405.0</v>
      </c>
      <c r="M1222" s="493">
        <v>10.5275</v>
      </c>
      <c r="N1222" s="6">
        <v>18.6095</v>
      </c>
    </row>
    <row r="1223">
      <c r="A1223" s="491" t="s">
        <v>2021</v>
      </c>
      <c r="B1223" s="491" t="s">
        <v>163</v>
      </c>
      <c r="C1223" s="491" t="s">
        <v>1874</v>
      </c>
      <c r="D1223" s="491" t="s">
        <v>2018</v>
      </c>
      <c r="E1223" s="492" t="s">
        <v>367</v>
      </c>
      <c r="F1223" s="493">
        <v>69105.0</v>
      </c>
      <c r="G1223" s="493">
        <v>10224.0</v>
      </c>
      <c r="H1223" s="493">
        <v>14.79</v>
      </c>
      <c r="I1223" s="493">
        <v>23.25</v>
      </c>
      <c r="J1223" s="493">
        <v>9.6</v>
      </c>
      <c r="K1223" s="493">
        <v>626700.0</v>
      </c>
      <c r="L1223" s="493">
        <v>2695405.0</v>
      </c>
      <c r="M1223" s="493">
        <v>9.0688</v>
      </c>
      <c r="N1223" s="6">
        <v>61.2969</v>
      </c>
    </row>
    <row r="1224">
      <c r="A1224" s="491" t="s">
        <v>2021</v>
      </c>
      <c r="B1224" s="491" t="s">
        <v>163</v>
      </c>
      <c r="C1224" s="491" t="s">
        <v>1874</v>
      </c>
      <c r="D1224" s="491" t="s">
        <v>2018</v>
      </c>
      <c r="E1224" s="492" t="s">
        <v>369</v>
      </c>
      <c r="F1224" s="493">
        <v>69105.0</v>
      </c>
      <c r="G1224" s="493">
        <v>37432.0</v>
      </c>
      <c r="H1224" s="493">
        <v>54.17</v>
      </c>
      <c r="I1224" s="493">
        <v>19.99</v>
      </c>
      <c r="J1224" s="493">
        <v>24.52</v>
      </c>
      <c r="K1224" s="493">
        <v>538680.0</v>
      </c>
      <c r="L1224" s="493">
        <v>2695405.0</v>
      </c>
      <c r="M1224" s="493">
        <v>7.7951</v>
      </c>
      <c r="N1224" s="6">
        <v>14.3909</v>
      </c>
    </row>
    <row r="1225">
      <c r="A1225" s="491" t="s">
        <v>2021</v>
      </c>
      <c r="B1225" s="491" t="s">
        <v>163</v>
      </c>
      <c r="C1225" s="491" t="s">
        <v>1874</v>
      </c>
      <c r="D1225" s="491" t="s">
        <v>2018</v>
      </c>
      <c r="E1225" s="492" t="s">
        <v>134</v>
      </c>
      <c r="F1225" s="493">
        <v>69105.0</v>
      </c>
      <c r="G1225" s="493">
        <v>15612.0</v>
      </c>
      <c r="H1225" s="493">
        <v>22.59</v>
      </c>
      <c r="I1225" s="493">
        <v>11.36</v>
      </c>
      <c r="J1225" s="493">
        <v>10.28</v>
      </c>
      <c r="K1225" s="493">
        <v>306095.0</v>
      </c>
      <c r="L1225" s="493">
        <v>2695405.0</v>
      </c>
      <c r="M1225" s="493">
        <v>4.4294</v>
      </c>
      <c r="N1225" s="6">
        <v>19.6064</v>
      </c>
    </row>
    <row r="1226">
      <c r="A1226" s="491" t="s">
        <v>2021</v>
      </c>
      <c r="B1226" s="491" t="s">
        <v>163</v>
      </c>
      <c r="C1226" s="491" t="s">
        <v>1874</v>
      </c>
      <c r="D1226" s="491" t="s">
        <v>2018</v>
      </c>
      <c r="E1226" s="492" t="s">
        <v>189</v>
      </c>
      <c r="F1226" s="493">
        <v>69105.0</v>
      </c>
      <c r="G1226" s="493">
        <v>19184.0</v>
      </c>
      <c r="H1226" s="493">
        <v>27.76</v>
      </c>
      <c r="I1226" s="493">
        <v>7.67</v>
      </c>
      <c r="J1226" s="493">
        <v>10.38</v>
      </c>
      <c r="K1226" s="493">
        <v>206635.0</v>
      </c>
      <c r="L1226" s="493">
        <v>2695405.0</v>
      </c>
      <c r="M1226" s="493">
        <v>2.9902</v>
      </c>
      <c r="N1226" s="6">
        <v>10.7712</v>
      </c>
    </row>
    <row r="1227">
      <c r="A1227" s="491" t="s">
        <v>2021</v>
      </c>
      <c r="B1227" s="491" t="s">
        <v>163</v>
      </c>
      <c r="C1227" s="491" t="s">
        <v>1874</v>
      </c>
      <c r="D1227" s="491" t="s">
        <v>2018</v>
      </c>
      <c r="E1227" s="492" t="s">
        <v>44</v>
      </c>
      <c r="F1227" s="493">
        <v>69105.0</v>
      </c>
      <c r="G1227" s="493">
        <v>11762.0</v>
      </c>
      <c r="H1227" s="493">
        <v>17.02</v>
      </c>
      <c r="I1227" s="493">
        <v>5.67</v>
      </c>
      <c r="J1227" s="493">
        <v>5.45</v>
      </c>
      <c r="K1227" s="493">
        <v>152700.0</v>
      </c>
      <c r="L1227" s="493">
        <v>2695405.0</v>
      </c>
      <c r="M1227" s="493">
        <v>2.2097</v>
      </c>
      <c r="N1227" s="6">
        <v>12.9825</v>
      </c>
    </row>
    <row r="1228">
      <c r="A1228" s="491" t="s">
        <v>2021</v>
      </c>
      <c r="B1228" s="491" t="s">
        <v>163</v>
      </c>
      <c r="C1228" s="491" t="s">
        <v>1874</v>
      </c>
      <c r="D1228" s="491" t="s">
        <v>2018</v>
      </c>
      <c r="E1228" s="492" t="s">
        <v>35</v>
      </c>
      <c r="F1228" s="493">
        <v>69105.0</v>
      </c>
      <c r="G1228" s="493">
        <v>7446.0</v>
      </c>
      <c r="H1228" s="493">
        <v>10.77</v>
      </c>
      <c r="I1228" s="493">
        <v>4.58</v>
      </c>
      <c r="J1228" s="493">
        <v>3.89</v>
      </c>
      <c r="K1228" s="493">
        <v>123540.0</v>
      </c>
      <c r="L1228" s="493">
        <v>2695405.0</v>
      </c>
      <c r="M1228" s="493">
        <v>1.7877</v>
      </c>
      <c r="N1228" s="6">
        <v>16.5915</v>
      </c>
    </row>
    <row r="1229">
      <c r="A1229" s="491" t="s">
        <v>2021</v>
      </c>
      <c r="B1229" s="491" t="s">
        <v>163</v>
      </c>
      <c r="C1229" s="491" t="s">
        <v>1874</v>
      </c>
      <c r="D1229" s="491" t="s">
        <v>2018</v>
      </c>
      <c r="E1229" s="492" t="s">
        <v>370</v>
      </c>
      <c r="F1229" s="493">
        <v>69105.0</v>
      </c>
      <c r="G1229" s="493">
        <v>439.0</v>
      </c>
      <c r="H1229" s="493">
        <v>0.64</v>
      </c>
      <c r="I1229" s="493">
        <v>0.5</v>
      </c>
      <c r="J1229" s="493">
        <v>0.44</v>
      </c>
      <c r="K1229" s="493">
        <v>13485.0</v>
      </c>
      <c r="L1229" s="493">
        <v>2695405.0</v>
      </c>
      <c r="M1229" s="493">
        <v>0.1951</v>
      </c>
      <c r="N1229" s="6">
        <v>30.7175</v>
      </c>
    </row>
    <row r="1230">
      <c r="A1230" s="491" t="s">
        <v>2021</v>
      </c>
      <c r="B1230" s="491" t="s">
        <v>163</v>
      </c>
      <c r="C1230" s="491" t="s">
        <v>1874</v>
      </c>
      <c r="D1230" s="491" t="s">
        <v>2018</v>
      </c>
      <c r="E1230" s="492" t="s">
        <v>42</v>
      </c>
      <c r="F1230" s="493">
        <v>69105.0</v>
      </c>
      <c r="G1230" s="493">
        <v>1.0</v>
      </c>
      <c r="H1230" s="493">
        <v>0.0</v>
      </c>
      <c r="I1230" s="493">
        <v>0.0</v>
      </c>
      <c r="J1230" s="493">
        <v>0.0</v>
      </c>
      <c r="K1230" s="493">
        <v>15.0</v>
      </c>
      <c r="L1230" s="493">
        <v>2695405.0</v>
      </c>
      <c r="M1230" s="493">
        <v>2.0E-4</v>
      </c>
      <c r="N1230" s="6">
        <v>15.0</v>
      </c>
    </row>
    <row r="1231">
      <c r="A1231" s="491" t="s">
        <v>2021</v>
      </c>
      <c r="B1231" s="491" t="s">
        <v>163</v>
      </c>
      <c r="C1231" s="491" t="s">
        <v>1874</v>
      </c>
      <c r="D1231" s="491" t="s">
        <v>2018</v>
      </c>
      <c r="E1231" s="492" t="s">
        <v>40</v>
      </c>
      <c r="F1231" s="493">
        <v>69105.0</v>
      </c>
      <c r="G1231" s="493">
        <v>1.0</v>
      </c>
      <c r="H1231" s="493">
        <v>0.0</v>
      </c>
      <c r="I1231" s="493">
        <v>0.0</v>
      </c>
      <c r="J1231" s="493">
        <v>0.0</v>
      </c>
      <c r="K1231" s="493">
        <v>15.0</v>
      </c>
      <c r="L1231" s="493">
        <v>2695405.0</v>
      </c>
      <c r="M1231" s="493">
        <v>2.0E-4</v>
      </c>
      <c r="N1231" s="6">
        <v>15.0</v>
      </c>
    </row>
    <row r="1232">
      <c r="A1232" s="491" t="s">
        <v>2021</v>
      </c>
      <c r="B1232" s="491" t="s">
        <v>163</v>
      </c>
      <c r="C1232" s="491" t="s">
        <v>1874</v>
      </c>
      <c r="D1232" s="491" t="s">
        <v>2018</v>
      </c>
      <c r="E1232" s="492" t="s">
        <v>368</v>
      </c>
      <c r="F1232" s="493">
        <v>69105.0</v>
      </c>
      <c r="G1232" s="493">
        <v>4.0</v>
      </c>
      <c r="H1232" s="493">
        <v>0.01</v>
      </c>
      <c r="I1232" s="493">
        <v>0.0</v>
      </c>
      <c r="J1232" s="493">
        <v>0.0</v>
      </c>
      <c r="K1232" s="493">
        <v>40.0</v>
      </c>
      <c r="L1232" s="493">
        <v>2695405.0</v>
      </c>
      <c r="M1232" s="493">
        <v>6.0E-4</v>
      </c>
      <c r="N1232" s="6">
        <v>10.0</v>
      </c>
    </row>
    <row r="1233">
      <c r="A1233" s="491" t="s">
        <v>2021</v>
      </c>
      <c r="B1233" s="491" t="s">
        <v>163</v>
      </c>
      <c r="C1233" s="491" t="s">
        <v>1875</v>
      </c>
      <c r="D1233" s="491" t="s">
        <v>2018</v>
      </c>
      <c r="E1233" s="492" t="s">
        <v>372</v>
      </c>
      <c r="F1233" s="493">
        <v>78320.0</v>
      </c>
      <c r="G1233" s="493">
        <v>56430.0</v>
      </c>
      <c r="H1233" s="493">
        <v>72.05</v>
      </c>
      <c r="I1233" s="493">
        <v>33.72</v>
      </c>
      <c r="J1233" s="493">
        <v>43.29</v>
      </c>
      <c r="K1233" s="493">
        <v>1294505.0</v>
      </c>
      <c r="L1233" s="493">
        <v>3838430.0</v>
      </c>
      <c r="M1233" s="493">
        <v>16.5284</v>
      </c>
      <c r="N1233" s="6">
        <v>22.94</v>
      </c>
    </row>
    <row r="1234">
      <c r="A1234" s="491" t="s">
        <v>2021</v>
      </c>
      <c r="B1234" s="491" t="s">
        <v>163</v>
      </c>
      <c r="C1234" s="491" t="s">
        <v>1875</v>
      </c>
      <c r="D1234" s="491" t="s">
        <v>2018</v>
      </c>
      <c r="E1234" s="492" t="s">
        <v>369</v>
      </c>
      <c r="F1234" s="493">
        <v>78320.0</v>
      </c>
      <c r="G1234" s="493">
        <v>41185.0</v>
      </c>
      <c r="H1234" s="493">
        <v>52.59</v>
      </c>
      <c r="I1234" s="493">
        <v>19.38</v>
      </c>
      <c r="J1234" s="493">
        <v>20.75</v>
      </c>
      <c r="K1234" s="493">
        <v>743750.0</v>
      </c>
      <c r="L1234" s="493">
        <v>3838430.0</v>
      </c>
      <c r="M1234" s="493">
        <v>9.4963</v>
      </c>
      <c r="N1234" s="6">
        <v>18.0588</v>
      </c>
    </row>
    <row r="1235">
      <c r="A1235" s="491" t="s">
        <v>2021</v>
      </c>
      <c r="B1235" s="491" t="s">
        <v>163</v>
      </c>
      <c r="C1235" s="491" t="s">
        <v>1875</v>
      </c>
      <c r="D1235" s="491" t="s">
        <v>2018</v>
      </c>
      <c r="E1235" s="492" t="s">
        <v>367</v>
      </c>
      <c r="F1235" s="493">
        <v>78320.0</v>
      </c>
      <c r="G1235" s="493">
        <v>10337.0</v>
      </c>
      <c r="H1235" s="493">
        <v>13.2</v>
      </c>
      <c r="I1235" s="493">
        <v>16.47</v>
      </c>
      <c r="J1235" s="493">
        <v>7.28</v>
      </c>
      <c r="K1235" s="493">
        <v>632310.0</v>
      </c>
      <c r="L1235" s="493">
        <v>3838430.0</v>
      </c>
      <c r="M1235" s="493">
        <v>8.0734</v>
      </c>
      <c r="N1235" s="6">
        <v>61.1696</v>
      </c>
    </row>
    <row r="1236">
      <c r="A1236" s="491" t="s">
        <v>2021</v>
      </c>
      <c r="B1236" s="491" t="s">
        <v>163</v>
      </c>
      <c r="C1236" s="491" t="s">
        <v>1875</v>
      </c>
      <c r="D1236" s="491" t="s">
        <v>2018</v>
      </c>
      <c r="E1236" s="492" t="s">
        <v>44</v>
      </c>
      <c r="F1236" s="493">
        <v>78320.0</v>
      </c>
      <c r="G1236" s="493">
        <v>24782.0</v>
      </c>
      <c r="H1236" s="493">
        <v>31.64</v>
      </c>
      <c r="I1236" s="493">
        <v>9.68</v>
      </c>
      <c r="J1236" s="493">
        <v>9.17</v>
      </c>
      <c r="K1236" s="493">
        <v>371420.0</v>
      </c>
      <c r="L1236" s="493">
        <v>3838430.0</v>
      </c>
      <c r="M1236" s="493">
        <v>4.7423</v>
      </c>
      <c r="N1236" s="6">
        <v>14.9875</v>
      </c>
    </row>
    <row r="1237">
      <c r="A1237" s="491" t="s">
        <v>2021</v>
      </c>
      <c r="B1237" s="491" t="s">
        <v>163</v>
      </c>
      <c r="C1237" s="491" t="s">
        <v>1875</v>
      </c>
      <c r="D1237" s="491" t="s">
        <v>2018</v>
      </c>
      <c r="E1237" s="492" t="s">
        <v>134</v>
      </c>
      <c r="F1237" s="493">
        <v>78320.0</v>
      </c>
      <c r="G1237" s="493">
        <v>12013.0</v>
      </c>
      <c r="H1237" s="493">
        <v>15.34</v>
      </c>
      <c r="I1237" s="493">
        <v>7.65</v>
      </c>
      <c r="J1237" s="493">
        <v>5.58</v>
      </c>
      <c r="K1237" s="493">
        <v>293650.0</v>
      </c>
      <c r="L1237" s="493">
        <v>3838430.0</v>
      </c>
      <c r="M1237" s="493">
        <v>3.7494</v>
      </c>
      <c r="N1237" s="6">
        <v>24.4444</v>
      </c>
    </row>
    <row r="1238">
      <c r="A1238" s="491" t="s">
        <v>2021</v>
      </c>
      <c r="B1238" s="491" t="s">
        <v>163</v>
      </c>
      <c r="C1238" s="491" t="s">
        <v>1875</v>
      </c>
      <c r="D1238" s="491" t="s">
        <v>2018</v>
      </c>
      <c r="E1238" s="492" t="s">
        <v>189</v>
      </c>
      <c r="F1238" s="493">
        <v>78320.0</v>
      </c>
      <c r="G1238" s="493">
        <v>21120.0</v>
      </c>
      <c r="H1238" s="493">
        <v>26.97</v>
      </c>
      <c r="I1238" s="493">
        <v>7.03</v>
      </c>
      <c r="J1238" s="493">
        <v>8.32</v>
      </c>
      <c r="K1238" s="493">
        <v>269720.0</v>
      </c>
      <c r="L1238" s="493">
        <v>3838430.0</v>
      </c>
      <c r="M1238" s="493">
        <v>3.4438</v>
      </c>
      <c r="N1238" s="6">
        <v>12.7708</v>
      </c>
    </row>
    <row r="1239">
      <c r="A1239" s="491" t="s">
        <v>2021</v>
      </c>
      <c r="B1239" s="491" t="s">
        <v>163</v>
      </c>
      <c r="C1239" s="491" t="s">
        <v>1875</v>
      </c>
      <c r="D1239" s="491" t="s">
        <v>2018</v>
      </c>
      <c r="E1239" s="492" t="s">
        <v>35</v>
      </c>
      <c r="F1239" s="493">
        <v>78320.0</v>
      </c>
      <c r="G1239" s="493">
        <v>13185.0</v>
      </c>
      <c r="H1239" s="493">
        <v>16.83</v>
      </c>
      <c r="I1239" s="493">
        <v>5.69</v>
      </c>
      <c r="J1239" s="493">
        <v>5.2</v>
      </c>
      <c r="K1239" s="493">
        <v>218250.0</v>
      </c>
      <c r="L1239" s="493">
        <v>3838430.0</v>
      </c>
      <c r="M1239" s="493">
        <v>2.7866</v>
      </c>
      <c r="N1239" s="6">
        <v>16.5529</v>
      </c>
    </row>
    <row r="1240">
      <c r="A1240" s="491" t="s">
        <v>2021</v>
      </c>
      <c r="B1240" s="491" t="s">
        <v>163</v>
      </c>
      <c r="C1240" s="491" t="s">
        <v>1875</v>
      </c>
      <c r="D1240" s="491" t="s">
        <v>2018</v>
      </c>
      <c r="E1240" s="492" t="s">
        <v>370</v>
      </c>
      <c r="F1240" s="493">
        <v>78320.0</v>
      </c>
      <c r="G1240" s="493">
        <v>516.0</v>
      </c>
      <c r="H1240" s="493">
        <v>0.66</v>
      </c>
      <c r="I1240" s="493">
        <v>0.38</v>
      </c>
      <c r="J1240" s="493">
        <v>0.39</v>
      </c>
      <c r="K1240" s="493">
        <v>14675.0</v>
      </c>
      <c r="L1240" s="493">
        <v>3838430.0</v>
      </c>
      <c r="M1240" s="493">
        <v>0.1874</v>
      </c>
      <c r="N1240" s="6">
        <v>28.4399</v>
      </c>
    </row>
    <row r="1241">
      <c r="A1241" s="491" t="s">
        <v>2021</v>
      </c>
      <c r="B1241" s="491" t="s">
        <v>163</v>
      </c>
      <c r="C1241" s="491" t="s">
        <v>1875</v>
      </c>
      <c r="D1241" s="491" t="s">
        <v>2018</v>
      </c>
      <c r="E1241" s="492" t="s">
        <v>373</v>
      </c>
      <c r="F1241" s="493">
        <v>78320.0</v>
      </c>
      <c r="G1241" s="493">
        <v>6.0</v>
      </c>
      <c r="H1241" s="493">
        <v>0.01</v>
      </c>
      <c r="I1241" s="493">
        <v>0.0</v>
      </c>
      <c r="J1241" s="493">
        <v>0.0</v>
      </c>
      <c r="K1241" s="493">
        <v>80.0</v>
      </c>
      <c r="L1241" s="493">
        <v>3838430.0</v>
      </c>
      <c r="M1241" s="493">
        <v>0.001</v>
      </c>
      <c r="N1241" s="6">
        <v>13.3333</v>
      </c>
    </row>
    <row r="1242">
      <c r="A1242" s="491" t="s">
        <v>2021</v>
      </c>
      <c r="B1242" s="491" t="s">
        <v>163</v>
      </c>
      <c r="C1242" s="491" t="s">
        <v>1875</v>
      </c>
      <c r="D1242" s="491" t="s">
        <v>2018</v>
      </c>
      <c r="E1242" s="492" t="s">
        <v>40</v>
      </c>
      <c r="F1242" s="493">
        <v>78320.0</v>
      </c>
      <c r="G1242" s="493">
        <v>1.0</v>
      </c>
      <c r="H1242" s="493">
        <v>0.0</v>
      </c>
      <c r="I1242" s="493">
        <v>0.0</v>
      </c>
      <c r="J1242" s="493">
        <v>0.0</v>
      </c>
      <c r="K1242" s="493">
        <v>15.0</v>
      </c>
      <c r="L1242" s="493">
        <v>3838430.0</v>
      </c>
      <c r="M1242" s="493">
        <v>2.0E-4</v>
      </c>
      <c r="N1242" s="6">
        <v>15.0</v>
      </c>
    </row>
    <row r="1243">
      <c r="A1243" s="491" t="s">
        <v>2021</v>
      </c>
      <c r="B1243" s="491" t="s">
        <v>163</v>
      </c>
      <c r="C1243" s="491" t="s">
        <v>1875</v>
      </c>
      <c r="D1243" s="491" t="s">
        <v>2018</v>
      </c>
      <c r="E1243" s="492" t="s">
        <v>42</v>
      </c>
      <c r="F1243" s="493">
        <v>78320.0</v>
      </c>
      <c r="G1243" s="493">
        <v>2.0</v>
      </c>
      <c r="H1243" s="493">
        <v>0.0</v>
      </c>
      <c r="I1243" s="493">
        <v>0.0</v>
      </c>
      <c r="J1243" s="493">
        <v>0.0</v>
      </c>
      <c r="K1243" s="493">
        <v>30.0</v>
      </c>
      <c r="L1243" s="493">
        <v>3838430.0</v>
      </c>
      <c r="M1243" s="493">
        <v>4.0E-4</v>
      </c>
      <c r="N1243" s="6">
        <v>15.0</v>
      </c>
    </row>
    <row r="1244">
      <c r="A1244" s="491" t="s">
        <v>2021</v>
      </c>
      <c r="B1244" s="491" t="s">
        <v>163</v>
      </c>
      <c r="C1244" s="491" t="s">
        <v>1875</v>
      </c>
      <c r="D1244" s="491" t="s">
        <v>2018</v>
      </c>
      <c r="E1244" s="492" t="s">
        <v>368</v>
      </c>
      <c r="F1244" s="493">
        <v>78320.0</v>
      </c>
      <c r="G1244" s="493">
        <v>1.0</v>
      </c>
      <c r="H1244" s="493">
        <v>0.0</v>
      </c>
      <c r="I1244" s="493">
        <v>0.0</v>
      </c>
      <c r="J1244" s="493">
        <v>0.0</v>
      </c>
      <c r="K1244" s="493">
        <v>10.0</v>
      </c>
      <c r="L1244" s="493">
        <v>3838430.0</v>
      </c>
      <c r="M1244" s="493">
        <v>1.0E-4</v>
      </c>
      <c r="N1244" s="6">
        <v>10.0</v>
      </c>
    </row>
    <row r="1245">
      <c r="A1245" s="491" t="s">
        <v>2021</v>
      </c>
      <c r="B1245" s="491" t="s">
        <v>163</v>
      </c>
      <c r="C1245" s="491" t="s">
        <v>1875</v>
      </c>
      <c r="D1245" s="491" t="s">
        <v>2018</v>
      </c>
      <c r="E1245" s="492" t="s">
        <v>371</v>
      </c>
      <c r="F1245" s="493">
        <v>78320.0</v>
      </c>
      <c r="G1245" s="493">
        <v>1.0</v>
      </c>
      <c r="H1245" s="493">
        <v>0.0</v>
      </c>
      <c r="I1245" s="493">
        <v>0.0</v>
      </c>
      <c r="J1245" s="493">
        <v>0.0</v>
      </c>
      <c r="K1245" s="493">
        <v>15.0</v>
      </c>
      <c r="L1245" s="493">
        <v>3838430.0</v>
      </c>
      <c r="M1245" s="493">
        <v>2.0E-4</v>
      </c>
      <c r="N1245" s="6">
        <v>15.0</v>
      </c>
    </row>
    <row r="1246">
      <c r="A1246" s="491" t="s">
        <v>2021</v>
      </c>
      <c r="B1246" s="491" t="s">
        <v>163</v>
      </c>
      <c r="C1246" s="491" t="s">
        <v>75</v>
      </c>
      <c r="D1246" s="491" t="s">
        <v>2018</v>
      </c>
      <c r="E1246" s="492" t="s">
        <v>371</v>
      </c>
      <c r="F1246" s="493">
        <v>99102.0</v>
      </c>
      <c r="G1246" s="493">
        <v>95829.0</v>
      </c>
      <c r="H1246" s="493">
        <v>96.7</v>
      </c>
      <c r="I1246" s="493">
        <v>34.61</v>
      </c>
      <c r="J1246" s="493">
        <v>32.75</v>
      </c>
      <c r="K1246" s="493">
        <v>2.819257E7</v>
      </c>
      <c r="L1246" s="493">
        <v>8.145715E7</v>
      </c>
      <c r="M1246" s="493">
        <v>284.4803</v>
      </c>
      <c r="N1246" s="6">
        <v>294.1966</v>
      </c>
    </row>
    <row r="1247">
      <c r="A1247" s="491" t="s">
        <v>2021</v>
      </c>
      <c r="B1247" s="491" t="s">
        <v>163</v>
      </c>
      <c r="C1247" s="491" t="s">
        <v>75</v>
      </c>
      <c r="D1247" s="491" t="s">
        <v>2018</v>
      </c>
      <c r="E1247" s="492" t="s">
        <v>49</v>
      </c>
      <c r="F1247" s="493">
        <v>99102.0</v>
      </c>
      <c r="G1247" s="493">
        <v>65784.0</v>
      </c>
      <c r="H1247" s="493">
        <v>66.38</v>
      </c>
      <c r="I1247" s="493">
        <v>15.78</v>
      </c>
      <c r="J1247" s="493">
        <v>15.18</v>
      </c>
      <c r="K1247" s="493">
        <v>1.284998E7</v>
      </c>
      <c r="L1247" s="493">
        <v>8.145715E7</v>
      </c>
      <c r="M1247" s="493">
        <v>129.6642</v>
      </c>
      <c r="N1247" s="6">
        <v>195.3359</v>
      </c>
    </row>
    <row r="1248">
      <c r="A1248" s="491" t="s">
        <v>2021</v>
      </c>
      <c r="B1248" s="491" t="s">
        <v>163</v>
      </c>
      <c r="C1248" s="491" t="s">
        <v>75</v>
      </c>
      <c r="D1248" s="491" t="s">
        <v>2018</v>
      </c>
      <c r="E1248" s="492" t="s">
        <v>367</v>
      </c>
      <c r="F1248" s="493">
        <v>99102.0</v>
      </c>
      <c r="G1248" s="493">
        <v>73162.0</v>
      </c>
      <c r="H1248" s="493">
        <v>73.82</v>
      </c>
      <c r="I1248" s="493">
        <v>10.88</v>
      </c>
      <c r="J1248" s="493">
        <v>10.09</v>
      </c>
      <c r="K1248" s="493">
        <v>8860590.0</v>
      </c>
      <c r="L1248" s="493">
        <v>8.145715E7</v>
      </c>
      <c r="M1248" s="493">
        <v>89.4088</v>
      </c>
      <c r="N1248" s="6">
        <v>121.1092</v>
      </c>
    </row>
    <row r="1249">
      <c r="A1249" s="491" t="s">
        <v>2021</v>
      </c>
      <c r="B1249" s="491" t="s">
        <v>163</v>
      </c>
      <c r="C1249" s="491" t="s">
        <v>75</v>
      </c>
      <c r="D1249" s="491" t="s">
        <v>2018</v>
      </c>
      <c r="E1249" s="492" t="s">
        <v>44</v>
      </c>
      <c r="F1249" s="493">
        <v>99102.0</v>
      </c>
      <c r="G1249" s="493">
        <v>58197.0</v>
      </c>
      <c r="H1249" s="493">
        <v>58.72</v>
      </c>
      <c r="I1249" s="493">
        <v>8.88</v>
      </c>
      <c r="J1249" s="493">
        <v>9.68</v>
      </c>
      <c r="K1249" s="493">
        <v>7233900.0</v>
      </c>
      <c r="L1249" s="493">
        <v>8.145715E7</v>
      </c>
      <c r="M1249" s="493">
        <v>72.9945</v>
      </c>
      <c r="N1249" s="6">
        <v>124.3002</v>
      </c>
    </row>
    <row r="1250">
      <c r="A1250" s="491" t="s">
        <v>2021</v>
      </c>
      <c r="B1250" s="491" t="s">
        <v>163</v>
      </c>
      <c r="C1250" s="491" t="s">
        <v>75</v>
      </c>
      <c r="D1250" s="491" t="s">
        <v>2018</v>
      </c>
      <c r="E1250" s="492" t="s">
        <v>372</v>
      </c>
      <c r="F1250" s="493">
        <v>99102.0</v>
      </c>
      <c r="G1250" s="493">
        <v>59709.0</v>
      </c>
      <c r="H1250" s="493">
        <v>60.25</v>
      </c>
      <c r="I1250" s="493">
        <v>8.26</v>
      </c>
      <c r="J1250" s="493">
        <v>10.97</v>
      </c>
      <c r="K1250" s="493">
        <v>6729920.0</v>
      </c>
      <c r="L1250" s="493">
        <v>8.145715E7</v>
      </c>
      <c r="M1250" s="493">
        <v>67.909</v>
      </c>
      <c r="N1250" s="6">
        <v>112.712</v>
      </c>
    </row>
    <row r="1251">
      <c r="A1251" s="491" t="s">
        <v>2021</v>
      </c>
      <c r="B1251" s="491" t="s">
        <v>163</v>
      </c>
      <c r="C1251" s="491" t="s">
        <v>75</v>
      </c>
      <c r="D1251" s="491" t="s">
        <v>2018</v>
      </c>
      <c r="E1251" s="492" t="s">
        <v>366</v>
      </c>
      <c r="F1251" s="493">
        <v>99102.0</v>
      </c>
      <c r="G1251" s="493">
        <v>57252.0</v>
      </c>
      <c r="H1251" s="493">
        <v>57.77</v>
      </c>
      <c r="I1251" s="493">
        <v>6.17</v>
      </c>
      <c r="J1251" s="493">
        <v>6.67</v>
      </c>
      <c r="K1251" s="493">
        <v>5028870.0</v>
      </c>
      <c r="L1251" s="493">
        <v>8.145715E7</v>
      </c>
      <c r="M1251" s="493">
        <v>50.7444</v>
      </c>
      <c r="N1251" s="6">
        <v>87.8375</v>
      </c>
    </row>
    <row r="1252">
      <c r="A1252" s="491" t="s">
        <v>2021</v>
      </c>
      <c r="B1252" s="491" t="s">
        <v>163</v>
      </c>
      <c r="C1252" s="491" t="s">
        <v>75</v>
      </c>
      <c r="D1252" s="491" t="s">
        <v>2018</v>
      </c>
      <c r="E1252" s="492" t="s">
        <v>368</v>
      </c>
      <c r="F1252" s="493">
        <v>99102.0</v>
      </c>
      <c r="G1252" s="493">
        <v>42533.0</v>
      </c>
      <c r="H1252" s="493">
        <v>42.92</v>
      </c>
      <c r="I1252" s="493">
        <v>4.36</v>
      </c>
      <c r="J1252" s="493">
        <v>4.19</v>
      </c>
      <c r="K1252" s="493">
        <v>3553000.0</v>
      </c>
      <c r="L1252" s="493">
        <v>8.145715E7</v>
      </c>
      <c r="M1252" s="493">
        <v>35.852</v>
      </c>
      <c r="N1252" s="6">
        <v>83.5351</v>
      </c>
    </row>
    <row r="1253">
      <c r="A1253" s="491" t="s">
        <v>2021</v>
      </c>
      <c r="B1253" s="491" t="s">
        <v>163</v>
      </c>
      <c r="C1253" s="491" t="s">
        <v>75</v>
      </c>
      <c r="D1253" s="491" t="s">
        <v>2018</v>
      </c>
      <c r="E1253" s="492" t="s">
        <v>369</v>
      </c>
      <c r="F1253" s="493">
        <v>99102.0</v>
      </c>
      <c r="G1253" s="493">
        <v>34740.0</v>
      </c>
      <c r="H1253" s="493">
        <v>35.05</v>
      </c>
      <c r="I1253" s="493">
        <v>3.36</v>
      </c>
      <c r="J1253" s="493">
        <v>2.77</v>
      </c>
      <c r="K1253" s="493">
        <v>2739870.0</v>
      </c>
      <c r="L1253" s="493">
        <v>8.145715E7</v>
      </c>
      <c r="M1253" s="493">
        <v>27.647</v>
      </c>
      <c r="N1253" s="6">
        <v>78.8679</v>
      </c>
    </row>
    <row r="1254">
      <c r="A1254" s="491" t="s">
        <v>2021</v>
      </c>
      <c r="B1254" s="491" t="s">
        <v>163</v>
      </c>
      <c r="C1254" s="491" t="s">
        <v>75</v>
      </c>
      <c r="D1254" s="491" t="s">
        <v>2018</v>
      </c>
      <c r="E1254" s="492" t="s">
        <v>35</v>
      </c>
      <c r="F1254" s="493">
        <v>99102.0</v>
      </c>
      <c r="G1254" s="493">
        <v>22983.0</v>
      </c>
      <c r="H1254" s="493">
        <v>23.19</v>
      </c>
      <c r="I1254" s="493">
        <v>1.77</v>
      </c>
      <c r="J1254" s="493">
        <v>1.59</v>
      </c>
      <c r="K1254" s="493">
        <v>1445640.0</v>
      </c>
      <c r="L1254" s="493">
        <v>8.145715E7</v>
      </c>
      <c r="M1254" s="493">
        <v>14.5874</v>
      </c>
      <c r="N1254" s="6">
        <v>62.9004</v>
      </c>
    </row>
    <row r="1255">
      <c r="A1255" s="491" t="s">
        <v>2021</v>
      </c>
      <c r="B1255" s="491" t="s">
        <v>163</v>
      </c>
      <c r="C1255" s="491" t="s">
        <v>75</v>
      </c>
      <c r="D1255" s="491" t="s">
        <v>2018</v>
      </c>
      <c r="E1255" s="492" t="s">
        <v>32</v>
      </c>
      <c r="F1255" s="493">
        <v>99102.0</v>
      </c>
      <c r="G1255" s="493">
        <v>28225.0</v>
      </c>
      <c r="H1255" s="493">
        <v>28.48</v>
      </c>
      <c r="I1255" s="493">
        <v>1.54</v>
      </c>
      <c r="J1255" s="493">
        <v>1.61</v>
      </c>
      <c r="K1255" s="493">
        <v>1252760.0</v>
      </c>
      <c r="L1255" s="493">
        <v>8.145715E7</v>
      </c>
      <c r="M1255" s="493">
        <v>12.6411</v>
      </c>
      <c r="N1255" s="6">
        <v>44.3848</v>
      </c>
    </row>
    <row r="1256">
      <c r="A1256" s="491" t="s">
        <v>2021</v>
      </c>
      <c r="B1256" s="491" t="s">
        <v>163</v>
      </c>
      <c r="C1256" s="491" t="s">
        <v>75</v>
      </c>
      <c r="D1256" s="491" t="s">
        <v>2018</v>
      </c>
      <c r="E1256" s="492" t="s">
        <v>43</v>
      </c>
      <c r="F1256" s="493">
        <v>99102.0</v>
      </c>
      <c r="G1256" s="493">
        <v>26792.0</v>
      </c>
      <c r="H1256" s="493">
        <v>27.03</v>
      </c>
      <c r="I1256" s="493">
        <v>1.22</v>
      </c>
      <c r="J1256" s="493">
        <v>1.5</v>
      </c>
      <c r="K1256" s="493">
        <v>994295.0</v>
      </c>
      <c r="L1256" s="493">
        <v>8.145715E7</v>
      </c>
      <c r="M1256" s="493">
        <v>10.033</v>
      </c>
      <c r="N1256" s="6">
        <v>37.1116</v>
      </c>
    </row>
    <row r="1257">
      <c r="A1257" s="491" t="s">
        <v>2021</v>
      </c>
      <c r="B1257" s="491" t="s">
        <v>163</v>
      </c>
      <c r="C1257" s="491" t="s">
        <v>75</v>
      </c>
      <c r="D1257" s="491" t="s">
        <v>2018</v>
      </c>
      <c r="E1257" s="492" t="s">
        <v>189</v>
      </c>
      <c r="F1257" s="493">
        <v>99102.0</v>
      </c>
      <c r="G1257" s="493">
        <v>18694.0</v>
      </c>
      <c r="H1257" s="493">
        <v>18.86</v>
      </c>
      <c r="I1257" s="493">
        <v>1.19</v>
      </c>
      <c r="J1257" s="493">
        <v>0.97</v>
      </c>
      <c r="K1257" s="493">
        <v>969075.0</v>
      </c>
      <c r="L1257" s="493">
        <v>8.145715E7</v>
      </c>
      <c r="M1257" s="493">
        <v>9.7786</v>
      </c>
      <c r="N1257" s="6">
        <v>51.8388</v>
      </c>
    </row>
    <row r="1258">
      <c r="A1258" s="491" t="s">
        <v>2021</v>
      </c>
      <c r="B1258" s="491" t="s">
        <v>163</v>
      </c>
      <c r="C1258" s="491" t="s">
        <v>75</v>
      </c>
      <c r="D1258" s="491" t="s">
        <v>2018</v>
      </c>
      <c r="E1258" s="492" t="s">
        <v>365</v>
      </c>
      <c r="F1258" s="493">
        <v>99102.0</v>
      </c>
      <c r="G1258" s="493">
        <v>19671.0</v>
      </c>
      <c r="H1258" s="493">
        <v>19.85</v>
      </c>
      <c r="I1258" s="493">
        <v>0.95</v>
      </c>
      <c r="J1258" s="493">
        <v>0.73</v>
      </c>
      <c r="K1258" s="493">
        <v>771370.0</v>
      </c>
      <c r="L1258" s="493">
        <v>8.145715E7</v>
      </c>
      <c r="M1258" s="493">
        <v>7.7836</v>
      </c>
      <c r="N1258" s="6">
        <v>39.2136</v>
      </c>
    </row>
    <row r="1259">
      <c r="A1259" s="491" t="s">
        <v>2021</v>
      </c>
      <c r="B1259" s="491" t="s">
        <v>163</v>
      </c>
      <c r="C1259" s="491" t="s">
        <v>75</v>
      </c>
      <c r="D1259" s="491" t="s">
        <v>2018</v>
      </c>
      <c r="E1259" s="492" t="s">
        <v>370</v>
      </c>
      <c r="F1259" s="493">
        <v>99102.0</v>
      </c>
      <c r="G1259" s="493">
        <v>17120.0</v>
      </c>
      <c r="H1259" s="493">
        <v>17.28</v>
      </c>
      <c r="I1259" s="493">
        <v>0.71</v>
      </c>
      <c r="J1259" s="493">
        <v>0.93</v>
      </c>
      <c r="K1259" s="493">
        <v>580645.0</v>
      </c>
      <c r="L1259" s="493">
        <v>8.145715E7</v>
      </c>
      <c r="M1259" s="493">
        <v>5.8591</v>
      </c>
      <c r="N1259" s="6">
        <v>33.9162</v>
      </c>
    </row>
    <row r="1260">
      <c r="A1260" s="491" t="s">
        <v>2021</v>
      </c>
      <c r="B1260" s="491" t="s">
        <v>163</v>
      </c>
      <c r="C1260" s="491" t="s">
        <v>75</v>
      </c>
      <c r="D1260" s="491" t="s">
        <v>2018</v>
      </c>
      <c r="E1260" s="492" t="s">
        <v>134</v>
      </c>
      <c r="F1260" s="493">
        <v>99102.0</v>
      </c>
      <c r="G1260" s="493">
        <v>5783.0</v>
      </c>
      <c r="H1260" s="493">
        <v>5.84</v>
      </c>
      <c r="I1260" s="493">
        <v>0.2</v>
      </c>
      <c r="J1260" s="493">
        <v>0.21</v>
      </c>
      <c r="K1260" s="493">
        <v>161915.0</v>
      </c>
      <c r="L1260" s="493">
        <v>8.145715E7</v>
      </c>
      <c r="M1260" s="493">
        <v>1.6338</v>
      </c>
      <c r="N1260" s="6">
        <v>27.9984</v>
      </c>
    </row>
    <row r="1261">
      <c r="A1261" s="491" t="s">
        <v>2021</v>
      </c>
      <c r="B1261" s="491" t="s">
        <v>163</v>
      </c>
      <c r="C1261" s="491" t="s">
        <v>75</v>
      </c>
      <c r="D1261" s="491" t="s">
        <v>2018</v>
      </c>
      <c r="E1261" s="492" t="s">
        <v>50</v>
      </c>
      <c r="F1261" s="493">
        <v>99102.0</v>
      </c>
      <c r="G1261" s="493">
        <v>1778.0</v>
      </c>
      <c r="H1261" s="493">
        <v>1.79</v>
      </c>
      <c r="I1261" s="493">
        <v>0.11</v>
      </c>
      <c r="J1261" s="493">
        <v>0.17</v>
      </c>
      <c r="K1261" s="493">
        <v>92550.0</v>
      </c>
      <c r="L1261" s="493">
        <v>8.145715E7</v>
      </c>
      <c r="M1261" s="493">
        <v>0.9339</v>
      </c>
      <c r="N1261" s="6">
        <v>52.0529</v>
      </c>
    </row>
    <row r="1262">
      <c r="A1262" s="491" t="s">
        <v>2021</v>
      </c>
      <c r="B1262" s="491" t="s">
        <v>163</v>
      </c>
      <c r="C1262" s="491" t="s">
        <v>75</v>
      </c>
      <c r="D1262" s="491" t="s">
        <v>2018</v>
      </c>
      <c r="E1262" s="492" t="s">
        <v>42</v>
      </c>
      <c r="F1262" s="493">
        <v>99102.0</v>
      </c>
      <c r="G1262" s="493">
        <v>2.0</v>
      </c>
      <c r="H1262" s="493">
        <v>0.0</v>
      </c>
      <c r="I1262" s="493">
        <v>0.0</v>
      </c>
      <c r="J1262" s="493">
        <v>0.0</v>
      </c>
      <c r="K1262" s="493">
        <v>80.0</v>
      </c>
      <c r="L1262" s="493">
        <v>8.145715E7</v>
      </c>
      <c r="M1262" s="493">
        <v>8.0E-4</v>
      </c>
      <c r="N1262" s="6">
        <v>40.0</v>
      </c>
    </row>
    <row r="1263">
      <c r="A1263" s="491" t="s">
        <v>2021</v>
      </c>
      <c r="B1263" s="491" t="s">
        <v>163</v>
      </c>
      <c r="C1263" s="491" t="s">
        <v>75</v>
      </c>
      <c r="D1263" s="491" t="s">
        <v>2018</v>
      </c>
      <c r="E1263" s="492" t="s">
        <v>373</v>
      </c>
      <c r="F1263" s="493">
        <v>99102.0</v>
      </c>
      <c r="G1263" s="493">
        <v>5.0</v>
      </c>
      <c r="H1263" s="493">
        <v>0.01</v>
      </c>
      <c r="I1263" s="493">
        <v>0.0</v>
      </c>
      <c r="J1263" s="493">
        <v>0.0</v>
      </c>
      <c r="K1263" s="493">
        <v>120.0</v>
      </c>
      <c r="L1263" s="493">
        <v>8.145715E7</v>
      </c>
      <c r="M1263" s="493">
        <v>0.0012</v>
      </c>
      <c r="N1263" s="6">
        <v>24.0</v>
      </c>
    </row>
    <row r="1264">
      <c r="A1264" s="491" t="s">
        <v>2021</v>
      </c>
      <c r="B1264" s="491" t="s">
        <v>1857</v>
      </c>
      <c r="C1264" s="491" t="s">
        <v>71</v>
      </c>
      <c r="D1264" s="491" t="s">
        <v>565</v>
      </c>
      <c r="E1264" s="492" t="s">
        <v>371</v>
      </c>
      <c r="F1264" s="493">
        <v>51897.0</v>
      </c>
      <c r="G1264" s="493">
        <v>40846.0</v>
      </c>
      <c r="H1264" s="493">
        <v>78.71</v>
      </c>
      <c r="I1264" s="493">
        <v>34.2</v>
      </c>
      <c r="J1264" s="493">
        <v>33.31</v>
      </c>
      <c r="K1264" s="493">
        <v>142465.0</v>
      </c>
      <c r="L1264" s="493">
        <v>416600.0</v>
      </c>
      <c r="M1264" s="493">
        <v>2.7451</v>
      </c>
      <c r="N1264" s="6">
        <v>3.4879</v>
      </c>
    </row>
    <row r="1265">
      <c r="A1265" s="491" t="s">
        <v>2021</v>
      </c>
      <c r="B1265" s="491" t="s">
        <v>1857</v>
      </c>
      <c r="C1265" s="491" t="s">
        <v>71</v>
      </c>
      <c r="D1265" s="491" t="s">
        <v>565</v>
      </c>
      <c r="E1265" s="492" t="s">
        <v>370</v>
      </c>
      <c r="F1265" s="493">
        <v>51897.0</v>
      </c>
      <c r="G1265" s="493">
        <v>38254.0</v>
      </c>
      <c r="H1265" s="493">
        <v>73.71</v>
      </c>
      <c r="I1265" s="493">
        <v>18.95</v>
      </c>
      <c r="J1265" s="493">
        <v>25.74</v>
      </c>
      <c r="K1265" s="493">
        <v>78950.0</v>
      </c>
      <c r="L1265" s="493">
        <v>416600.0</v>
      </c>
      <c r="M1265" s="493">
        <v>1.5213</v>
      </c>
      <c r="N1265" s="6">
        <v>2.0638</v>
      </c>
    </row>
    <row r="1266">
      <c r="A1266" s="491" t="s">
        <v>2021</v>
      </c>
      <c r="B1266" s="491" t="s">
        <v>1857</v>
      </c>
      <c r="C1266" s="491" t="s">
        <v>71</v>
      </c>
      <c r="D1266" s="491" t="s">
        <v>565</v>
      </c>
      <c r="E1266" s="492" t="s">
        <v>372</v>
      </c>
      <c r="F1266" s="493">
        <v>51897.0</v>
      </c>
      <c r="G1266" s="493">
        <v>23770.0</v>
      </c>
      <c r="H1266" s="493">
        <v>45.8</v>
      </c>
      <c r="I1266" s="493">
        <v>17.59</v>
      </c>
      <c r="J1266" s="493">
        <v>12.94</v>
      </c>
      <c r="K1266" s="493">
        <v>73266.0</v>
      </c>
      <c r="L1266" s="493">
        <v>416600.0</v>
      </c>
      <c r="M1266" s="493">
        <v>1.4118</v>
      </c>
      <c r="N1266" s="6">
        <v>3.0823</v>
      </c>
    </row>
    <row r="1267">
      <c r="A1267" s="491" t="s">
        <v>2021</v>
      </c>
      <c r="B1267" s="491" t="s">
        <v>1857</v>
      </c>
      <c r="C1267" s="491" t="s">
        <v>71</v>
      </c>
      <c r="D1267" s="491" t="s">
        <v>565</v>
      </c>
      <c r="E1267" s="492" t="s">
        <v>49</v>
      </c>
      <c r="F1267" s="493">
        <v>51897.0</v>
      </c>
      <c r="G1267" s="493">
        <v>21099.0</v>
      </c>
      <c r="H1267" s="493">
        <v>40.66</v>
      </c>
      <c r="I1267" s="493">
        <v>9.35</v>
      </c>
      <c r="J1267" s="493">
        <v>8.96</v>
      </c>
      <c r="K1267" s="493">
        <v>38935.0</v>
      </c>
      <c r="L1267" s="493">
        <v>416600.0</v>
      </c>
      <c r="M1267" s="493">
        <v>0.7502</v>
      </c>
      <c r="N1267" s="6">
        <v>1.8453</v>
      </c>
    </row>
    <row r="1268">
      <c r="A1268" s="491" t="s">
        <v>2021</v>
      </c>
      <c r="B1268" s="491" t="s">
        <v>1857</v>
      </c>
      <c r="C1268" s="491" t="s">
        <v>71</v>
      </c>
      <c r="D1268" s="491" t="s">
        <v>565</v>
      </c>
      <c r="E1268" s="492" t="s">
        <v>44</v>
      </c>
      <c r="F1268" s="493">
        <v>51897.0</v>
      </c>
      <c r="G1268" s="493">
        <v>20353.0</v>
      </c>
      <c r="H1268" s="493">
        <v>39.22</v>
      </c>
      <c r="I1268" s="493">
        <v>7.65</v>
      </c>
      <c r="J1268" s="493">
        <v>6.36</v>
      </c>
      <c r="K1268" s="493">
        <v>31868.0</v>
      </c>
      <c r="L1268" s="493">
        <v>416600.0</v>
      </c>
      <c r="M1268" s="493">
        <v>0.6141</v>
      </c>
      <c r="N1268" s="6">
        <v>1.5658</v>
      </c>
    </row>
    <row r="1269">
      <c r="A1269" s="491" t="s">
        <v>2021</v>
      </c>
      <c r="B1269" s="491" t="s">
        <v>1857</v>
      </c>
      <c r="C1269" s="491" t="s">
        <v>71</v>
      </c>
      <c r="D1269" s="491" t="s">
        <v>565</v>
      </c>
      <c r="E1269" s="492" t="s">
        <v>42</v>
      </c>
      <c r="F1269" s="493">
        <v>51897.0</v>
      </c>
      <c r="G1269" s="493">
        <v>13851.0</v>
      </c>
      <c r="H1269" s="493">
        <v>26.69</v>
      </c>
      <c r="I1269" s="493">
        <v>4.82</v>
      </c>
      <c r="J1269" s="493">
        <v>5.63</v>
      </c>
      <c r="K1269" s="493">
        <v>20066.0</v>
      </c>
      <c r="L1269" s="493">
        <v>416600.0</v>
      </c>
      <c r="M1269" s="493">
        <v>0.3867</v>
      </c>
      <c r="N1269" s="6">
        <v>1.4487</v>
      </c>
    </row>
    <row r="1270">
      <c r="A1270" s="491" t="s">
        <v>2021</v>
      </c>
      <c r="B1270" s="491" t="s">
        <v>1857</v>
      </c>
      <c r="C1270" s="491" t="s">
        <v>71</v>
      </c>
      <c r="D1270" s="491" t="s">
        <v>565</v>
      </c>
      <c r="E1270" s="492" t="s">
        <v>366</v>
      </c>
      <c r="F1270" s="493">
        <v>51897.0</v>
      </c>
      <c r="G1270" s="493">
        <v>11451.0</v>
      </c>
      <c r="H1270" s="493">
        <v>22.06</v>
      </c>
      <c r="I1270" s="493">
        <v>3.04</v>
      </c>
      <c r="J1270" s="493">
        <v>3.16</v>
      </c>
      <c r="K1270" s="493">
        <v>12673.0</v>
      </c>
      <c r="L1270" s="493">
        <v>416600.0</v>
      </c>
      <c r="M1270" s="493">
        <v>0.2442</v>
      </c>
      <c r="N1270" s="6">
        <v>1.1067</v>
      </c>
    </row>
    <row r="1271">
      <c r="A1271" s="491" t="s">
        <v>2021</v>
      </c>
      <c r="B1271" s="491" t="s">
        <v>1857</v>
      </c>
      <c r="C1271" s="491" t="s">
        <v>71</v>
      </c>
      <c r="D1271" s="491" t="s">
        <v>565</v>
      </c>
      <c r="E1271" s="492" t="s">
        <v>50</v>
      </c>
      <c r="F1271" s="493">
        <v>51897.0</v>
      </c>
      <c r="G1271" s="493">
        <v>7711.0</v>
      </c>
      <c r="H1271" s="493">
        <v>14.86</v>
      </c>
      <c r="I1271" s="493">
        <v>2.4</v>
      </c>
      <c r="J1271" s="493">
        <v>1.99</v>
      </c>
      <c r="K1271" s="493">
        <v>10012.0</v>
      </c>
      <c r="L1271" s="493">
        <v>416600.0</v>
      </c>
      <c r="M1271" s="493">
        <v>0.1929</v>
      </c>
      <c r="N1271" s="6">
        <v>1.2984</v>
      </c>
    </row>
    <row r="1272">
      <c r="A1272" s="491" t="s">
        <v>2021</v>
      </c>
      <c r="B1272" s="491" t="s">
        <v>1857</v>
      </c>
      <c r="C1272" s="491" t="s">
        <v>71</v>
      </c>
      <c r="D1272" s="491" t="s">
        <v>565</v>
      </c>
      <c r="E1272" s="492" t="s">
        <v>134</v>
      </c>
      <c r="F1272" s="493">
        <v>51897.0</v>
      </c>
      <c r="G1272" s="493">
        <v>4744.0</v>
      </c>
      <c r="H1272" s="493">
        <v>9.14</v>
      </c>
      <c r="I1272" s="493">
        <v>1.57</v>
      </c>
      <c r="J1272" s="493">
        <v>1.47</v>
      </c>
      <c r="K1272" s="493">
        <v>6558.0</v>
      </c>
      <c r="L1272" s="493">
        <v>416600.0</v>
      </c>
      <c r="M1272" s="493">
        <v>0.1264</v>
      </c>
      <c r="N1272" s="6">
        <v>1.3824</v>
      </c>
    </row>
    <row r="1273">
      <c r="A1273" s="491" t="s">
        <v>2021</v>
      </c>
      <c r="B1273" s="491" t="s">
        <v>1857</v>
      </c>
      <c r="C1273" s="491" t="s">
        <v>71</v>
      </c>
      <c r="D1273" s="491" t="s">
        <v>565</v>
      </c>
      <c r="E1273" s="492" t="s">
        <v>43</v>
      </c>
      <c r="F1273" s="493">
        <v>51897.0</v>
      </c>
      <c r="G1273" s="493">
        <v>1414.0</v>
      </c>
      <c r="H1273" s="493">
        <v>2.72</v>
      </c>
      <c r="I1273" s="493">
        <v>0.35</v>
      </c>
      <c r="J1273" s="493">
        <v>0.36</v>
      </c>
      <c r="K1273" s="493">
        <v>1466.0</v>
      </c>
      <c r="L1273" s="493">
        <v>416600.0</v>
      </c>
      <c r="M1273" s="493">
        <v>0.0282</v>
      </c>
      <c r="N1273" s="6">
        <v>1.0368</v>
      </c>
    </row>
    <row r="1274">
      <c r="A1274" s="491" t="s">
        <v>2021</v>
      </c>
      <c r="B1274" s="491" t="s">
        <v>1857</v>
      </c>
      <c r="C1274" s="491" t="s">
        <v>71</v>
      </c>
      <c r="D1274" s="491" t="s">
        <v>565</v>
      </c>
      <c r="E1274" s="492" t="s">
        <v>369</v>
      </c>
      <c r="F1274" s="493">
        <v>51897.0</v>
      </c>
      <c r="G1274" s="493">
        <v>176.0</v>
      </c>
      <c r="H1274" s="493">
        <v>0.34</v>
      </c>
      <c r="I1274" s="493">
        <v>0.04</v>
      </c>
      <c r="J1274" s="493">
        <v>0.04</v>
      </c>
      <c r="K1274" s="493">
        <v>181.0</v>
      </c>
      <c r="L1274" s="493">
        <v>416600.0</v>
      </c>
      <c r="M1274" s="493">
        <v>0.0035</v>
      </c>
      <c r="N1274" s="6">
        <v>1.0284</v>
      </c>
    </row>
    <row r="1275">
      <c r="A1275" s="491" t="s">
        <v>2021</v>
      </c>
      <c r="B1275" s="491" t="s">
        <v>1857</v>
      </c>
      <c r="C1275" s="491" t="s">
        <v>71</v>
      </c>
      <c r="D1275" s="491" t="s">
        <v>565</v>
      </c>
      <c r="E1275" s="492" t="s">
        <v>35</v>
      </c>
      <c r="F1275" s="493">
        <v>51897.0</v>
      </c>
      <c r="G1275" s="493">
        <v>125.0</v>
      </c>
      <c r="H1275" s="493">
        <v>0.24</v>
      </c>
      <c r="I1275" s="493">
        <v>0.03</v>
      </c>
      <c r="J1275" s="493">
        <v>0.02</v>
      </c>
      <c r="K1275" s="493">
        <v>127.0</v>
      </c>
      <c r="L1275" s="493">
        <v>416600.0</v>
      </c>
      <c r="M1275" s="493">
        <v>0.0024</v>
      </c>
      <c r="N1275" s="6">
        <v>1.016</v>
      </c>
    </row>
    <row r="1276">
      <c r="A1276" s="491" t="s">
        <v>2021</v>
      </c>
      <c r="B1276" s="491" t="s">
        <v>1857</v>
      </c>
      <c r="C1276" s="491" t="s">
        <v>71</v>
      </c>
      <c r="D1276" s="491" t="s">
        <v>565</v>
      </c>
      <c r="E1276" s="492" t="s">
        <v>373</v>
      </c>
      <c r="F1276" s="493">
        <v>51897.0</v>
      </c>
      <c r="G1276" s="493">
        <v>2.0</v>
      </c>
      <c r="H1276" s="493">
        <v>0.0</v>
      </c>
      <c r="I1276" s="493">
        <v>0.0</v>
      </c>
      <c r="J1276" s="493">
        <v>0.0</v>
      </c>
      <c r="K1276" s="493">
        <v>6.0</v>
      </c>
      <c r="L1276" s="493">
        <v>416600.0</v>
      </c>
      <c r="M1276" s="493">
        <v>1.0E-4</v>
      </c>
      <c r="N1276" s="6">
        <v>3.0</v>
      </c>
    </row>
    <row r="1277">
      <c r="A1277" s="491" t="s">
        <v>2021</v>
      </c>
      <c r="B1277" s="491" t="s">
        <v>1857</v>
      </c>
      <c r="C1277" s="491" t="s">
        <v>71</v>
      </c>
      <c r="D1277" s="491" t="s">
        <v>565</v>
      </c>
      <c r="E1277" s="492" t="s">
        <v>312</v>
      </c>
      <c r="F1277" s="493">
        <v>51897.0</v>
      </c>
      <c r="G1277" s="493">
        <v>2.0</v>
      </c>
      <c r="H1277" s="493">
        <v>0.0</v>
      </c>
      <c r="I1277" s="493">
        <v>0.0</v>
      </c>
      <c r="J1277" s="493">
        <v>0.0</v>
      </c>
      <c r="K1277" s="493">
        <v>4.0</v>
      </c>
      <c r="L1277" s="493">
        <v>416600.0</v>
      </c>
      <c r="M1277" s="493">
        <v>1.0E-4</v>
      </c>
      <c r="N1277" s="6">
        <v>2.0</v>
      </c>
    </row>
    <row r="1278">
      <c r="A1278" s="491" t="s">
        <v>2021</v>
      </c>
      <c r="B1278" s="491" t="s">
        <v>1857</v>
      </c>
      <c r="C1278" s="491" t="s">
        <v>71</v>
      </c>
      <c r="D1278" s="491" t="s">
        <v>565</v>
      </c>
      <c r="E1278" s="492" t="s">
        <v>189</v>
      </c>
      <c r="F1278" s="493">
        <v>51897.0</v>
      </c>
      <c r="G1278" s="493">
        <v>12.0</v>
      </c>
      <c r="H1278" s="493">
        <v>0.02</v>
      </c>
      <c r="I1278" s="493">
        <v>0.0</v>
      </c>
      <c r="J1278" s="493">
        <v>0.0</v>
      </c>
      <c r="K1278" s="493">
        <v>12.0</v>
      </c>
      <c r="L1278" s="493">
        <v>416600.0</v>
      </c>
      <c r="M1278" s="493">
        <v>2.0E-4</v>
      </c>
      <c r="N1278" s="6">
        <v>1.0</v>
      </c>
    </row>
    <row r="1279">
      <c r="A1279" s="491" t="s">
        <v>2021</v>
      </c>
      <c r="B1279" s="491" t="s">
        <v>1857</v>
      </c>
      <c r="C1279" s="491" t="s">
        <v>71</v>
      </c>
      <c r="D1279" s="491" t="s">
        <v>565</v>
      </c>
      <c r="E1279" s="492" t="s">
        <v>368</v>
      </c>
      <c r="F1279" s="493">
        <v>51897.0</v>
      </c>
      <c r="G1279" s="493">
        <v>3.0</v>
      </c>
      <c r="H1279" s="493">
        <v>0.01</v>
      </c>
      <c r="I1279" s="493">
        <v>0.0</v>
      </c>
      <c r="J1279" s="493">
        <v>0.0</v>
      </c>
      <c r="K1279" s="493">
        <v>4.0</v>
      </c>
      <c r="L1279" s="493">
        <v>416600.0</v>
      </c>
      <c r="M1279" s="493">
        <v>1.0E-4</v>
      </c>
      <c r="N1279" s="6">
        <v>1.3333</v>
      </c>
    </row>
    <row r="1280">
      <c r="A1280" s="491" t="s">
        <v>2021</v>
      </c>
      <c r="B1280" s="491" t="s">
        <v>1857</v>
      </c>
      <c r="C1280" s="491" t="s">
        <v>71</v>
      </c>
      <c r="D1280" s="491" t="s">
        <v>565</v>
      </c>
      <c r="E1280" s="492" t="s">
        <v>32</v>
      </c>
      <c r="F1280" s="493">
        <v>51897.0</v>
      </c>
      <c r="G1280" s="493">
        <v>6.0</v>
      </c>
      <c r="H1280" s="493">
        <v>0.01</v>
      </c>
      <c r="I1280" s="493">
        <v>0.0</v>
      </c>
      <c r="J1280" s="493">
        <v>0.0</v>
      </c>
      <c r="K1280" s="493">
        <v>7.0</v>
      </c>
      <c r="L1280" s="493">
        <v>416600.0</v>
      </c>
      <c r="M1280" s="493">
        <v>1.0E-4</v>
      </c>
      <c r="N1280" s="6">
        <v>1.1667</v>
      </c>
    </row>
    <row r="1281">
      <c r="A1281" s="491" t="s">
        <v>2021</v>
      </c>
      <c r="B1281" s="491" t="s">
        <v>1857</v>
      </c>
      <c r="C1281" s="491" t="s">
        <v>70</v>
      </c>
      <c r="D1281" s="491" t="s">
        <v>565</v>
      </c>
      <c r="E1281" s="492" t="s">
        <v>371</v>
      </c>
      <c r="F1281" s="493">
        <v>54525.0</v>
      </c>
      <c r="G1281" s="493">
        <v>48264.0</v>
      </c>
      <c r="H1281" s="493">
        <v>88.52</v>
      </c>
      <c r="I1281" s="493">
        <v>37.25</v>
      </c>
      <c r="J1281" s="493">
        <v>34.18</v>
      </c>
      <c r="K1281" s="493">
        <v>249983.0</v>
      </c>
      <c r="L1281" s="493">
        <v>671076.0</v>
      </c>
      <c r="M1281" s="493">
        <v>4.5847</v>
      </c>
      <c r="N1281" s="6">
        <v>5.1795</v>
      </c>
    </row>
    <row r="1282">
      <c r="A1282" s="491" t="s">
        <v>2021</v>
      </c>
      <c r="B1282" s="491" t="s">
        <v>1857</v>
      </c>
      <c r="C1282" s="491" t="s">
        <v>70</v>
      </c>
      <c r="D1282" s="491" t="s">
        <v>565</v>
      </c>
      <c r="E1282" s="492" t="s">
        <v>372</v>
      </c>
      <c r="F1282" s="493">
        <v>54525.0</v>
      </c>
      <c r="G1282" s="493">
        <v>39066.0</v>
      </c>
      <c r="H1282" s="493">
        <v>71.65</v>
      </c>
      <c r="I1282" s="493">
        <v>19.79</v>
      </c>
      <c r="J1282" s="493">
        <v>21.15</v>
      </c>
      <c r="K1282" s="493">
        <v>132785.0</v>
      </c>
      <c r="L1282" s="493">
        <v>671076.0</v>
      </c>
      <c r="M1282" s="493">
        <v>2.4353</v>
      </c>
      <c r="N1282" s="6">
        <v>3.399</v>
      </c>
    </row>
    <row r="1283">
      <c r="A1283" s="491" t="s">
        <v>2021</v>
      </c>
      <c r="B1283" s="491" t="s">
        <v>1857</v>
      </c>
      <c r="C1283" s="491" t="s">
        <v>70</v>
      </c>
      <c r="D1283" s="491" t="s">
        <v>565</v>
      </c>
      <c r="E1283" s="492" t="s">
        <v>370</v>
      </c>
      <c r="F1283" s="493">
        <v>54525.0</v>
      </c>
      <c r="G1283" s="493">
        <v>38334.0</v>
      </c>
      <c r="H1283" s="493">
        <v>70.31</v>
      </c>
      <c r="I1283" s="493">
        <v>11.82</v>
      </c>
      <c r="J1283" s="493">
        <v>13.25</v>
      </c>
      <c r="K1283" s="493">
        <v>79335.0</v>
      </c>
      <c r="L1283" s="493">
        <v>671076.0</v>
      </c>
      <c r="M1283" s="493">
        <v>1.455</v>
      </c>
      <c r="N1283" s="6">
        <v>2.0696</v>
      </c>
    </row>
    <row r="1284">
      <c r="A1284" s="491" t="s">
        <v>2021</v>
      </c>
      <c r="B1284" s="491" t="s">
        <v>1857</v>
      </c>
      <c r="C1284" s="491" t="s">
        <v>70</v>
      </c>
      <c r="D1284" s="491" t="s">
        <v>565</v>
      </c>
      <c r="E1284" s="492" t="s">
        <v>44</v>
      </c>
      <c r="F1284" s="493">
        <v>54525.0</v>
      </c>
      <c r="G1284" s="493">
        <v>26684.0</v>
      </c>
      <c r="H1284" s="493">
        <v>48.94</v>
      </c>
      <c r="I1284" s="493">
        <v>6.32</v>
      </c>
      <c r="J1284" s="493">
        <v>5.98</v>
      </c>
      <c r="K1284" s="493">
        <v>42419.0</v>
      </c>
      <c r="L1284" s="493">
        <v>671076.0</v>
      </c>
      <c r="M1284" s="493">
        <v>0.778</v>
      </c>
      <c r="N1284" s="6">
        <v>1.5897</v>
      </c>
    </row>
    <row r="1285">
      <c r="A1285" s="491" t="s">
        <v>2021</v>
      </c>
      <c r="B1285" s="491" t="s">
        <v>1857</v>
      </c>
      <c r="C1285" s="491" t="s">
        <v>70</v>
      </c>
      <c r="D1285" s="491" t="s">
        <v>565</v>
      </c>
      <c r="E1285" s="492" t="s">
        <v>49</v>
      </c>
      <c r="F1285" s="493">
        <v>54525.0</v>
      </c>
      <c r="G1285" s="493">
        <v>21099.0</v>
      </c>
      <c r="H1285" s="493">
        <v>38.7</v>
      </c>
      <c r="I1285" s="493">
        <v>5.8</v>
      </c>
      <c r="J1285" s="493">
        <v>5.08</v>
      </c>
      <c r="K1285" s="493">
        <v>38935.0</v>
      </c>
      <c r="L1285" s="493">
        <v>671076.0</v>
      </c>
      <c r="M1285" s="493">
        <v>0.7141</v>
      </c>
      <c r="N1285" s="6">
        <v>1.8453</v>
      </c>
    </row>
    <row r="1286">
      <c r="A1286" s="491" t="s">
        <v>2021</v>
      </c>
      <c r="B1286" s="491" t="s">
        <v>1857</v>
      </c>
      <c r="C1286" s="491" t="s">
        <v>70</v>
      </c>
      <c r="D1286" s="491" t="s">
        <v>565</v>
      </c>
      <c r="E1286" s="492" t="s">
        <v>368</v>
      </c>
      <c r="F1286" s="493">
        <v>54525.0</v>
      </c>
      <c r="G1286" s="493">
        <v>16837.0</v>
      </c>
      <c r="H1286" s="493">
        <v>30.88</v>
      </c>
      <c r="I1286" s="493">
        <v>5.36</v>
      </c>
      <c r="J1286" s="493">
        <v>5.78</v>
      </c>
      <c r="K1286" s="493">
        <v>35985.0</v>
      </c>
      <c r="L1286" s="493">
        <v>671076.0</v>
      </c>
      <c r="M1286" s="493">
        <v>0.66</v>
      </c>
      <c r="N1286" s="6">
        <v>2.1373</v>
      </c>
    </row>
    <row r="1287">
      <c r="A1287" s="491" t="s">
        <v>2021</v>
      </c>
      <c r="B1287" s="491" t="s">
        <v>1857</v>
      </c>
      <c r="C1287" s="491" t="s">
        <v>70</v>
      </c>
      <c r="D1287" s="491" t="s">
        <v>565</v>
      </c>
      <c r="E1287" s="492" t="s">
        <v>369</v>
      </c>
      <c r="F1287" s="493">
        <v>54525.0</v>
      </c>
      <c r="G1287" s="493">
        <v>24252.0</v>
      </c>
      <c r="H1287" s="493">
        <v>44.48</v>
      </c>
      <c r="I1287" s="493">
        <v>4.69</v>
      </c>
      <c r="J1287" s="493">
        <v>5.6</v>
      </c>
      <c r="K1287" s="493">
        <v>31466.0</v>
      </c>
      <c r="L1287" s="493">
        <v>671076.0</v>
      </c>
      <c r="M1287" s="493">
        <v>0.5771</v>
      </c>
      <c r="N1287" s="6">
        <v>1.2975</v>
      </c>
    </row>
    <row r="1288">
      <c r="A1288" s="491" t="s">
        <v>2021</v>
      </c>
      <c r="B1288" s="491" t="s">
        <v>1857</v>
      </c>
      <c r="C1288" s="491" t="s">
        <v>70</v>
      </c>
      <c r="D1288" s="491" t="s">
        <v>565</v>
      </c>
      <c r="E1288" s="492" t="s">
        <v>366</v>
      </c>
      <c r="F1288" s="493">
        <v>54525.0</v>
      </c>
      <c r="G1288" s="493">
        <v>12051.0</v>
      </c>
      <c r="H1288" s="493">
        <v>22.1</v>
      </c>
      <c r="I1288" s="493">
        <v>2.32</v>
      </c>
      <c r="J1288" s="493">
        <v>2.01</v>
      </c>
      <c r="K1288" s="493">
        <v>15602.0</v>
      </c>
      <c r="L1288" s="493">
        <v>671076.0</v>
      </c>
      <c r="M1288" s="493">
        <v>0.2861</v>
      </c>
      <c r="N1288" s="6">
        <v>1.2947</v>
      </c>
    </row>
    <row r="1289">
      <c r="A1289" s="491" t="s">
        <v>2021</v>
      </c>
      <c r="B1289" s="491" t="s">
        <v>1857</v>
      </c>
      <c r="C1289" s="491" t="s">
        <v>70</v>
      </c>
      <c r="D1289" s="491" t="s">
        <v>565</v>
      </c>
      <c r="E1289" s="492" t="s">
        <v>35</v>
      </c>
      <c r="F1289" s="493">
        <v>54525.0</v>
      </c>
      <c r="G1289" s="493">
        <v>12281.0</v>
      </c>
      <c r="H1289" s="493">
        <v>22.52</v>
      </c>
      <c r="I1289" s="493">
        <v>1.95</v>
      </c>
      <c r="J1289" s="493">
        <v>2.18</v>
      </c>
      <c r="K1289" s="493">
        <v>13119.0</v>
      </c>
      <c r="L1289" s="493">
        <v>671076.0</v>
      </c>
      <c r="M1289" s="493">
        <v>0.2406</v>
      </c>
      <c r="N1289" s="6">
        <v>1.0682</v>
      </c>
    </row>
    <row r="1290">
      <c r="A1290" s="491" t="s">
        <v>2021</v>
      </c>
      <c r="B1290" s="491" t="s">
        <v>1857</v>
      </c>
      <c r="C1290" s="491" t="s">
        <v>70</v>
      </c>
      <c r="D1290" s="491" t="s">
        <v>565</v>
      </c>
      <c r="E1290" s="492" t="s">
        <v>189</v>
      </c>
      <c r="F1290" s="493">
        <v>54525.0</v>
      </c>
      <c r="G1290" s="493">
        <v>12054.0</v>
      </c>
      <c r="H1290" s="493">
        <v>22.11</v>
      </c>
      <c r="I1290" s="493">
        <v>1.83</v>
      </c>
      <c r="J1290" s="493">
        <v>2.29</v>
      </c>
      <c r="K1290" s="493">
        <v>12271.0</v>
      </c>
      <c r="L1290" s="493">
        <v>671076.0</v>
      </c>
      <c r="M1290" s="493">
        <v>0.2251</v>
      </c>
      <c r="N1290" s="6">
        <v>1.018</v>
      </c>
    </row>
    <row r="1291">
      <c r="A1291" s="491" t="s">
        <v>2021</v>
      </c>
      <c r="B1291" s="491" t="s">
        <v>1857</v>
      </c>
      <c r="C1291" s="491" t="s">
        <v>70</v>
      </c>
      <c r="D1291" s="491" t="s">
        <v>565</v>
      </c>
      <c r="E1291" s="492" t="s">
        <v>42</v>
      </c>
      <c r="F1291" s="493">
        <v>54525.0</v>
      </c>
      <c r="G1291" s="493">
        <v>5547.0</v>
      </c>
      <c r="H1291" s="493">
        <v>10.17</v>
      </c>
      <c r="I1291" s="493">
        <v>0.99</v>
      </c>
      <c r="J1291" s="493">
        <v>0.98</v>
      </c>
      <c r="K1291" s="493">
        <v>6615.0</v>
      </c>
      <c r="L1291" s="493">
        <v>671076.0</v>
      </c>
      <c r="M1291" s="493">
        <v>0.1213</v>
      </c>
      <c r="N1291" s="6">
        <v>1.1925</v>
      </c>
    </row>
    <row r="1292">
      <c r="A1292" s="491" t="s">
        <v>2021</v>
      </c>
      <c r="B1292" s="491" t="s">
        <v>1857</v>
      </c>
      <c r="C1292" s="491" t="s">
        <v>70</v>
      </c>
      <c r="D1292" s="491" t="s">
        <v>565</v>
      </c>
      <c r="E1292" s="492" t="s">
        <v>134</v>
      </c>
      <c r="F1292" s="493">
        <v>54525.0</v>
      </c>
      <c r="G1292" s="493">
        <v>4369.0</v>
      </c>
      <c r="H1292" s="493">
        <v>8.01</v>
      </c>
      <c r="I1292" s="493">
        <v>0.86</v>
      </c>
      <c r="J1292" s="493">
        <v>0.72</v>
      </c>
      <c r="K1292" s="493">
        <v>5757.0</v>
      </c>
      <c r="L1292" s="493">
        <v>671076.0</v>
      </c>
      <c r="M1292" s="493">
        <v>0.1056</v>
      </c>
      <c r="N1292" s="6">
        <v>1.3177</v>
      </c>
    </row>
    <row r="1293">
      <c r="A1293" s="491" t="s">
        <v>2021</v>
      </c>
      <c r="B1293" s="491" t="s">
        <v>1857</v>
      </c>
      <c r="C1293" s="491" t="s">
        <v>70</v>
      </c>
      <c r="D1293" s="491" t="s">
        <v>565</v>
      </c>
      <c r="E1293" s="492" t="s">
        <v>50</v>
      </c>
      <c r="F1293" s="493">
        <v>54525.0</v>
      </c>
      <c r="G1293" s="493">
        <v>4435.0</v>
      </c>
      <c r="H1293" s="493">
        <v>8.13</v>
      </c>
      <c r="I1293" s="493">
        <v>0.8</v>
      </c>
      <c r="J1293" s="493">
        <v>0.57</v>
      </c>
      <c r="K1293" s="493">
        <v>5373.0</v>
      </c>
      <c r="L1293" s="493">
        <v>671076.0</v>
      </c>
      <c r="M1293" s="493">
        <v>0.0985</v>
      </c>
      <c r="N1293" s="6">
        <v>1.2115</v>
      </c>
    </row>
    <row r="1294">
      <c r="A1294" s="491" t="s">
        <v>2021</v>
      </c>
      <c r="B1294" s="491" t="s">
        <v>1857</v>
      </c>
      <c r="C1294" s="491" t="s">
        <v>70</v>
      </c>
      <c r="D1294" s="491" t="s">
        <v>565</v>
      </c>
      <c r="E1294" s="492" t="s">
        <v>43</v>
      </c>
      <c r="F1294" s="493">
        <v>54525.0</v>
      </c>
      <c r="G1294" s="493">
        <v>1352.0</v>
      </c>
      <c r="H1294" s="493">
        <v>2.48</v>
      </c>
      <c r="I1294" s="493">
        <v>0.21</v>
      </c>
      <c r="J1294" s="493">
        <v>0.22</v>
      </c>
      <c r="K1294" s="493">
        <v>1404.0</v>
      </c>
      <c r="L1294" s="493">
        <v>671076.0</v>
      </c>
      <c r="M1294" s="493">
        <v>0.0257</v>
      </c>
      <c r="N1294" s="6">
        <v>1.0385</v>
      </c>
    </row>
    <row r="1295">
      <c r="A1295" s="491" t="s">
        <v>2021</v>
      </c>
      <c r="B1295" s="491" t="s">
        <v>1857</v>
      </c>
      <c r="C1295" s="491" t="s">
        <v>70</v>
      </c>
      <c r="D1295" s="491" t="s">
        <v>565</v>
      </c>
      <c r="E1295" s="492" t="s">
        <v>311</v>
      </c>
      <c r="F1295" s="493">
        <v>54525.0</v>
      </c>
      <c r="G1295" s="493">
        <v>2.0</v>
      </c>
      <c r="H1295" s="493">
        <v>0.0</v>
      </c>
      <c r="I1295" s="493">
        <v>0.0</v>
      </c>
      <c r="J1295" s="493">
        <v>0.0</v>
      </c>
      <c r="K1295" s="493">
        <v>4.0</v>
      </c>
      <c r="L1295" s="493">
        <v>671076.0</v>
      </c>
      <c r="M1295" s="493">
        <v>1.0E-4</v>
      </c>
      <c r="N1295" s="6">
        <v>2.0</v>
      </c>
    </row>
    <row r="1296">
      <c r="A1296" s="491" t="s">
        <v>2021</v>
      </c>
      <c r="B1296" s="491" t="s">
        <v>1857</v>
      </c>
      <c r="C1296" s="491" t="s">
        <v>70</v>
      </c>
      <c r="D1296" s="491" t="s">
        <v>565</v>
      </c>
      <c r="E1296" s="492" t="s">
        <v>32</v>
      </c>
      <c r="F1296" s="493">
        <v>54525.0</v>
      </c>
      <c r="G1296" s="493">
        <v>11.0</v>
      </c>
      <c r="H1296" s="493">
        <v>0.02</v>
      </c>
      <c r="I1296" s="493">
        <v>0.0</v>
      </c>
      <c r="J1296" s="493">
        <v>0.0</v>
      </c>
      <c r="K1296" s="493">
        <v>13.0</v>
      </c>
      <c r="L1296" s="493">
        <v>671076.0</v>
      </c>
      <c r="M1296" s="493">
        <v>2.0E-4</v>
      </c>
      <c r="N1296" s="6">
        <v>1.1818</v>
      </c>
    </row>
    <row r="1297">
      <c r="A1297" s="491" t="s">
        <v>2021</v>
      </c>
      <c r="B1297" s="491" t="s">
        <v>1857</v>
      </c>
      <c r="C1297" s="491" t="s">
        <v>70</v>
      </c>
      <c r="D1297" s="491" t="s">
        <v>565</v>
      </c>
      <c r="E1297" s="492" t="s">
        <v>373</v>
      </c>
      <c r="F1297" s="493">
        <v>54525.0</v>
      </c>
      <c r="G1297" s="493">
        <v>3.0</v>
      </c>
      <c r="H1297" s="493">
        <v>0.01</v>
      </c>
      <c r="I1297" s="493">
        <v>0.0</v>
      </c>
      <c r="J1297" s="493">
        <v>0.0</v>
      </c>
      <c r="K1297" s="493">
        <v>10.0</v>
      </c>
      <c r="L1297" s="493">
        <v>671076.0</v>
      </c>
      <c r="M1297" s="493">
        <v>2.0E-4</v>
      </c>
      <c r="N1297" s="6">
        <v>3.3333</v>
      </c>
    </row>
    <row r="1298">
      <c r="A1298" s="491" t="s">
        <v>2021</v>
      </c>
      <c r="B1298" s="491" t="s">
        <v>1857</v>
      </c>
      <c r="C1298" s="491" t="s">
        <v>74</v>
      </c>
      <c r="D1298" s="491" t="s">
        <v>565</v>
      </c>
      <c r="E1298" s="492" t="s">
        <v>371</v>
      </c>
      <c r="F1298" s="493">
        <v>47973.0</v>
      </c>
      <c r="G1298" s="493">
        <v>39674.0</v>
      </c>
      <c r="H1298" s="493">
        <v>82.7</v>
      </c>
      <c r="I1298" s="493">
        <v>35.34</v>
      </c>
      <c r="J1298" s="493">
        <v>39.86</v>
      </c>
      <c r="K1298" s="493">
        <v>107546.0</v>
      </c>
      <c r="L1298" s="493">
        <v>304295.0</v>
      </c>
      <c r="M1298" s="493">
        <v>2.2418</v>
      </c>
      <c r="N1298" s="6">
        <v>2.7107</v>
      </c>
    </row>
    <row r="1299">
      <c r="A1299" s="491" t="s">
        <v>2021</v>
      </c>
      <c r="B1299" s="491" t="s">
        <v>1857</v>
      </c>
      <c r="C1299" s="491" t="s">
        <v>74</v>
      </c>
      <c r="D1299" s="491" t="s">
        <v>565</v>
      </c>
      <c r="E1299" s="492" t="s">
        <v>42</v>
      </c>
      <c r="F1299" s="493">
        <v>47973.0</v>
      </c>
      <c r="G1299" s="493">
        <v>23064.0</v>
      </c>
      <c r="H1299" s="493">
        <v>48.08</v>
      </c>
      <c r="I1299" s="493">
        <v>15.36</v>
      </c>
      <c r="J1299" s="493">
        <v>16.09</v>
      </c>
      <c r="K1299" s="493">
        <v>46753.0</v>
      </c>
      <c r="L1299" s="493">
        <v>304295.0</v>
      </c>
      <c r="M1299" s="493">
        <v>0.9746</v>
      </c>
      <c r="N1299" s="6">
        <v>2.0271</v>
      </c>
    </row>
    <row r="1300">
      <c r="A1300" s="491" t="s">
        <v>2021</v>
      </c>
      <c r="B1300" s="491" t="s">
        <v>1857</v>
      </c>
      <c r="C1300" s="491" t="s">
        <v>74</v>
      </c>
      <c r="D1300" s="491" t="s">
        <v>565</v>
      </c>
      <c r="E1300" s="492" t="s">
        <v>372</v>
      </c>
      <c r="F1300" s="493">
        <v>47973.0</v>
      </c>
      <c r="G1300" s="493">
        <v>12148.0</v>
      </c>
      <c r="H1300" s="493">
        <v>25.32</v>
      </c>
      <c r="I1300" s="493">
        <v>10.16</v>
      </c>
      <c r="J1300" s="493">
        <v>7.45</v>
      </c>
      <c r="K1300" s="493">
        <v>30922.0</v>
      </c>
      <c r="L1300" s="493">
        <v>304295.0</v>
      </c>
      <c r="M1300" s="493">
        <v>0.6446</v>
      </c>
      <c r="N1300" s="6">
        <v>2.5454</v>
      </c>
    </row>
    <row r="1301">
      <c r="A1301" s="491" t="s">
        <v>2021</v>
      </c>
      <c r="B1301" s="491" t="s">
        <v>1857</v>
      </c>
      <c r="C1301" s="491" t="s">
        <v>74</v>
      </c>
      <c r="D1301" s="491" t="s">
        <v>565</v>
      </c>
      <c r="E1301" s="492" t="s">
        <v>50</v>
      </c>
      <c r="F1301" s="493">
        <v>47973.0</v>
      </c>
      <c r="G1301" s="493">
        <v>14547.0</v>
      </c>
      <c r="H1301" s="493">
        <v>30.32</v>
      </c>
      <c r="I1301" s="493">
        <v>6.88</v>
      </c>
      <c r="J1301" s="493">
        <v>7.41</v>
      </c>
      <c r="K1301" s="493">
        <v>20940.0</v>
      </c>
      <c r="L1301" s="493">
        <v>304295.0</v>
      </c>
      <c r="M1301" s="493">
        <v>0.4365</v>
      </c>
      <c r="N1301" s="6">
        <v>1.4395</v>
      </c>
    </row>
    <row r="1302">
      <c r="A1302" s="491" t="s">
        <v>2021</v>
      </c>
      <c r="B1302" s="491" t="s">
        <v>1857</v>
      </c>
      <c r="C1302" s="491" t="s">
        <v>74</v>
      </c>
      <c r="D1302" s="491" t="s">
        <v>565</v>
      </c>
      <c r="E1302" s="492" t="s">
        <v>134</v>
      </c>
      <c r="F1302" s="493">
        <v>47973.0</v>
      </c>
      <c r="G1302" s="493">
        <v>13050.0</v>
      </c>
      <c r="H1302" s="493">
        <v>27.2</v>
      </c>
      <c r="I1302" s="493">
        <v>6.45</v>
      </c>
      <c r="J1302" s="493">
        <v>7.8</v>
      </c>
      <c r="K1302" s="493">
        <v>19616.0</v>
      </c>
      <c r="L1302" s="493">
        <v>304295.0</v>
      </c>
      <c r="M1302" s="493">
        <v>0.4089</v>
      </c>
      <c r="N1302" s="6">
        <v>1.5031</v>
      </c>
    </row>
    <row r="1303">
      <c r="A1303" s="491" t="s">
        <v>2021</v>
      </c>
      <c r="B1303" s="491" t="s">
        <v>1857</v>
      </c>
      <c r="C1303" s="491" t="s">
        <v>74</v>
      </c>
      <c r="D1303" s="491" t="s">
        <v>565</v>
      </c>
      <c r="E1303" s="492" t="s">
        <v>370</v>
      </c>
      <c r="F1303" s="493">
        <v>47973.0</v>
      </c>
      <c r="G1303" s="493">
        <v>11812.0</v>
      </c>
      <c r="H1303" s="493">
        <v>24.62</v>
      </c>
      <c r="I1303" s="493">
        <v>6.2</v>
      </c>
      <c r="J1303" s="493">
        <v>4.63</v>
      </c>
      <c r="K1303" s="493">
        <v>18859.0</v>
      </c>
      <c r="L1303" s="493">
        <v>304295.0</v>
      </c>
      <c r="M1303" s="493">
        <v>0.3931</v>
      </c>
      <c r="N1303" s="6">
        <v>1.5966</v>
      </c>
    </row>
    <row r="1304">
      <c r="A1304" s="491" t="s">
        <v>2021</v>
      </c>
      <c r="B1304" s="491" t="s">
        <v>1857</v>
      </c>
      <c r="C1304" s="491" t="s">
        <v>74</v>
      </c>
      <c r="D1304" s="491" t="s">
        <v>565</v>
      </c>
      <c r="E1304" s="492" t="s">
        <v>366</v>
      </c>
      <c r="F1304" s="493">
        <v>47973.0</v>
      </c>
      <c r="G1304" s="493">
        <v>13629.0</v>
      </c>
      <c r="H1304" s="493">
        <v>28.41</v>
      </c>
      <c r="I1304" s="493">
        <v>5.37</v>
      </c>
      <c r="J1304" s="493">
        <v>5.78</v>
      </c>
      <c r="K1304" s="493">
        <v>16333.0</v>
      </c>
      <c r="L1304" s="493">
        <v>304295.0</v>
      </c>
      <c r="M1304" s="493">
        <v>0.3405</v>
      </c>
      <c r="N1304" s="6">
        <v>1.1984</v>
      </c>
    </row>
    <row r="1305">
      <c r="A1305" s="491" t="s">
        <v>2021</v>
      </c>
      <c r="B1305" s="491" t="s">
        <v>1857</v>
      </c>
      <c r="C1305" s="491" t="s">
        <v>74</v>
      </c>
      <c r="D1305" s="491" t="s">
        <v>565</v>
      </c>
      <c r="E1305" s="492" t="s">
        <v>365</v>
      </c>
      <c r="F1305" s="493">
        <v>47973.0</v>
      </c>
      <c r="G1305" s="493">
        <v>7845.0</v>
      </c>
      <c r="H1305" s="493">
        <v>16.35</v>
      </c>
      <c r="I1305" s="493">
        <v>4.68</v>
      </c>
      <c r="J1305" s="493">
        <v>3.44</v>
      </c>
      <c r="K1305" s="493">
        <v>14246.0</v>
      </c>
      <c r="L1305" s="493">
        <v>304295.0</v>
      </c>
      <c r="M1305" s="493">
        <v>0.297</v>
      </c>
      <c r="N1305" s="6">
        <v>1.8159</v>
      </c>
    </row>
    <row r="1306">
      <c r="A1306" s="491" t="s">
        <v>2021</v>
      </c>
      <c r="B1306" s="491" t="s">
        <v>1857</v>
      </c>
      <c r="C1306" s="491" t="s">
        <v>74</v>
      </c>
      <c r="D1306" s="491" t="s">
        <v>565</v>
      </c>
      <c r="E1306" s="492" t="s">
        <v>44</v>
      </c>
      <c r="F1306" s="493">
        <v>47973.0</v>
      </c>
      <c r="G1306" s="493">
        <v>6512.0</v>
      </c>
      <c r="H1306" s="493">
        <v>13.57</v>
      </c>
      <c r="I1306" s="493">
        <v>2.71</v>
      </c>
      <c r="J1306" s="493">
        <v>1.55</v>
      </c>
      <c r="K1306" s="493">
        <v>8259.0</v>
      </c>
      <c r="L1306" s="493">
        <v>304295.0</v>
      </c>
      <c r="M1306" s="493">
        <v>0.1722</v>
      </c>
      <c r="N1306" s="6">
        <v>1.2683</v>
      </c>
    </row>
    <row r="1307">
      <c r="A1307" s="491" t="s">
        <v>2021</v>
      </c>
      <c r="B1307" s="491" t="s">
        <v>1857</v>
      </c>
      <c r="C1307" s="491" t="s">
        <v>74</v>
      </c>
      <c r="D1307" s="491" t="s">
        <v>565</v>
      </c>
      <c r="E1307" s="492" t="s">
        <v>40</v>
      </c>
      <c r="F1307" s="493">
        <v>47973.0</v>
      </c>
      <c r="G1307" s="493">
        <v>3535.0</v>
      </c>
      <c r="H1307" s="493">
        <v>7.37</v>
      </c>
      <c r="I1307" s="493">
        <v>2.1</v>
      </c>
      <c r="J1307" s="493">
        <v>1.75</v>
      </c>
      <c r="K1307" s="493">
        <v>6389.0</v>
      </c>
      <c r="L1307" s="493">
        <v>304295.0</v>
      </c>
      <c r="M1307" s="493">
        <v>0.1332</v>
      </c>
      <c r="N1307" s="6">
        <v>1.8074</v>
      </c>
    </row>
    <row r="1308">
      <c r="A1308" s="491" t="s">
        <v>2021</v>
      </c>
      <c r="B1308" s="491" t="s">
        <v>1857</v>
      </c>
      <c r="C1308" s="491" t="s">
        <v>74</v>
      </c>
      <c r="D1308" s="491" t="s">
        <v>565</v>
      </c>
      <c r="E1308" s="492" t="s">
        <v>367</v>
      </c>
      <c r="F1308" s="493">
        <v>47973.0</v>
      </c>
      <c r="G1308" s="493">
        <v>4635.0</v>
      </c>
      <c r="H1308" s="493">
        <v>9.66</v>
      </c>
      <c r="I1308" s="493">
        <v>1.56</v>
      </c>
      <c r="J1308" s="493">
        <v>1.06</v>
      </c>
      <c r="K1308" s="493">
        <v>4749.0</v>
      </c>
      <c r="L1308" s="493">
        <v>304295.0</v>
      </c>
      <c r="M1308" s="493">
        <v>0.099</v>
      </c>
      <c r="N1308" s="6">
        <v>1.0246</v>
      </c>
    </row>
    <row r="1309">
      <c r="A1309" s="491" t="s">
        <v>2021</v>
      </c>
      <c r="B1309" s="491" t="s">
        <v>1857</v>
      </c>
      <c r="C1309" s="491" t="s">
        <v>74</v>
      </c>
      <c r="D1309" s="491" t="s">
        <v>565</v>
      </c>
      <c r="E1309" s="492" t="s">
        <v>310</v>
      </c>
      <c r="F1309" s="493">
        <v>47973.0</v>
      </c>
      <c r="G1309" s="493">
        <v>2707.0</v>
      </c>
      <c r="H1309" s="493">
        <v>5.64</v>
      </c>
      <c r="I1309" s="493">
        <v>0.96</v>
      </c>
      <c r="J1309" s="493">
        <v>1.02</v>
      </c>
      <c r="K1309" s="493">
        <v>2934.0</v>
      </c>
      <c r="L1309" s="493">
        <v>304295.0</v>
      </c>
      <c r="M1309" s="493">
        <v>0.0612</v>
      </c>
      <c r="N1309" s="6">
        <v>1.0839</v>
      </c>
    </row>
    <row r="1310">
      <c r="A1310" s="491" t="s">
        <v>2021</v>
      </c>
      <c r="B1310" s="491" t="s">
        <v>1857</v>
      </c>
      <c r="C1310" s="491" t="s">
        <v>74</v>
      </c>
      <c r="D1310" s="491" t="s">
        <v>565</v>
      </c>
      <c r="E1310" s="492" t="s">
        <v>32</v>
      </c>
      <c r="F1310" s="493">
        <v>47973.0</v>
      </c>
      <c r="G1310" s="493">
        <v>2541.0</v>
      </c>
      <c r="H1310" s="493">
        <v>5.3</v>
      </c>
      <c r="I1310" s="493">
        <v>0.89</v>
      </c>
      <c r="J1310" s="493">
        <v>0.95</v>
      </c>
      <c r="K1310" s="493">
        <v>2696.0</v>
      </c>
      <c r="L1310" s="493">
        <v>304295.0</v>
      </c>
      <c r="M1310" s="493">
        <v>0.0562</v>
      </c>
      <c r="N1310" s="6">
        <v>1.061</v>
      </c>
    </row>
    <row r="1311">
      <c r="A1311" s="491" t="s">
        <v>2021</v>
      </c>
      <c r="B1311" s="491" t="s">
        <v>1857</v>
      </c>
      <c r="C1311" s="491" t="s">
        <v>74</v>
      </c>
      <c r="D1311" s="491" t="s">
        <v>565</v>
      </c>
      <c r="E1311" s="492" t="s">
        <v>312</v>
      </c>
      <c r="F1311" s="493">
        <v>47973.0</v>
      </c>
      <c r="G1311" s="493">
        <v>2460.0</v>
      </c>
      <c r="H1311" s="493">
        <v>5.13</v>
      </c>
      <c r="I1311" s="493">
        <v>0.89</v>
      </c>
      <c r="J1311" s="493">
        <v>0.77</v>
      </c>
      <c r="K1311" s="493">
        <v>2698.0</v>
      </c>
      <c r="L1311" s="493">
        <v>304295.0</v>
      </c>
      <c r="M1311" s="493">
        <v>0.0562</v>
      </c>
      <c r="N1311" s="6">
        <v>1.0967</v>
      </c>
    </row>
    <row r="1312">
      <c r="A1312" s="491" t="s">
        <v>2021</v>
      </c>
      <c r="B1312" s="491" t="s">
        <v>1857</v>
      </c>
      <c r="C1312" s="491" t="s">
        <v>74</v>
      </c>
      <c r="D1312" s="491" t="s">
        <v>565</v>
      </c>
      <c r="E1312" s="492" t="s">
        <v>311</v>
      </c>
      <c r="F1312" s="493">
        <v>47973.0</v>
      </c>
      <c r="G1312" s="493">
        <v>669.0</v>
      </c>
      <c r="H1312" s="493">
        <v>1.39</v>
      </c>
      <c r="I1312" s="493">
        <v>0.22</v>
      </c>
      <c r="J1312" s="493">
        <v>0.26</v>
      </c>
      <c r="K1312" s="493">
        <v>680.0</v>
      </c>
      <c r="L1312" s="493">
        <v>304295.0</v>
      </c>
      <c r="M1312" s="493">
        <v>0.0142</v>
      </c>
      <c r="N1312" s="6">
        <v>1.0164</v>
      </c>
    </row>
    <row r="1313">
      <c r="A1313" s="491" t="s">
        <v>2021</v>
      </c>
      <c r="B1313" s="491" t="s">
        <v>1857</v>
      </c>
      <c r="C1313" s="491" t="s">
        <v>74</v>
      </c>
      <c r="D1313" s="491" t="s">
        <v>565</v>
      </c>
      <c r="E1313" s="492" t="s">
        <v>368</v>
      </c>
      <c r="F1313" s="493">
        <v>47973.0</v>
      </c>
      <c r="G1313" s="493">
        <v>248.0</v>
      </c>
      <c r="H1313" s="493">
        <v>0.52</v>
      </c>
      <c r="I1313" s="493">
        <v>0.1</v>
      </c>
      <c r="J1313" s="493">
        <v>0.06</v>
      </c>
      <c r="K1313" s="493">
        <v>315.0</v>
      </c>
      <c r="L1313" s="493">
        <v>304295.0</v>
      </c>
      <c r="M1313" s="493">
        <v>0.0066</v>
      </c>
      <c r="N1313" s="6">
        <v>1.2702</v>
      </c>
    </row>
    <row r="1314">
      <c r="A1314" s="491" t="s">
        <v>2021</v>
      </c>
      <c r="B1314" s="491" t="s">
        <v>1857</v>
      </c>
      <c r="C1314" s="491" t="s">
        <v>74</v>
      </c>
      <c r="D1314" s="491" t="s">
        <v>565</v>
      </c>
      <c r="E1314" s="492" t="s">
        <v>369</v>
      </c>
      <c r="F1314" s="493">
        <v>47973.0</v>
      </c>
      <c r="G1314" s="493">
        <v>176.0</v>
      </c>
      <c r="H1314" s="493">
        <v>0.37</v>
      </c>
      <c r="I1314" s="493">
        <v>0.06</v>
      </c>
      <c r="J1314" s="493">
        <v>0.03</v>
      </c>
      <c r="K1314" s="493">
        <v>181.0</v>
      </c>
      <c r="L1314" s="493">
        <v>304295.0</v>
      </c>
      <c r="M1314" s="493">
        <v>0.0038</v>
      </c>
      <c r="N1314" s="6">
        <v>1.0284</v>
      </c>
    </row>
    <row r="1315">
      <c r="A1315" s="491" t="s">
        <v>2021</v>
      </c>
      <c r="B1315" s="491" t="s">
        <v>1857</v>
      </c>
      <c r="C1315" s="491" t="s">
        <v>74</v>
      </c>
      <c r="D1315" s="491" t="s">
        <v>565</v>
      </c>
      <c r="E1315" s="492" t="s">
        <v>43</v>
      </c>
      <c r="F1315" s="493">
        <v>47973.0</v>
      </c>
      <c r="G1315" s="493">
        <v>153.0</v>
      </c>
      <c r="H1315" s="493">
        <v>0.32</v>
      </c>
      <c r="I1315" s="493">
        <v>0.05</v>
      </c>
      <c r="J1315" s="493">
        <v>0.08</v>
      </c>
      <c r="K1315" s="493">
        <v>157.0</v>
      </c>
      <c r="L1315" s="493">
        <v>304295.0</v>
      </c>
      <c r="M1315" s="493">
        <v>0.0033</v>
      </c>
      <c r="N1315" s="6">
        <v>1.0261</v>
      </c>
    </row>
    <row r="1316">
      <c r="A1316" s="491" t="s">
        <v>2021</v>
      </c>
      <c r="B1316" s="491" t="s">
        <v>1857</v>
      </c>
      <c r="C1316" s="491" t="s">
        <v>74</v>
      </c>
      <c r="D1316" s="491" t="s">
        <v>565</v>
      </c>
      <c r="E1316" s="492" t="s">
        <v>189</v>
      </c>
      <c r="F1316" s="493">
        <v>47973.0</v>
      </c>
      <c r="G1316" s="493">
        <v>12.0</v>
      </c>
      <c r="H1316" s="493">
        <v>0.03</v>
      </c>
      <c r="I1316" s="493">
        <v>0.0</v>
      </c>
      <c r="J1316" s="493">
        <v>0.01</v>
      </c>
      <c r="K1316" s="493">
        <v>12.0</v>
      </c>
      <c r="L1316" s="493">
        <v>304295.0</v>
      </c>
      <c r="M1316" s="493">
        <v>3.0E-4</v>
      </c>
      <c r="N1316" s="6">
        <v>1.0</v>
      </c>
    </row>
    <row r="1317">
      <c r="A1317" s="491" t="s">
        <v>2021</v>
      </c>
      <c r="B1317" s="491" t="s">
        <v>1857</v>
      </c>
      <c r="C1317" s="491" t="s">
        <v>74</v>
      </c>
      <c r="D1317" s="491" t="s">
        <v>565</v>
      </c>
      <c r="E1317" s="492" t="s">
        <v>373</v>
      </c>
      <c r="F1317" s="493">
        <v>47973.0</v>
      </c>
      <c r="G1317" s="493">
        <v>3.0</v>
      </c>
      <c r="H1317" s="493">
        <v>0.01</v>
      </c>
      <c r="I1317" s="493">
        <v>0.0</v>
      </c>
      <c r="J1317" s="493">
        <v>0.0</v>
      </c>
      <c r="K1317" s="493">
        <v>10.0</v>
      </c>
      <c r="L1317" s="493">
        <v>304295.0</v>
      </c>
      <c r="M1317" s="493">
        <v>2.0E-4</v>
      </c>
      <c r="N1317" s="6">
        <v>3.3333</v>
      </c>
    </row>
    <row r="1318">
      <c r="A1318" s="491" t="s">
        <v>2021</v>
      </c>
      <c r="B1318" s="491" t="s">
        <v>1857</v>
      </c>
      <c r="C1318" s="491" t="s">
        <v>1872</v>
      </c>
      <c r="D1318" s="491" t="s">
        <v>1872</v>
      </c>
      <c r="E1318" s="492" t="s">
        <v>371</v>
      </c>
      <c r="F1318" s="493">
        <v>56051.0</v>
      </c>
      <c r="G1318" s="493">
        <v>54841.0</v>
      </c>
      <c r="H1318" s="493">
        <v>97.84</v>
      </c>
      <c r="I1318" s="493">
        <v>20.79</v>
      </c>
      <c r="J1318" s="493">
        <v>23.4</v>
      </c>
      <c r="K1318" s="493">
        <v>1.0228005E7</v>
      </c>
      <c r="L1318" s="493">
        <v>4.9202206E7</v>
      </c>
      <c r="M1318" s="493">
        <v>182.4768</v>
      </c>
      <c r="N1318" s="6">
        <v>186.5029</v>
      </c>
    </row>
    <row r="1319">
      <c r="A1319" s="491" t="s">
        <v>2021</v>
      </c>
      <c r="B1319" s="491" t="s">
        <v>1857</v>
      </c>
      <c r="C1319" s="491" t="s">
        <v>1872</v>
      </c>
      <c r="D1319" s="491" t="s">
        <v>1872</v>
      </c>
      <c r="E1319" s="492" t="s">
        <v>372</v>
      </c>
      <c r="F1319" s="493">
        <v>56051.0</v>
      </c>
      <c r="G1319" s="493">
        <v>42434.0</v>
      </c>
      <c r="H1319" s="493">
        <v>75.71</v>
      </c>
      <c r="I1319" s="493">
        <v>10.17</v>
      </c>
      <c r="J1319" s="493">
        <v>10.66</v>
      </c>
      <c r="K1319" s="493">
        <v>5005550.0</v>
      </c>
      <c r="L1319" s="493">
        <v>4.9202206E7</v>
      </c>
      <c r="M1319" s="493">
        <v>89.3035</v>
      </c>
      <c r="N1319" s="6">
        <v>117.9608</v>
      </c>
    </row>
    <row r="1320">
      <c r="A1320" s="491" t="s">
        <v>2021</v>
      </c>
      <c r="B1320" s="491" t="s">
        <v>1857</v>
      </c>
      <c r="C1320" s="491" t="s">
        <v>1872</v>
      </c>
      <c r="D1320" s="491" t="s">
        <v>1872</v>
      </c>
      <c r="E1320" s="492" t="s">
        <v>367</v>
      </c>
      <c r="F1320" s="493">
        <v>56051.0</v>
      </c>
      <c r="G1320" s="493">
        <v>46439.0</v>
      </c>
      <c r="H1320" s="493">
        <v>82.85</v>
      </c>
      <c r="I1320" s="493">
        <v>10.14</v>
      </c>
      <c r="J1320" s="493">
        <v>10.79</v>
      </c>
      <c r="K1320" s="493">
        <v>4988435.0</v>
      </c>
      <c r="L1320" s="493">
        <v>4.9202206E7</v>
      </c>
      <c r="M1320" s="493">
        <v>88.9981</v>
      </c>
      <c r="N1320" s="6">
        <v>107.4191</v>
      </c>
    </row>
    <row r="1321">
      <c r="A1321" s="491" t="s">
        <v>2021</v>
      </c>
      <c r="B1321" s="491" t="s">
        <v>1857</v>
      </c>
      <c r="C1321" s="491" t="s">
        <v>1872</v>
      </c>
      <c r="D1321" s="491" t="s">
        <v>1872</v>
      </c>
      <c r="E1321" s="492" t="s">
        <v>368</v>
      </c>
      <c r="F1321" s="493">
        <v>56051.0</v>
      </c>
      <c r="G1321" s="493">
        <v>25252.0</v>
      </c>
      <c r="H1321" s="493">
        <v>45.05</v>
      </c>
      <c r="I1321" s="493">
        <v>8.91</v>
      </c>
      <c r="J1321" s="493">
        <v>9.8</v>
      </c>
      <c r="K1321" s="493">
        <v>4383475.0</v>
      </c>
      <c r="L1321" s="493">
        <v>4.9202206E7</v>
      </c>
      <c r="M1321" s="493">
        <v>78.2051</v>
      </c>
      <c r="N1321" s="6">
        <v>173.5892</v>
      </c>
    </row>
    <row r="1322">
      <c r="A1322" s="491" t="s">
        <v>2021</v>
      </c>
      <c r="B1322" s="491" t="s">
        <v>1857</v>
      </c>
      <c r="C1322" s="491" t="s">
        <v>1872</v>
      </c>
      <c r="D1322" s="491" t="s">
        <v>1872</v>
      </c>
      <c r="E1322" s="492" t="s">
        <v>366</v>
      </c>
      <c r="F1322" s="493">
        <v>56051.0</v>
      </c>
      <c r="G1322" s="493">
        <v>38684.0</v>
      </c>
      <c r="H1322" s="493">
        <v>69.02</v>
      </c>
      <c r="I1322" s="493">
        <v>7.51</v>
      </c>
      <c r="J1322" s="493">
        <v>8.37</v>
      </c>
      <c r="K1322" s="493">
        <v>3696850.0</v>
      </c>
      <c r="L1322" s="493">
        <v>4.9202206E7</v>
      </c>
      <c r="M1322" s="493">
        <v>65.9551</v>
      </c>
      <c r="N1322" s="6">
        <v>95.5654</v>
      </c>
    </row>
    <row r="1323">
      <c r="A1323" s="491" t="s">
        <v>2021</v>
      </c>
      <c r="B1323" s="491" t="s">
        <v>1857</v>
      </c>
      <c r="C1323" s="491" t="s">
        <v>1872</v>
      </c>
      <c r="D1323" s="491" t="s">
        <v>1872</v>
      </c>
      <c r="E1323" s="492" t="s">
        <v>50</v>
      </c>
      <c r="F1323" s="493">
        <v>56051.0</v>
      </c>
      <c r="G1323" s="493">
        <v>27733.0</v>
      </c>
      <c r="H1323" s="493">
        <v>49.48</v>
      </c>
      <c r="I1323" s="493">
        <v>6.93</v>
      </c>
      <c r="J1323" s="493">
        <v>6.73</v>
      </c>
      <c r="K1323" s="493">
        <v>3410470.0</v>
      </c>
      <c r="L1323" s="493">
        <v>4.9202206E7</v>
      </c>
      <c r="M1323" s="493">
        <v>60.8458</v>
      </c>
      <c r="N1323" s="6">
        <v>122.9752</v>
      </c>
    </row>
    <row r="1324">
      <c r="A1324" s="491" t="s">
        <v>2021</v>
      </c>
      <c r="B1324" s="491" t="s">
        <v>1857</v>
      </c>
      <c r="C1324" s="491" t="s">
        <v>1872</v>
      </c>
      <c r="D1324" s="491" t="s">
        <v>1872</v>
      </c>
      <c r="E1324" s="492" t="s">
        <v>42</v>
      </c>
      <c r="F1324" s="493">
        <v>56051.0</v>
      </c>
      <c r="G1324" s="493">
        <v>23588.0</v>
      </c>
      <c r="H1324" s="493">
        <v>42.08</v>
      </c>
      <c r="I1324" s="493">
        <v>6.75</v>
      </c>
      <c r="J1324" s="493">
        <v>6.72</v>
      </c>
      <c r="K1324" s="493">
        <v>3323315.0</v>
      </c>
      <c r="L1324" s="493">
        <v>4.9202206E7</v>
      </c>
      <c r="M1324" s="493">
        <v>59.2909</v>
      </c>
      <c r="N1324" s="6">
        <v>140.8901</v>
      </c>
    </row>
    <row r="1325">
      <c r="A1325" s="491" t="s">
        <v>2021</v>
      </c>
      <c r="B1325" s="491" t="s">
        <v>1857</v>
      </c>
      <c r="C1325" s="491" t="s">
        <v>1872</v>
      </c>
      <c r="D1325" s="491" t="s">
        <v>1872</v>
      </c>
      <c r="E1325" s="492" t="s">
        <v>370</v>
      </c>
      <c r="F1325" s="493">
        <v>56051.0</v>
      </c>
      <c r="G1325" s="493">
        <v>24667.0</v>
      </c>
      <c r="H1325" s="493">
        <v>44.01</v>
      </c>
      <c r="I1325" s="493">
        <v>6.21</v>
      </c>
      <c r="J1325" s="493">
        <v>4.71</v>
      </c>
      <c r="K1325" s="493">
        <v>3053871.0</v>
      </c>
      <c r="L1325" s="493">
        <v>4.9202206E7</v>
      </c>
      <c r="M1325" s="493">
        <v>54.4838</v>
      </c>
      <c r="N1325" s="6">
        <v>123.8039</v>
      </c>
    </row>
    <row r="1326">
      <c r="A1326" s="491" t="s">
        <v>2021</v>
      </c>
      <c r="B1326" s="491" t="s">
        <v>1857</v>
      </c>
      <c r="C1326" s="491" t="s">
        <v>1872</v>
      </c>
      <c r="D1326" s="491" t="s">
        <v>1872</v>
      </c>
      <c r="E1326" s="492" t="s">
        <v>40</v>
      </c>
      <c r="F1326" s="493">
        <v>56051.0</v>
      </c>
      <c r="G1326" s="493">
        <v>18935.0</v>
      </c>
      <c r="H1326" s="493">
        <v>33.78</v>
      </c>
      <c r="I1326" s="493">
        <v>4.9</v>
      </c>
      <c r="J1326" s="493">
        <v>4.0</v>
      </c>
      <c r="K1326" s="493">
        <v>2409405.0</v>
      </c>
      <c r="L1326" s="493">
        <v>4.9202206E7</v>
      </c>
      <c r="M1326" s="493">
        <v>42.9859</v>
      </c>
      <c r="N1326" s="6">
        <v>127.2461</v>
      </c>
    </row>
    <row r="1327">
      <c r="A1327" s="491" t="s">
        <v>2021</v>
      </c>
      <c r="B1327" s="491" t="s">
        <v>1857</v>
      </c>
      <c r="C1327" s="491" t="s">
        <v>1872</v>
      </c>
      <c r="D1327" s="491" t="s">
        <v>1872</v>
      </c>
      <c r="E1327" s="492" t="s">
        <v>134</v>
      </c>
      <c r="F1327" s="493">
        <v>56051.0</v>
      </c>
      <c r="G1327" s="493">
        <v>15673.0</v>
      </c>
      <c r="H1327" s="493">
        <v>27.96</v>
      </c>
      <c r="I1327" s="493">
        <v>2.83</v>
      </c>
      <c r="J1327" s="493">
        <v>2.56</v>
      </c>
      <c r="K1327" s="493">
        <v>1392890.0</v>
      </c>
      <c r="L1327" s="493">
        <v>4.9202206E7</v>
      </c>
      <c r="M1327" s="493">
        <v>24.8504</v>
      </c>
      <c r="N1327" s="6">
        <v>88.8719</v>
      </c>
    </row>
    <row r="1328">
      <c r="A1328" s="491" t="s">
        <v>2021</v>
      </c>
      <c r="B1328" s="491" t="s">
        <v>1857</v>
      </c>
      <c r="C1328" s="491" t="s">
        <v>1872</v>
      </c>
      <c r="D1328" s="491" t="s">
        <v>1872</v>
      </c>
      <c r="E1328" s="492" t="s">
        <v>365</v>
      </c>
      <c r="F1328" s="493">
        <v>56051.0</v>
      </c>
      <c r="G1328" s="493">
        <v>19598.0</v>
      </c>
      <c r="H1328" s="493">
        <v>34.96</v>
      </c>
      <c r="I1328" s="493">
        <v>2.81</v>
      </c>
      <c r="J1328" s="493">
        <v>2.32</v>
      </c>
      <c r="K1328" s="493">
        <v>1381990.0</v>
      </c>
      <c r="L1328" s="493">
        <v>4.9202206E7</v>
      </c>
      <c r="M1328" s="493">
        <v>24.6559</v>
      </c>
      <c r="N1328" s="6">
        <v>70.5169</v>
      </c>
    </row>
    <row r="1329">
      <c r="A1329" s="491" t="s">
        <v>2021</v>
      </c>
      <c r="B1329" s="491" t="s">
        <v>1857</v>
      </c>
      <c r="C1329" s="491" t="s">
        <v>1872</v>
      </c>
      <c r="D1329" s="491" t="s">
        <v>1872</v>
      </c>
      <c r="E1329" s="492" t="s">
        <v>310</v>
      </c>
      <c r="F1329" s="493">
        <v>56051.0</v>
      </c>
      <c r="G1329" s="493">
        <v>8622.0</v>
      </c>
      <c r="H1329" s="493">
        <v>15.38</v>
      </c>
      <c r="I1329" s="493">
        <v>2.29</v>
      </c>
      <c r="J1329" s="493">
        <v>1.87</v>
      </c>
      <c r="K1329" s="493">
        <v>1127450.0</v>
      </c>
      <c r="L1329" s="493">
        <v>4.9202206E7</v>
      </c>
      <c r="M1329" s="493">
        <v>20.1147</v>
      </c>
      <c r="N1329" s="6">
        <v>130.7643</v>
      </c>
    </row>
    <row r="1330">
      <c r="A1330" s="491" t="s">
        <v>2021</v>
      </c>
      <c r="B1330" s="491" t="s">
        <v>1857</v>
      </c>
      <c r="C1330" s="491" t="s">
        <v>1872</v>
      </c>
      <c r="D1330" s="491" t="s">
        <v>1872</v>
      </c>
      <c r="E1330" s="492" t="s">
        <v>44</v>
      </c>
      <c r="F1330" s="493">
        <v>56051.0</v>
      </c>
      <c r="G1330" s="493">
        <v>28250.0</v>
      </c>
      <c r="H1330" s="493">
        <v>50.4</v>
      </c>
      <c r="I1330" s="493">
        <v>2.14</v>
      </c>
      <c r="J1330" s="493">
        <v>1.79</v>
      </c>
      <c r="K1330" s="493">
        <v>1053755.0</v>
      </c>
      <c r="L1330" s="493">
        <v>4.9202206E7</v>
      </c>
      <c r="M1330" s="493">
        <v>18.7999</v>
      </c>
      <c r="N1330" s="6">
        <v>37.3011</v>
      </c>
    </row>
    <row r="1331">
      <c r="A1331" s="491" t="s">
        <v>2021</v>
      </c>
      <c r="B1331" s="491" t="s">
        <v>1857</v>
      </c>
      <c r="C1331" s="491" t="s">
        <v>1872</v>
      </c>
      <c r="D1331" s="491" t="s">
        <v>1872</v>
      </c>
      <c r="E1331" s="492" t="s">
        <v>312</v>
      </c>
      <c r="F1331" s="493">
        <v>56051.0</v>
      </c>
      <c r="G1331" s="493">
        <v>7492.0</v>
      </c>
      <c r="H1331" s="493">
        <v>13.37</v>
      </c>
      <c r="I1331" s="493">
        <v>2.07</v>
      </c>
      <c r="J1331" s="493">
        <v>1.61</v>
      </c>
      <c r="K1331" s="493">
        <v>1019875.0</v>
      </c>
      <c r="L1331" s="493">
        <v>4.9202206E7</v>
      </c>
      <c r="M1331" s="493">
        <v>18.1955</v>
      </c>
      <c r="N1331" s="6">
        <v>136.1285</v>
      </c>
    </row>
    <row r="1332">
      <c r="A1332" s="491" t="s">
        <v>2021</v>
      </c>
      <c r="B1332" s="491" t="s">
        <v>1857</v>
      </c>
      <c r="C1332" s="491" t="s">
        <v>1872</v>
      </c>
      <c r="D1332" s="491" t="s">
        <v>1872</v>
      </c>
      <c r="E1332" s="492" t="s">
        <v>32</v>
      </c>
      <c r="F1332" s="493">
        <v>56051.0</v>
      </c>
      <c r="G1332" s="493">
        <v>7704.0</v>
      </c>
      <c r="H1332" s="493">
        <v>13.74</v>
      </c>
      <c r="I1332" s="493">
        <v>2.06</v>
      </c>
      <c r="J1332" s="493">
        <v>1.7</v>
      </c>
      <c r="K1332" s="493">
        <v>1011470.0</v>
      </c>
      <c r="L1332" s="493">
        <v>4.9202206E7</v>
      </c>
      <c r="M1332" s="493">
        <v>18.0455</v>
      </c>
      <c r="N1332" s="6">
        <v>131.2915</v>
      </c>
    </row>
    <row r="1333">
      <c r="A1333" s="491" t="s">
        <v>2021</v>
      </c>
      <c r="B1333" s="491" t="s">
        <v>1857</v>
      </c>
      <c r="C1333" s="491" t="s">
        <v>1872</v>
      </c>
      <c r="D1333" s="491" t="s">
        <v>1872</v>
      </c>
      <c r="E1333" s="492" t="s">
        <v>369</v>
      </c>
      <c r="F1333" s="493">
        <v>56051.0</v>
      </c>
      <c r="G1333" s="493">
        <v>15553.0</v>
      </c>
      <c r="H1333" s="493">
        <v>27.75</v>
      </c>
      <c r="I1333" s="493">
        <v>1.18</v>
      </c>
      <c r="J1333" s="493">
        <v>1.0</v>
      </c>
      <c r="K1333" s="493">
        <v>581375.0</v>
      </c>
      <c r="L1333" s="493">
        <v>4.9202206E7</v>
      </c>
      <c r="M1333" s="493">
        <v>10.3723</v>
      </c>
      <c r="N1333" s="6">
        <v>37.3802</v>
      </c>
    </row>
    <row r="1334">
      <c r="A1334" s="491" t="s">
        <v>2021</v>
      </c>
      <c r="B1334" s="491" t="s">
        <v>1857</v>
      </c>
      <c r="C1334" s="491" t="s">
        <v>1872</v>
      </c>
      <c r="D1334" s="491" t="s">
        <v>1872</v>
      </c>
      <c r="E1334" s="492" t="s">
        <v>35</v>
      </c>
      <c r="F1334" s="493">
        <v>56051.0</v>
      </c>
      <c r="G1334" s="493">
        <v>10143.0</v>
      </c>
      <c r="H1334" s="493">
        <v>18.1</v>
      </c>
      <c r="I1334" s="493">
        <v>0.66</v>
      </c>
      <c r="J1334" s="493">
        <v>0.61</v>
      </c>
      <c r="K1334" s="493">
        <v>324825.0</v>
      </c>
      <c r="L1334" s="493">
        <v>4.9202206E7</v>
      </c>
      <c r="M1334" s="493">
        <v>5.7952</v>
      </c>
      <c r="N1334" s="6">
        <v>32.0245</v>
      </c>
    </row>
    <row r="1335">
      <c r="A1335" s="491" t="s">
        <v>2021</v>
      </c>
      <c r="B1335" s="491" t="s">
        <v>1857</v>
      </c>
      <c r="C1335" s="491" t="s">
        <v>1872</v>
      </c>
      <c r="D1335" s="491" t="s">
        <v>1872</v>
      </c>
      <c r="E1335" s="492" t="s">
        <v>43</v>
      </c>
      <c r="F1335" s="493">
        <v>56051.0</v>
      </c>
      <c r="G1335" s="493">
        <v>2050.0</v>
      </c>
      <c r="H1335" s="493">
        <v>3.66</v>
      </c>
      <c r="I1335" s="493">
        <v>0.65</v>
      </c>
      <c r="J1335" s="493">
        <v>0.49</v>
      </c>
      <c r="K1335" s="493">
        <v>319825.0</v>
      </c>
      <c r="L1335" s="493">
        <v>4.9202206E7</v>
      </c>
      <c r="M1335" s="493">
        <v>5.706</v>
      </c>
      <c r="N1335" s="6">
        <v>156.0122</v>
      </c>
    </row>
    <row r="1336">
      <c r="A1336" s="491" t="s">
        <v>2021</v>
      </c>
      <c r="B1336" s="491" t="s">
        <v>1857</v>
      </c>
      <c r="C1336" s="491" t="s">
        <v>1872</v>
      </c>
      <c r="D1336" s="491" t="s">
        <v>1872</v>
      </c>
      <c r="E1336" s="492" t="s">
        <v>311</v>
      </c>
      <c r="F1336" s="493">
        <v>56051.0</v>
      </c>
      <c r="G1336" s="493">
        <v>2268.0</v>
      </c>
      <c r="H1336" s="493">
        <v>4.05</v>
      </c>
      <c r="I1336" s="493">
        <v>0.52</v>
      </c>
      <c r="J1336" s="493">
        <v>0.47</v>
      </c>
      <c r="K1336" s="493">
        <v>258050.0</v>
      </c>
      <c r="L1336" s="493">
        <v>4.9202206E7</v>
      </c>
      <c r="M1336" s="493">
        <v>4.6038</v>
      </c>
      <c r="N1336" s="6">
        <v>113.7787</v>
      </c>
    </row>
    <row r="1337">
      <c r="A1337" s="491" t="s">
        <v>2021</v>
      </c>
      <c r="B1337" s="491" t="s">
        <v>1857</v>
      </c>
      <c r="C1337" s="491" t="s">
        <v>1872</v>
      </c>
      <c r="D1337" s="491" t="s">
        <v>1872</v>
      </c>
      <c r="E1337" s="492" t="s">
        <v>189</v>
      </c>
      <c r="F1337" s="493">
        <v>56051.0</v>
      </c>
      <c r="G1337" s="493">
        <v>8262.0</v>
      </c>
      <c r="H1337" s="493">
        <v>14.74</v>
      </c>
      <c r="I1337" s="493">
        <v>0.47</v>
      </c>
      <c r="J1337" s="493">
        <v>0.39</v>
      </c>
      <c r="K1337" s="493">
        <v>231325.0</v>
      </c>
      <c r="L1337" s="493">
        <v>4.9202206E7</v>
      </c>
      <c r="M1337" s="493">
        <v>4.127</v>
      </c>
      <c r="N1337" s="6">
        <v>27.9987</v>
      </c>
    </row>
    <row r="1338">
      <c r="A1338" s="491" t="s">
        <v>2021</v>
      </c>
      <c r="B1338" s="491" t="s">
        <v>1857</v>
      </c>
      <c r="C1338" s="491" t="s">
        <v>69</v>
      </c>
      <c r="D1338" s="491" t="s">
        <v>565</v>
      </c>
      <c r="E1338" s="492" t="s">
        <v>371</v>
      </c>
      <c r="F1338" s="493">
        <v>54287.0</v>
      </c>
      <c r="G1338" s="493">
        <v>46161.0</v>
      </c>
      <c r="H1338" s="493">
        <v>85.03</v>
      </c>
      <c r="I1338" s="493">
        <v>38.2</v>
      </c>
      <c r="J1338" s="493">
        <v>35.02</v>
      </c>
      <c r="K1338" s="493">
        <v>249657.0</v>
      </c>
      <c r="L1338" s="493">
        <v>653528.0</v>
      </c>
      <c r="M1338" s="493">
        <v>4.5988</v>
      </c>
      <c r="N1338" s="6">
        <v>5.4084</v>
      </c>
    </row>
    <row r="1339">
      <c r="A1339" s="491" t="s">
        <v>2021</v>
      </c>
      <c r="B1339" s="491" t="s">
        <v>1857</v>
      </c>
      <c r="C1339" s="491" t="s">
        <v>69</v>
      </c>
      <c r="D1339" s="491" t="s">
        <v>565</v>
      </c>
      <c r="E1339" s="492" t="s">
        <v>372</v>
      </c>
      <c r="F1339" s="493">
        <v>54287.0</v>
      </c>
      <c r="G1339" s="493">
        <v>36778.0</v>
      </c>
      <c r="H1339" s="493">
        <v>67.75</v>
      </c>
      <c r="I1339" s="493">
        <v>18.55</v>
      </c>
      <c r="J1339" s="493">
        <v>19.32</v>
      </c>
      <c r="K1339" s="493">
        <v>121240.0</v>
      </c>
      <c r="L1339" s="493">
        <v>653528.0</v>
      </c>
      <c r="M1339" s="493">
        <v>2.2333</v>
      </c>
      <c r="N1339" s="6">
        <v>3.2965</v>
      </c>
    </row>
    <row r="1340">
      <c r="A1340" s="491" t="s">
        <v>2021</v>
      </c>
      <c r="B1340" s="491" t="s">
        <v>1857</v>
      </c>
      <c r="C1340" s="491" t="s">
        <v>69</v>
      </c>
      <c r="D1340" s="491" t="s">
        <v>565</v>
      </c>
      <c r="E1340" s="492" t="s">
        <v>370</v>
      </c>
      <c r="F1340" s="493">
        <v>54287.0</v>
      </c>
      <c r="G1340" s="493">
        <v>38123.0</v>
      </c>
      <c r="H1340" s="493">
        <v>70.22</v>
      </c>
      <c r="I1340" s="493">
        <v>10.87</v>
      </c>
      <c r="J1340" s="493">
        <v>13.29</v>
      </c>
      <c r="K1340" s="493">
        <v>71031.0</v>
      </c>
      <c r="L1340" s="493">
        <v>653528.0</v>
      </c>
      <c r="M1340" s="493">
        <v>1.3084</v>
      </c>
      <c r="N1340" s="6">
        <v>1.8632</v>
      </c>
    </row>
    <row r="1341">
      <c r="A1341" s="491" t="s">
        <v>2021</v>
      </c>
      <c r="B1341" s="491" t="s">
        <v>1857</v>
      </c>
      <c r="C1341" s="491" t="s">
        <v>69</v>
      </c>
      <c r="D1341" s="491" t="s">
        <v>565</v>
      </c>
      <c r="E1341" s="492" t="s">
        <v>368</v>
      </c>
      <c r="F1341" s="493">
        <v>54287.0</v>
      </c>
      <c r="G1341" s="493">
        <v>22659.0</v>
      </c>
      <c r="H1341" s="493">
        <v>41.74</v>
      </c>
      <c r="I1341" s="493">
        <v>9.38</v>
      </c>
      <c r="J1341" s="493">
        <v>10.41</v>
      </c>
      <c r="K1341" s="493">
        <v>61281.0</v>
      </c>
      <c r="L1341" s="493">
        <v>653528.0</v>
      </c>
      <c r="M1341" s="493">
        <v>1.1288</v>
      </c>
      <c r="N1341" s="6">
        <v>2.7045</v>
      </c>
    </row>
    <row r="1342">
      <c r="A1342" s="491" t="s">
        <v>2021</v>
      </c>
      <c r="B1342" s="491" t="s">
        <v>1857</v>
      </c>
      <c r="C1342" s="491" t="s">
        <v>69</v>
      </c>
      <c r="D1342" s="491" t="s">
        <v>565</v>
      </c>
      <c r="E1342" s="492" t="s">
        <v>44</v>
      </c>
      <c r="F1342" s="493">
        <v>54287.0</v>
      </c>
      <c r="G1342" s="493">
        <v>32825.0</v>
      </c>
      <c r="H1342" s="493">
        <v>60.47</v>
      </c>
      <c r="I1342" s="493">
        <v>8.05</v>
      </c>
      <c r="J1342" s="493">
        <v>9.3</v>
      </c>
      <c r="K1342" s="493">
        <v>52600.0</v>
      </c>
      <c r="L1342" s="493">
        <v>653528.0</v>
      </c>
      <c r="M1342" s="493">
        <v>0.9689</v>
      </c>
      <c r="N1342" s="6">
        <v>1.6024</v>
      </c>
    </row>
    <row r="1343">
      <c r="A1343" s="491" t="s">
        <v>2021</v>
      </c>
      <c r="B1343" s="491" t="s">
        <v>1857</v>
      </c>
      <c r="C1343" s="491" t="s">
        <v>69</v>
      </c>
      <c r="D1343" s="491" t="s">
        <v>565</v>
      </c>
      <c r="E1343" s="492" t="s">
        <v>49</v>
      </c>
      <c r="F1343" s="493">
        <v>54287.0</v>
      </c>
      <c r="G1343" s="493">
        <v>21099.0</v>
      </c>
      <c r="H1343" s="493">
        <v>38.87</v>
      </c>
      <c r="I1343" s="493">
        <v>5.96</v>
      </c>
      <c r="J1343" s="493">
        <v>5.28</v>
      </c>
      <c r="K1343" s="493">
        <v>38935.0</v>
      </c>
      <c r="L1343" s="493">
        <v>653528.0</v>
      </c>
      <c r="M1343" s="493">
        <v>0.7172</v>
      </c>
      <c r="N1343" s="6">
        <v>1.8453</v>
      </c>
    </row>
    <row r="1344">
      <c r="A1344" s="491" t="s">
        <v>2021</v>
      </c>
      <c r="B1344" s="491" t="s">
        <v>1857</v>
      </c>
      <c r="C1344" s="491" t="s">
        <v>69</v>
      </c>
      <c r="D1344" s="491" t="s">
        <v>565</v>
      </c>
      <c r="E1344" s="492" t="s">
        <v>369</v>
      </c>
      <c r="F1344" s="493">
        <v>54287.0</v>
      </c>
      <c r="G1344" s="493">
        <v>12061.0</v>
      </c>
      <c r="H1344" s="493">
        <v>22.22</v>
      </c>
      <c r="I1344" s="493">
        <v>2.32</v>
      </c>
      <c r="J1344" s="493">
        <v>1.74</v>
      </c>
      <c r="K1344" s="493">
        <v>15150.0</v>
      </c>
      <c r="L1344" s="493">
        <v>653528.0</v>
      </c>
      <c r="M1344" s="493">
        <v>0.2791</v>
      </c>
      <c r="N1344" s="6">
        <v>1.2561</v>
      </c>
    </row>
    <row r="1345">
      <c r="A1345" s="491" t="s">
        <v>2021</v>
      </c>
      <c r="B1345" s="491" t="s">
        <v>1857</v>
      </c>
      <c r="C1345" s="491" t="s">
        <v>69</v>
      </c>
      <c r="D1345" s="491" t="s">
        <v>565</v>
      </c>
      <c r="E1345" s="492" t="s">
        <v>366</v>
      </c>
      <c r="F1345" s="493">
        <v>54287.0</v>
      </c>
      <c r="G1345" s="493">
        <v>10863.0</v>
      </c>
      <c r="H1345" s="493">
        <v>20.01</v>
      </c>
      <c r="I1345" s="493">
        <v>1.98</v>
      </c>
      <c r="J1345" s="493">
        <v>1.89</v>
      </c>
      <c r="K1345" s="493">
        <v>12963.0</v>
      </c>
      <c r="L1345" s="493">
        <v>653528.0</v>
      </c>
      <c r="M1345" s="493">
        <v>0.2388</v>
      </c>
      <c r="N1345" s="6">
        <v>1.1933</v>
      </c>
    </row>
    <row r="1346">
      <c r="A1346" s="491" t="s">
        <v>2021</v>
      </c>
      <c r="B1346" s="491" t="s">
        <v>1857</v>
      </c>
      <c r="C1346" s="491" t="s">
        <v>69</v>
      </c>
      <c r="D1346" s="491" t="s">
        <v>565</v>
      </c>
      <c r="E1346" s="492" t="s">
        <v>134</v>
      </c>
      <c r="F1346" s="493">
        <v>54287.0</v>
      </c>
      <c r="G1346" s="493">
        <v>8433.0</v>
      </c>
      <c r="H1346" s="493">
        <v>15.53</v>
      </c>
      <c r="I1346" s="493">
        <v>1.88</v>
      </c>
      <c r="J1346" s="493">
        <v>1.42</v>
      </c>
      <c r="K1346" s="493">
        <v>12282.0</v>
      </c>
      <c r="L1346" s="493">
        <v>653528.0</v>
      </c>
      <c r="M1346" s="493">
        <v>0.2262</v>
      </c>
      <c r="N1346" s="6">
        <v>1.4564</v>
      </c>
    </row>
    <row r="1347">
      <c r="A1347" s="491" t="s">
        <v>2021</v>
      </c>
      <c r="B1347" s="491" t="s">
        <v>1857</v>
      </c>
      <c r="C1347" s="491" t="s">
        <v>69</v>
      </c>
      <c r="D1347" s="491" t="s">
        <v>565</v>
      </c>
      <c r="E1347" s="492" t="s">
        <v>35</v>
      </c>
      <c r="F1347" s="493">
        <v>54287.0</v>
      </c>
      <c r="G1347" s="493">
        <v>5544.0</v>
      </c>
      <c r="H1347" s="493">
        <v>10.21</v>
      </c>
      <c r="I1347" s="493">
        <v>0.93</v>
      </c>
      <c r="J1347" s="493">
        <v>0.72</v>
      </c>
      <c r="K1347" s="493">
        <v>6096.0</v>
      </c>
      <c r="L1347" s="493">
        <v>653528.0</v>
      </c>
      <c r="M1347" s="493">
        <v>0.1123</v>
      </c>
      <c r="N1347" s="6">
        <v>1.0996</v>
      </c>
    </row>
    <row r="1348">
      <c r="A1348" s="491" t="s">
        <v>2021</v>
      </c>
      <c r="B1348" s="491" t="s">
        <v>1857</v>
      </c>
      <c r="C1348" s="491" t="s">
        <v>69</v>
      </c>
      <c r="D1348" s="491" t="s">
        <v>565</v>
      </c>
      <c r="E1348" s="492" t="s">
        <v>189</v>
      </c>
      <c r="F1348" s="493">
        <v>54287.0</v>
      </c>
      <c r="G1348" s="493">
        <v>4974.0</v>
      </c>
      <c r="H1348" s="493">
        <v>9.16</v>
      </c>
      <c r="I1348" s="493">
        <v>0.78</v>
      </c>
      <c r="J1348" s="493">
        <v>0.57</v>
      </c>
      <c r="K1348" s="493">
        <v>5084.0</v>
      </c>
      <c r="L1348" s="493">
        <v>653528.0</v>
      </c>
      <c r="M1348" s="493">
        <v>0.0937</v>
      </c>
      <c r="N1348" s="6">
        <v>1.0221</v>
      </c>
    </row>
    <row r="1349">
      <c r="A1349" s="491" t="s">
        <v>2021</v>
      </c>
      <c r="B1349" s="491" t="s">
        <v>1857</v>
      </c>
      <c r="C1349" s="491" t="s">
        <v>69</v>
      </c>
      <c r="D1349" s="491" t="s">
        <v>565</v>
      </c>
      <c r="E1349" s="492" t="s">
        <v>42</v>
      </c>
      <c r="F1349" s="493">
        <v>54287.0</v>
      </c>
      <c r="G1349" s="493">
        <v>3180.0</v>
      </c>
      <c r="H1349" s="493">
        <v>5.86</v>
      </c>
      <c r="I1349" s="493">
        <v>0.55</v>
      </c>
      <c r="J1349" s="493">
        <v>0.57</v>
      </c>
      <c r="K1349" s="493">
        <v>3602.0</v>
      </c>
      <c r="L1349" s="493">
        <v>653528.0</v>
      </c>
      <c r="M1349" s="493">
        <v>0.0664</v>
      </c>
      <c r="N1349" s="6">
        <v>1.1327</v>
      </c>
    </row>
    <row r="1350">
      <c r="A1350" s="491" t="s">
        <v>2021</v>
      </c>
      <c r="B1350" s="491" t="s">
        <v>1857</v>
      </c>
      <c r="C1350" s="491" t="s">
        <v>69</v>
      </c>
      <c r="D1350" s="491" t="s">
        <v>565</v>
      </c>
      <c r="E1350" s="492" t="s">
        <v>50</v>
      </c>
      <c r="F1350" s="493">
        <v>54287.0</v>
      </c>
      <c r="G1350" s="493">
        <v>2099.0</v>
      </c>
      <c r="H1350" s="493">
        <v>3.87</v>
      </c>
      <c r="I1350" s="493">
        <v>0.36</v>
      </c>
      <c r="J1350" s="493">
        <v>0.26</v>
      </c>
      <c r="K1350" s="493">
        <v>2331.0</v>
      </c>
      <c r="L1350" s="493">
        <v>653528.0</v>
      </c>
      <c r="M1350" s="493">
        <v>0.0429</v>
      </c>
      <c r="N1350" s="6">
        <v>1.1105</v>
      </c>
    </row>
    <row r="1351">
      <c r="A1351" s="491" t="s">
        <v>2021</v>
      </c>
      <c r="B1351" s="491" t="s">
        <v>1857</v>
      </c>
      <c r="C1351" s="491" t="s">
        <v>69</v>
      </c>
      <c r="D1351" s="491" t="s">
        <v>565</v>
      </c>
      <c r="E1351" s="492" t="s">
        <v>43</v>
      </c>
      <c r="F1351" s="493">
        <v>54287.0</v>
      </c>
      <c r="G1351" s="493">
        <v>1225.0</v>
      </c>
      <c r="H1351" s="493">
        <v>2.26</v>
      </c>
      <c r="I1351" s="493">
        <v>0.19</v>
      </c>
      <c r="J1351" s="493">
        <v>0.21</v>
      </c>
      <c r="K1351" s="493">
        <v>1255.0</v>
      </c>
      <c r="L1351" s="493">
        <v>653528.0</v>
      </c>
      <c r="M1351" s="493">
        <v>0.0231</v>
      </c>
      <c r="N1351" s="6">
        <v>1.0245</v>
      </c>
    </row>
    <row r="1352">
      <c r="A1352" s="491" t="s">
        <v>2021</v>
      </c>
      <c r="B1352" s="491" t="s">
        <v>1857</v>
      </c>
      <c r="C1352" s="491" t="s">
        <v>69</v>
      </c>
      <c r="D1352" s="491" t="s">
        <v>565</v>
      </c>
      <c r="E1352" s="492" t="s">
        <v>32</v>
      </c>
      <c r="F1352" s="493">
        <v>54287.0</v>
      </c>
      <c r="G1352" s="493">
        <v>18.0</v>
      </c>
      <c r="H1352" s="493">
        <v>0.03</v>
      </c>
      <c r="I1352" s="493">
        <v>0.0</v>
      </c>
      <c r="J1352" s="493">
        <v>0.01</v>
      </c>
      <c r="K1352" s="493">
        <v>21.0</v>
      </c>
      <c r="L1352" s="493">
        <v>653528.0</v>
      </c>
      <c r="M1352" s="493">
        <v>4.0E-4</v>
      </c>
      <c r="N1352" s="6">
        <v>1.1667</v>
      </c>
    </row>
    <row r="1353">
      <c r="A1353" s="491" t="s">
        <v>2021</v>
      </c>
      <c r="B1353" s="491" t="s">
        <v>1857</v>
      </c>
      <c r="C1353" s="491" t="s">
        <v>73</v>
      </c>
      <c r="D1353" s="491" t="s">
        <v>565</v>
      </c>
      <c r="E1353" s="492" t="s">
        <v>371</v>
      </c>
      <c r="F1353" s="493">
        <v>51642.0</v>
      </c>
      <c r="G1353" s="493">
        <v>42793.0</v>
      </c>
      <c r="H1353" s="493">
        <v>82.86</v>
      </c>
      <c r="I1353" s="493">
        <v>28.03</v>
      </c>
      <c r="J1353" s="493">
        <v>31.77</v>
      </c>
      <c r="K1353" s="493">
        <v>142137.0</v>
      </c>
      <c r="L1353" s="493">
        <v>507138.0</v>
      </c>
      <c r="M1353" s="493">
        <v>2.7524</v>
      </c>
      <c r="N1353" s="6">
        <v>3.3215</v>
      </c>
    </row>
    <row r="1354">
      <c r="A1354" s="491" t="s">
        <v>2021</v>
      </c>
      <c r="B1354" s="491" t="s">
        <v>1857</v>
      </c>
      <c r="C1354" s="491" t="s">
        <v>73</v>
      </c>
      <c r="D1354" s="491" t="s">
        <v>565</v>
      </c>
      <c r="E1354" s="492" t="s">
        <v>372</v>
      </c>
      <c r="F1354" s="493">
        <v>51642.0</v>
      </c>
      <c r="G1354" s="493">
        <v>27322.0</v>
      </c>
      <c r="H1354" s="493">
        <v>52.91</v>
      </c>
      <c r="I1354" s="493">
        <v>13.72</v>
      </c>
      <c r="J1354" s="493">
        <v>12.87</v>
      </c>
      <c r="K1354" s="493">
        <v>69569.0</v>
      </c>
      <c r="L1354" s="493">
        <v>507138.0</v>
      </c>
      <c r="M1354" s="493">
        <v>1.3471</v>
      </c>
      <c r="N1354" s="6">
        <v>2.5463</v>
      </c>
    </row>
    <row r="1355">
      <c r="A1355" s="491" t="s">
        <v>2021</v>
      </c>
      <c r="B1355" s="491" t="s">
        <v>1857</v>
      </c>
      <c r="C1355" s="491" t="s">
        <v>73</v>
      </c>
      <c r="D1355" s="491" t="s">
        <v>565</v>
      </c>
      <c r="E1355" s="492" t="s">
        <v>366</v>
      </c>
      <c r="F1355" s="493">
        <v>51642.0</v>
      </c>
      <c r="G1355" s="493">
        <v>24974.0</v>
      </c>
      <c r="H1355" s="493">
        <v>48.36</v>
      </c>
      <c r="I1355" s="493">
        <v>8.05</v>
      </c>
      <c r="J1355" s="493">
        <v>9.11</v>
      </c>
      <c r="K1355" s="493">
        <v>40822.0</v>
      </c>
      <c r="L1355" s="493">
        <v>507138.0</v>
      </c>
      <c r="M1355" s="493">
        <v>0.7905</v>
      </c>
      <c r="N1355" s="6">
        <v>1.6346</v>
      </c>
    </row>
    <row r="1356">
      <c r="A1356" s="491" t="s">
        <v>2021</v>
      </c>
      <c r="B1356" s="491" t="s">
        <v>1857</v>
      </c>
      <c r="C1356" s="491" t="s">
        <v>73</v>
      </c>
      <c r="D1356" s="491" t="s">
        <v>565</v>
      </c>
      <c r="E1356" s="492" t="s">
        <v>370</v>
      </c>
      <c r="F1356" s="493">
        <v>51642.0</v>
      </c>
      <c r="G1356" s="493">
        <v>18652.0</v>
      </c>
      <c r="H1356" s="493">
        <v>36.12</v>
      </c>
      <c r="I1356" s="493">
        <v>7.66</v>
      </c>
      <c r="J1356" s="493">
        <v>6.51</v>
      </c>
      <c r="K1356" s="493">
        <v>38850.0</v>
      </c>
      <c r="L1356" s="493">
        <v>507138.0</v>
      </c>
      <c r="M1356" s="493">
        <v>0.7523</v>
      </c>
      <c r="N1356" s="6">
        <v>2.0829</v>
      </c>
    </row>
    <row r="1357">
      <c r="A1357" s="491" t="s">
        <v>2021</v>
      </c>
      <c r="B1357" s="491" t="s">
        <v>1857</v>
      </c>
      <c r="C1357" s="491" t="s">
        <v>73</v>
      </c>
      <c r="D1357" s="491" t="s">
        <v>565</v>
      </c>
      <c r="E1357" s="492" t="s">
        <v>44</v>
      </c>
      <c r="F1357" s="493">
        <v>51642.0</v>
      </c>
      <c r="G1357" s="493">
        <v>20353.0</v>
      </c>
      <c r="H1357" s="493">
        <v>39.41</v>
      </c>
      <c r="I1357" s="493">
        <v>6.28</v>
      </c>
      <c r="J1357" s="493">
        <v>5.15</v>
      </c>
      <c r="K1357" s="493">
        <v>31868.0</v>
      </c>
      <c r="L1357" s="493">
        <v>507138.0</v>
      </c>
      <c r="M1357" s="493">
        <v>0.6171</v>
      </c>
      <c r="N1357" s="6">
        <v>1.5658</v>
      </c>
    </row>
    <row r="1358">
      <c r="A1358" s="491" t="s">
        <v>2021</v>
      </c>
      <c r="B1358" s="491" t="s">
        <v>1857</v>
      </c>
      <c r="C1358" s="491" t="s">
        <v>73</v>
      </c>
      <c r="D1358" s="491" t="s">
        <v>565</v>
      </c>
      <c r="E1358" s="492" t="s">
        <v>367</v>
      </c>
      <c r="F1358" s="493">
        <v>51642.0</v>
      </c>
      <c r="G1358" s="493">
        <v>19291.0</v>
      </c>
      <c r="H1358" s="493">
        <v>37.36</v>
      </c>
      <c r="I1358" s="493">
        <v>6.2</v>
      </c>
      <c r="J1358" s="493">
        <v>4.97</v>
      </c>
      <c r="K1358" s="493">
        <v>31425.0</v>
      </c>
      <c r="L1358" s="493">
        <v>507138.0</v>
      </c>
      <c r="M1358" s="493">
        <v>0.6085</v>
      </c>
      <c r="N1358" s="6">
        <v>1.629</v>
      </c>
    </row>
    <row r="1359">
      <c r="A1359" s="491" t="s">
        <v>2021</v>
      </c>
      <c r="B1359" s="491" t="s">
        <v>1857</v>
      </c>
      <c r="C1359" s="491" t="s">
        <v>73</v>
      </c>
      <c r="D1359" s="491" t="s">
        <v>565</v>
      </c>
      <c r="E1359" s="492" t="s">
        <v>365</v>
      </c>
      <c r="F1359" s="493">
        <v>51642.0</v>
      </c>
      <c r="G1359" s="493">
        <v>11947.0</v>
      </c>
      <c r="H1359" s="493">
        <v>23.13</v>
      </c>
      <c r="I1359" s="493">
        <v>6.04</v>
      </c>
      <c r="J1359" s="493">
        <v>4.35</v>
      </c>
      <c r="K1359" s="493">
        <v>30641.0</v>
      </c>
      <c r="L1359" s="493">
        <v>507138.0</v>
      </c>
      <c r="M1359" s="493">
        <v>0.5933</v>
      </c>
      <c r="N1359" s="6">
        <v>2.5647</v>
      </c>
    </row>
    <row r="1360">
      <c r="A1360" s="491" t="s">
        <v>2021</v>
      </c>
      <c r="B1360" s="491" t="s">
        <v>1857</v>
      </c>
      <c r="C1360" s="491" t="s">
        <v>73</v>
      </c>
      <c r="D1360" s="491" t="s">
        <v>565</v>
      </c>
      <c r="E1360" s="492" t="s">
        <v>42</v>
      </c>
      <c r="F1360" s="493">
        <v>51642.0</v>
      </c>
      <c r="G1360" s="493">
        <v>18090.0</v>
      </c>
      <c r="H1360" s="493">
        <v>35.03</v>
      </c>
      <c r="I1360" s="493">
        <v>5.85</v>
      </c>
      <c r="J1360" s="493">
        <v>6.29</v>
      </c>
      <c r="K1360" s="493">
        <v>29661.0</v>
      </c>
      <c r="L1360" s="493">
        <v>507138.0</v>
      </c>
      <c r="M1360" s="493">
        <v>0.5744</v>
      </c>
      <c r="N1360" s="6">
        <v>1.6396</v>
      </c>
    </row>
    <row r="1361">
      <c r="A1361" s="491" t="s">
        <v>2021</v>
      </c>
      <c r="B1361" s="491" t="s">
        <v>1857</v>
      </c>
      <c r="C1361" s="491" t="s">
        <v>73</v>
      </c>
      <c r="D1361" s="491" t="s">
        <v>565</v>
      </c>
      <c r="E1361" s="492" t="s">
        <v>50</v>
      </c>
      <c r="F1361" s="493">
        <v>51642.0</v>
      </c>
      <c r="G1361" s="493">
        <v>13768.0</v>
      </c>
      <c r="H1361" s="493">
        <v>26.66</v>
      </c>
      <c r="I1361" s="493">
        <v>3.72</v>
      </c>
      <c r="J1361" s="493">
        <v>4.0</v>
      </c>
      <c r="K1361" s="493">
        <v>18884.0</v>
      </c>
      <c r="L1361" s="493">
        <v>507138.0</v>
      </c>
      <c r="M1361" s="493">
        <v>0.3657</v>
      </c>
      <c r="N1361" s="6">
        <v>1.3716</v>
      </c>
    </row>
    <row r="1362">
      <c r="A1362" s="491" t="s">
        <v>2021</v>
      </c>
      <c r="B1362" s="491" t="s">
        <v>1857</v>
      </c>
      <c r="C1362" s="491" t="s">
        <v>73</v>
      </c>
      <c r="D1362" s="491" t="s">
        <v>565</v>
      </c>
      <c r="E1362" s="492" t="s">
        <v>134</v>
      </c>
      <c r="F1362" s="493">
        <v>51642.0</v>
      </c>
      <c r="G1362" s="493">
        <v>10289.0</v>
      </c>
      <c r="H1362" s="493">
        <v>19.92</v>
      </c>
      <c r="I1362" s="493">
        <v>3.34</v>
      </c>
      <c r="J1362" s="493">
        <v>4.29</v>
      </c>
      <c r="K1362" s="493">
        <v>16953.0</v>
      </c>
      <c r="L1362" s="493">
        <v>507138.0</v>
      </c>
      <c r="M1362" s="493">
        <v>0.3283</v>
      </c>
      <c r="N1362" s="6">
        <v>1.6477</v>
      </c>
    </row>
    <row r="1363">
      <c r="A1363" s="491" t="s">
        <v>2021</v>
      </c>
      <c r="B1363" s="491" t="s">
        <v>1857</v>
      </c>
      <c r="C1363" s="491" t="s">
        <v>73</v>
      </c>
      <c r="D1363" s="491" t="s">
        <v>565</v>
      </c>
      <c r="E1363" s="492" t="s">
        <v>40</v>
      </c>
      <c r="F1363" s="493">
        <v>51642.0</v>
      </c>
      <c r="G1363" s="493">
        <v>4743.0</v>
      </c>
      <c r="H1363" s="493">
        <v>9.18</v>
      </c>
      <c r="I1363" s="493">
        <v>2.82</v>
      </c>
      <c r="J1363" s="493">
        <v>2.11</v>
      </c>
      <c r="K1363" s="493">
        <v>14288.0</v>
      </c>
      <c r="L1363" s="493">
        <v>507138.0</v>
      </c>
      <c r="M1363" s="493">
        <v>0.2767</v>
      </c>
      <c r="N1363" s="6">
        <v>3.0124</v>
      </c>
    </row>
    <row r="1364">
      <c r="A1364" s="491" t="s">
        <v>2021</v>
      </c>
      <c r="B1364" s="491" t="s">
        <v>1857</v>
      </c>
      <c r="C1364" s="491" t="s">
        <v>73</v>
      </c>
      <c r="D1364" s="491" t="s">
        <v>565</v>
      </c>
      <c r="E1364" s="492" t="s">
        <v>310</v>
      </c>
      <c r="F1364" s="493">
        <v>51642.0</v>
      </c>
      <c r="G1364" s="493">
        <v>10928.0</v>
      </c>
      <c r="H1364" s="493">
        <v>21.16</v>
      </c>
      <c r="I1364" s="493">
        <v>2.64</v>
      </c>
      <c r="J1364" s="493">
        <v>2.71</v>
      </c>
      <c r="K1364" s="493">
        <v>13365.0</v>
      </c>
      <c r="L1364" s="493">
        <v>507138.0</v>
      </c>
      <c r="M1364" s="493">
        <v>0.2588</v>
      </c>
      <c r="N1364" s="6">
        <v>1.223</v>
      </c>
    </row>
    <row r="1365">
      <c r="A1365" s="491" t="s">
        <v>2021</v>
      </c>
      <c r="B1365" s="491" t="s">
        <v>1857</v>
      </c>
      <c r="C1365" s="491" t="s">
        <v>73</v>
      </c>
      <c r="D1365" s="491" t="s">
        <v>565</v>
      </c>
      <c r="E1365" s="492" t="s">
        <v>312</v>
      </c>
      <c r="F1365" s="493">
        <v>51642.0</v>
      </c>
      <c r="G1365" s="493">
        <v>9674.0</v>
      </c>
      <c r="H1365" s="493">
        <v>18.73</v>
      </c>
      <c r="I1365" s="493">
        <v>2.34</v>
      </c>
      <c r="J1365" s="493">
        <v>2.39</v>
      </c>
      <c r="K1365" s="493">
        <v>11844.0</v>
      </c>
      <c r="L1365" s="493">
        <v>507138.0</v>
      </c>
      <c r="M1365" s="493">
        <v>0.2293</v>
      </c>
      <c r="N1365" s="6">
        <v>1.2243</v>
      </c>
    </row>
    <row r="1366">
      <c r="A1366" s="491" t="s">
        <v>2021</v>
      </c>
      <c r="B1366" s="491" t="s">
        <v>1857</v>
      </c>
      <c r="C1366" s="491" t="s">
        <v>73</v>
      </c>
      <c r="D1366" s="491" t="s">
        <v>565</v>
      </c>
      <c r="E1366" s="492" t="s">
        <v>32</v>
      </c>
      <c r="F1366" s="493">
        <v>51642.0</v>
      </c>
      <c r="G1366" s="493">
        <v>9409.0</v>
      </c>
      <c r="H1366" s="493">
        <v>18.22</v>
      </c>
      <c r="I1366" s="493">
        <v>2.2</v>
      </c>
      <c r="J1366" s="493">
        <v>2.29</v>
      </c>
      <c r="K1366" s="493">
        <v>11164.0</v>
      </c>
      <c r="L1366" s="493">
        <v>507138.0</v>
      </c>
      <c r="M1366" s="493">
        <v>0.2162</v>
      </c>
      <c r="N1366" s="6">
        <v>1.1865</v>
      </c>
    </row>
    <row r="1367">
      <c r="A1367" s="491" t="s">
        <v>2021</v>
      </c>
      <c r="B1367" s="491" t="s">
        <v>1857</v>
      </c>
      <c r="C1367" s="491" t="s">
        <v>73</v>
      </c>
      <c r="D1367" s="491" t="s">
        <v>565</v>
      </c>
      <c r="E1367" s="492" t="s">
        <v>311</v>
      </c>
      <c r="F1367" s="493">
        <v>51642.0</v>
      </c>
      <c r="G1367" s="493">
        <v>2979.0</v>
      </c>
      <c r="H1367" s="493">
        <v>5.77</v>
      </c>
      <c r="I1367" s="493">
        <v>0.6</v>
      </c>
      <c r="J1367" s="493">
        <v>0.69</v>
      </c>
      <c r="K1367" s="493">
        <v>3040.0</v>
      </c>
      <c r="L1367" s="493">
        <v>507138.0</v>
      </c>
      <c r="M1367" s="493">
        <v>0.0589</v>
      </c>
      <c r="N1367" s="6">
        <v>1.0205</v>
      </c>
    </row>
    <row r="1368">
      <c r="A1368" s="491" t="s">
        <v>2021</v>
      </c>
      <c r="B1368" s="491" t="s">
        <v>1857</v>
      </c>
      <c r="C1368" s="491" t="s">
        <v>73</v>
      </c>
      <c r="D1368" s="491" t="s">
        <v>565</v>
      </c>
      <c r="E1368" s="492" t="s">
        <v>43</v>
      </c>
      <c r="F1368" s="493">
        <v>51642.0</v>
      </c>
      <c r="G1368" s="493">
        <v>2004.0</v>
      </c>
      <c r="H1368" s="493">
        <v>3.88</v>
      </c>
      <c r="I1368" s="493">
        <v>0.42</v>
      </c>
      <c r="J1368" s="493">
        <v>0.43</v>
      </c>
      <c r="K1368" s="493">
        <v>2154.0</v>
      </c>
      <c r="L1368" s="493">
        <v>507138.0</v>
      </c>
      <c r="M1368" s="493">
        <v>0.0417</v>
      </c>
      <c r="N1368" s="6">
        <v>1.0749</v>
      </c>
    </row>
    <row r="1369">
      <c r="A1369" s="491" t="s">
        <v>2021</v>
      </c>
      <c r="B1369" s="491" t="s">
        <v>1857</v>
      </c>
      <c r="C1369" s="491" t="s">
        <v>73</v>
      </c>
      <c r="D1369" s="491" t="s">
        <v>565</v>
      </c>
      <c r="E1369" s="492" t="s">
        <v>35</v>
      </c>
      <c r="F1369" s="493">
        <v>51642.0</v>
      </c>
      <c r="G1369" s="493">
        <v>431.0</v>
      </c>
      <c r="H1369" s="493">
        <v>0.83</v>
      </c>
      <c r="I1369" s="493">
        <v>0.09</v>
      </c>
      <c r="J1369" s="493">
        <v>0.06</v>
      </c>
      <c r="K1369" s="493">
        <v>451.0</v>
      </c>
      <c r="L1369" s="493">
        <v>507138.0</v>
      </c>
      <c r="M1369" s="493">
        <v>0.0087</v>
      </c>
      <c r="N1369" s="6">
        <v>1.0464</v>
      </c>
    </row>
    <row r="1370">
      <c r="A1370" s="491" t="s">
        <v>2021</v>
      </c>
      <c r="B1370" s="491" t="s">
        <v>1857</v>
      </c>
      <c r="C1370" s="491" t="s">
        <v>73</v>
      </c>
      <c r="D1370" s="491" t="s">
        <v>565</v>
      </c>
      <c r="E1370" s="492" t="s">
        <v>368</v>
      </c>
      <c r="F1370" s="493">
        <v>51642.0</v>
      </c>
      <c r="G1370" s="493">
        <v>6.0</v>
      </c>
      <c r="H1370" s="493">
        <v>0.01</v>
      </c>
      <c r="I1370" s="493">
        <v>0.0</v>
      </c>
      <c r="J1370" s="493">
        <v>0.0</v>
      </c>
      <c r="K1370" s="493">
        <v>10.0</v>
      </c>
      <c r="L1370" s="493">
        <v>507138.0</v>
      </c>
      <c r="M1370" s="493">
        <v>2.0E-4</v>
      </c>
      <c r="N1370" s="6">
        <v>1.6667</v>
      </c>
    </row>
    <row r="1371">
      <c r="A1371" s="491" t="s">
        <v>2021</v>
      </c>
      <c r="B1371" s="491" t="s">
        <v>1857</v>
      </c>
      <c r="C1371" s="491" t="s">
        <v>73</v>
      </c>
      <c r="D1371" s="491" t="s">
        <v>565</v>
      </c>
      <c r="E1371" s="492" t="s">
        <v>189</v>
      </c>
      <c r="F1371" s="493">
        <v>51642.0</v>
      </c>
      <c r="G1371" s="493">
        <v>12.0</v>
      </c>
      <c r="H1371" s="493">
        <v>0.02</v>
      </c>
      <c r="I1371" s="493">
        <v>0.0</v>
      </c>
      <c r="J1371" s="493">
        <v>0.0</v>
      </c>
      <c r="K1371" s="493">
        <v>12.0</v>
      </c>
      <c r="L1371" s="493">
        <v>507138.0</v>
      </c>
      <c r="M1371" s="493">
        <v>2.0E-4</v>
      </c>
      <c r="N1371" s="6">
        <v>1.0</v>
      </c>
    </row>
    <row r="1372">
      <c r="A1372" s="491" t="s">
        <v>2021</v>
      </c>
      <c r="B1372" s="491" t="s">
        <v>1857</v>
      </c>
      <c r="C1372" s="491" t="s">
        <v>72</v>
      </c>
      <c r="D1372" s="491" t="s">
        <v>565</v>
      </c>
      <c r="E1372" s="492" t="s">
        <v>371</v>
      </c>
      <c r="F1372" s="493">
        <v>51438.0</v>
      </c>
      <c r="G1372" s="493">
        <v>37687.0</v>
      </c>
      <c r="H1372" s="493">
        <v>73.27</v>
      </c>
      <c r="I1372" s="493">
        <v>21.02</v>
      </c>
      <c r="J1372" s="493">
        <v>23.76</v>
      </c>
      <c r="K1372" s="493">
        <v>106487.0</v>
      </c>
      <c r="L1372" s="493">
        <v>506711.0</v>
      </c>
      <c r="M1372" s="493">
        <v>2.0702</v>
      </c>
      <c r="N1372" s="6">
        <v>2.8256</v>
      </c>
    </row>
    <row r="1373">
      <c r="A1373" s="491" t="s">
        <v>2021</v>
      </c>
      <c r="B1373" s="491" t="s">
        <v>1857</v>
      </c>
      <c r="C1373" s="491" t="s">
        <v>72</v>
      </c>
      <c r="D1373" s="491" t="s">
        <v>565</v>
      </c>
      <c r="E1373" s="492" t="s">
        <v>372</v>
      </c>
      <c r="F1373" s="493">
        <v>51438.0</v>
      </c>
      <c r="G1373" s="493">
        <v>18788.0</v>
      </c>
      <c r="H1373" s="493">
        <v>36.53</v>
      </c>
      <c r="I1373" s="493">
        <v>9.68</v>
      </c>
      <c r="J1373" s="493">
        <v>7.41</v>
      </c>
      <c r="K1373" s="493">
        <v>49052.0</v>
      </c>
      <c r="L1373" s="493">
        <v>506711.0</v>
      </c>
      <c r="M1373" s="493">
        <v>0.9536</v>
      </c>
      <c r="N1373" s="6">
        <v>2.6108</v>
      </c>
    </row>
    <row r="1374">
      <c r="A1374" s="491" t="s">
        <v>2021</v>
      </c>
      <c r="B1374" s="491" t="s">
        <v>1857</v>
      </c>
      <c r="C1374" s="491" t="s">
        <v>72</v>
      </c>
      <c r="D1374" s="491" t="s">
        <v>565</v>
      </c>
      <c r="E1374" s="492" t="s">
        <v>367</v>
      </c>
      <c r="F1374" s="493">
        <v>51438.0</v>
      </c>
      <c r="G1374" s="493">
        <v>24569.0</v>
      </c>
      <c r="H1374" s="493">
        <v>47.76</v>
      </c>
      <c r="I1374" s="493">
        <v>9.41</v>
      </c>
      <c r="J1374" s="493">
        <v>8.37</v>
      </c>
      <c r="K1374" s="493">
        <v>47692.0</v>
      </c>
      <c r="L1374" s="493">
        <v>506711.0</v>
      </c>
      <c r="M1374" s="493">
        <v>0.9272</v>
      </c>
      <c r="N1374" s="6">
        <v>1.9411</v>
      </c>
    </row>
    <row r="1375">
      <c r="A1375" s="491" t="s">
        <v>2021</v>
      </c>
      <c r="B1375" s="491" t="s">
        <v>1857</v>
      </c>
      <c r="C1375" s="491" t="s">
        <v>72</v>
      </c>
      <c r="D1375" s="491" t="s">
        <v>565</v>
      </c>
      <c r="E1375" s="492" t="s">
        <v>370</v>
      </c>
      <c r="F1375" s="493">
        <v>51438.0</v>
      </c>
      <c r="G1375" s="493">
        <v>18044.0</v>
      </c>
      <c r="H1375" s="493">
        <v>35.08</v>
      </c>
      <c r="I1375" s="493">
        <v>8.34</v>
      </c>
      <c r="J1375" s="493">
        <v>6.75</v>
      </c>
      <c r="K1375" s="493">
        <v>42248.0</v>
      </c>
      <c r="L1375" s="493">
        <v>506711.0</v>
      </c>
      <c r="M1375" s="493">
        <v>0.8213</v>
      </c>
      <c r="N1375" s="6">
        <v>2.3414</v>
      </c>
    </row>
    <row r="1376">
      <c r="A1376" s="491" t="s">
        <v>2021</v>
      </c>
      <c r="B1376" s="491" t="s">
        <v>1857</v>
      </c>
      <c r="C1376" s="491" t="s">
        <v>72</v>
      </c>
      <c r="D1376" s="491" t="s">
        <v>565</v>
      </c>
      <c r="E1376" s="492" t="s">
        <v>49</v>
      </c>
      <c r="F1376" s="493">
        <v>51438.0</v>
      </c>
      <c r="G1376" s="493">
        <v>21099.0</v>
      </c>
      <c r="H1376" s="493">
        <v>41.02</v>
      </c>
      <c r="I1376" s="493">
        <v>7.68</v>
      </c>
      <c r="J1376" s="493">
        <v>8.12</v>
      </c>
      <c r="K1376" s="493">
        <v>38935.0</v>
      </c>
      <c r="L1376" s="493">
        <v>506711.0</v>
      </c>
      <c r="M1376" s="493">
        <v>0.7569</v>
      </c>
      <c r="N1376" s="6">
        <v>1.8453</v>
      </c>
    </row>
    <row r="1377">
      <c r="A1377" s="491" t="s">
        <v>2021</v>
      </c>
      <c r="B1377" s="491" t="s">
        <v>1857</v>
      </c>
      <c r="C1377" s="491" t="s">
        <v>72</v>
      </c>
      <c r="D1377" s="491" t="s">
        <v>565</v>
      </c>
      <c r="E1377" s="492" t="s">
        <v>368</v>
      </c>
      <c r="F1377" s="493">
        <v>51438.0</v>
      </c>
      <c r="G1377" s="493">
        <v>17053.0</v>
      </c>
      <c r="H1377" s="493">
        <v>33.15</v>
      </c>
      <c r="I1377" s="493">
        <v>7.16</v>
      </c>
      <c r="J1377" s="493">
        <v>10.72</v>
      </c>
      <c r="K1377" s="493">
        <v>36297.0</v>
      </c>
      <c r="L1377" s="493">
        <v>506711.0</v>
      </c>
      <c r="M1377" s="493">
        <v>0.7056</v>
      </c>
      <c r="N1377" s="6">
        <v>2.1285</v>
      </c>
    </row>
    <row r="1378">
      <c r="A1378" s="491" t="s">
        <v>2021</v>
      </c>
      <c r="B1378" s="491" t="s">
        <v>1857</v>
      </c>
      <c r="C1378" s="491" t="s">
        <v>72</v>
      </c>
      <c r="D1378" s="491" t="s">
        <v>565</v>
      </c>
      <c r="E1378" s="492" t="s">
        <v>40</v>
      </c>
      <c r="F1378" s="493">
        <v>51438.0</v>
      </c>
      <c r="G1378" s="493">
        <v>15827.0</v>
      </c>
      <c r="H1378" s="493">
        <v>30.77</v>
      </c>
      <c r="I1378" s="493">
        <v>6.21</v>
      </c>
      <c r="J1378" s="493">
        <v>5.98</v>
      </c>
      <c r="K1378" s="493">
        <v>31445.0</v>
      </c>
      <c r="L1378" s="493">
        <v>506711.0</v>
      </c>
      <c r="M1378" s="493">
        <v>0.6113</v>
      </c>
      <c r="N1378" s="6">
        <v>1.9868</v>
      </c>
    </row>
    <row r="1379">
      <c r="A1379" s="491" t="s">
        <v>2021</v>
      </c>
      <c r="B1379" s="491" t="s">
        <v>1857</v>
      </c>
      <c r="C1379" s="491" t="s">
        <v>72</v>
      </c>
      <c r="D1379" s="491" t="s">
        <v>565</v>
      </c>
      <c r="E1379" s="492" t="s">
        <v>365</v>
      </c>
      <c r="F1379" s="493">
        <v>51438.0</v>
      </c>
      <c r="G1379" s="493">
        <v>12118.0</v>
      </c>
      <c r="H1379" s="493">
        <v>23.56</v>
      </c>
      <c r="I1379" s="493">
        <v>6.09</v>
      </c>
      <c r="J1379" s="493">
        <v>4.46</v>
      </c>
      <c r="K1379" s="493">
        <v>30835.0</v>
      </c>
      <c r="L1379" s="493">
        <v>506711.0</v>
      </c>
      <c r="M1379" s="493">
        <v>0.5995</v>
      </c>
      <c r="N1379" s="6">
        <v>2.5446</v>
      </c>
    </row>
    <row r="1380">
      <c r="A1380" s="491" t="s">
        <v>2021</v>
      </c>
      <c r="B1380" s="491" t="s">
        <v>1857</v>
      </c>
      <c r="C1380" s="491" t="s">
        <v>72</v>
      </c>
      <c r="D1380" s="491" t="s">
        <v>565</v>
      </c>
      <c r="E1380" s="492" t="s">
        <v>366</v>
      </c>
      <c r="F1380" s="493">
        <v>51438.0</v>
      </c>
      <c r="G1380" s="493">
        <v>19640.0</v>
      </c>
      <c r="H1380" s="493">
        <v>38.18</v>
      </c>
      <c r="I1380" s="493">
        <v>5.52</v>
      </c>
      <c r="J1380" s="493">
        <v>6.22</v>
      </c>
      <c r="K1380" s="493">
        <v>27988.0</v>
      </c>
      <c r="L1380" s="493">
        <v>506711.0</v>
      </c>
      <c r="M1380" s="493">
        <v>0.5441</v>
      </c>
      <c r="N1380" s="6">
        <v>1.4251</v>
      </c>
    </row>
    <row r="1381">
      <c r="A1381" s="491" t="s">
        <v>2021</v>
      </c>
      <c r="B1381" s="491" t="s">
        <v>1857</v>
      </c>
      <c r="C1381" s="491" t="s">
        <v>72</v>
      </c>
      <c r="D1381" s="491" t="s">
        <v>565</v>
      </c>
      <c r="E1381" s="492" t="s">
        <v>44</v>
      </c>
      <c r="F1381" s="493">
        <v>51438.0</v>
      </c>
      <c r="G1381" s="493">
        <v>13679.0</v>
      </c>
      <c r="H1381" s="493">
        <v>26.59</v>
      </c>
      <c r="I1381" s="493">
        <v>3.94</v>
      </c>
      <c r="J1381" s="493">
        <v>2.71</v>
      </c>
      <c r="K1381" s="493">
        <v>19947.0</v>
      </c>
      <c r="L1381" s="493">
        <v>506711.0</v>
      </c>
      <c r="M1381" s="493">
        <v>0.3878</v>
      </c>
      <c r="N1381" s="6">
        <v>1.4582</v>
      </c>
    </row>
    <row r="1382">
      <c r="A1382" s="491" t="s">
        <v>2021</v>
      </c>
      <c r="B1382" s="491" t="s">
        <v>1857</v>
      </c>
      <c r="C1382" s="491" t="s">
        <v>72</v>
      </c>
      <c r="D1382" s="491" t="s">
        <v>565</v>
      </c>
      <c r="E1382" s="492" t="s">
        <v>42</v>
      </c>
      <c r="F1382" s="493">
        <v>51438.0</v>
      </c>
      <c r="G1382" s="493">
        <v>14082.0</v>
      </c>
      <c r="H1382" s="493">
        <v>27.38</v>
      </c>
      <c r="I1382" s="493">
        <v>3.88</v>
      </c>
      <c r="J1382" s="493">
        <v>4.54</v>
      </c>
      <c r="K1382" s="493">
        <v>19678.0</v>
      </c>
      <c r="L1382" s="493">
        <v>506711.0</v>
      </c>
      <c r="M1382" s="493">
        <v>0.3826</v>
      </c>
      <c r="N1382" s="6">
        <v>1.3974</v>
      </c>
    </row>
    <row r="1383">
      <c r="A1383" s="491" t="s">
        <v>2021</v>
      </c>
      <c r="B1383" s="491" t="s">
        <v>1857</v>
      </c>
      <c r="C1383" s="491" t="s">
        <v>72</v>
      </c>
      <c r="D1383" s="491" t="s">
        <v>565</v>
      </c>
      <c r="E1383" s="492" t="s">
        <v>50</v>
      </c>
      <c r="F1383" s="493">
        <v>51438.0</v>
      </c>
      <c r="G1383" s="493">
        <v>10970.0</v>
      </c>
      <c r="H1383" s="493">
        <v>21.33</v>
      </c>
      <c r="I1383" s="493">
        <v>2.94</v>
      </c>
      <c r="J1383" s="493">
        <v>2.79</v>
      </c>
      <c r="K1383" s="493">
        <v>14890.0</v>
      </c>
      <c r="L1383" s="493">
        <v>506711.0</v>
      </c>
      <c r="M1383" s="493">
        <v>0.2895</v>
      </c>
      <c r="N1383" s="6">
        <v>1.3573</v>
      </c>
    </row>
    <row r="1384">
      <c r="A1384" s="491" t="s">
        <v>2021</v>
      </c>
      <c r="B1384" s="491" t="s">
        <v>1857</v>
      </c>
      <c r="C1384" s="491" t="s">
        <v>72</v>
      </c>
      <c r="D1384" s="491" t="s">
        <v>565</v>
      </c>
      <c r="E1384" s="492" t="s">
        <v>312</v>
      </c>
      <c r="F1384" s="493">
        <v>51438.0</v>
      </c>
      <c r="G1384" s="493">
        <v>8541.0</v>
      </c>
      <c r="H1384" s="493">
        <v>16.6</v>
      </c>
      <c r="I1384" s="493">
        <v>2.02</v>
      </c>
      <c r="J1384" s="493">
        <v>2.16</v>
      </c>
      <c r="K1384" s="493">
        <v>10212.0</v>
      </c>
      <c r="L1384" s="493">
        <v>506711.0</v>
      </c>
      <c r="M1384" s="493">
        <v>0.1985</v>
      </c>
      <c r="N1384" s="6">
        <v>1.1956</v>
      </c>
    </row>
    <row r="1385">
      <c r="A1385" s="491" t="s">
        <v>2021</v>
      </c>
      <c r="B1385" s="491" t="s">
        <v>1857</v>
      </c>
      <c r="C1385" s="491" t="s">
        <v>72</v>
      </c>
      <c r="D1385" s="491" t="s">
        <v>565</v>
      </c>
      <c r="E1385" s="492" t="s">
        <v>310</v>
      </c>
      <c r="F1385" s="493">
        <v>51438.0</v>
      </c>
      <c r="G1385" s="493">
        <v>8416.0</v>
      </c>
      <c r="H1385" s="493">
        <v>16.36</v>
      </c>
      <c r="I1385" s="493">
        <v>1.94</v>
      </c>
      <c r="J1385" s="493">
        <v>2.09</v>
      </c>
      <c r="K1385" s="493">
        <v>9823.0</v>
      </c>
      <c r="L1385" s="493">
        <v>506711.0</v>
      </c>
      <c r="M1385" s="493">
        <v>0.191</v>
      </c>
      <c r="N1385" s="6">
        <v>1.1672</v>
      </c>
    </row>
    <row r="1386">
      <c r="A1386" s="491" t="s">
        <v>2021</v>
      </c>
      <c r="B1386" s="491" t="s">
        <v>1857</v>
      </c>
      <c r="C1386" s="491" t="s">
        <v>72</v>
      </c>
      <c r="D1386" s="491" t="s">
        <v>565</v>
      </c>
      <c r="E1386" s="492" t="s">
        <v>32</v>
      </c>
      <c r="F1386" s="493">
        <v>51438.0</v>
      </c>
      <c r="G1386" s="493">
        <v>6850.0</v>
      </c>
      <c r="H1386" s="493">
        <v>13.32</v>
      </c>
      <c r="I1386" s="493">
        <v>1.58</v>
      </c>
      <c r="J1386" s="493">
        <v>1.55</v>
      </c>
      <c r="K1386" s="493">
        <v>8019.0</v>
      </c>
      <c r="L1386" s="493">
        <v>506711.0</v>
      </c>
      <c r="M1386" s="493">
        <v>0.1559</v>
      </c>
      <c r="N1386" s="6">
        <v>1.1707</v>
      </c>
    </row>
    <row r="1387">
      <c r="A1387" s="491" t="s">
        <v>2021</v>
      </c>
      <c r="B1387" s="491" t="s">
        <v>1857</v>
      </c>
      <c r="C1387" s="491" t="s">
        <v>72</v>
      </c>
      <c r="D1387" s="491" t="s">
        <v>565</v>
      </c>
      <c r="E1387" s="492" t="s">
        <v>134</v>
      </c>
      <c r="F1387" s="493">
        <v>51438.0</v>
      </c>
      <c r="G1387" s="493">
        <v>3629.0</v>
      </c>
      <c r="H1387" s="493">
        <v>7.06</v>
      </c>
      <c r="I1387" s="493">
        <v>1.19</v>
      </c>
      <c r="J1387" s="493">
        <v>0.76</v>
      </c>
      <c r="K1387" s="493">
        <v>6050.0</v>
      </c>
      <c r="L1387" s="493">
        <v>506711.0</v>
      </c>
      <c r="M1387" s="493">
        <v>0.1176</v>
      </c>
      <c r="N1387" s="6">
        <v>1.6671</v>
      </c>
    </row>
    <row r="1388">
      <c r="A1388" s="491" t="s">
        <v>2021</v>
      </c>
      <c r="B1388" s="491" t="s">
        <v>1857</v>
      </c>
      <c r="C1388" s="491" t="s">
        <v>72</v>
      </c>
      <c r="D1388" s="491" t="s">
        <v>565</v>
      </c>
      <c r="E1388" s="492" t="s">
        <v>43</v>
      </c>
      <c r="F1388" s="493">
        <v>51438.0</v>
      </c>
      <c r="G1388" s="493">
        <v>3739.0</v>
      </c>
      <c r="H1388" s="493">
        <v>7.27</v>
      </c>
      <c r="I1388" s="493">
        <v>0.8</v>
      </c>
      <c r="J1388" s="493">
        <v>0.9</v>
      </c>
      <c r="K1388" s="493">
        <v>4049.0</v>
      </c>
      <c r="L1388" s="493">
        <v>506711.0</v>
      </c>
      <c r="M1388" s="493">
        <v>0.0787</v>
      </c>
      <c r="N1388" s="6">
        <v>1.0829</v>
      </c>
    </row>
    <row r="1389">
      <c r="A1389" s="491" t="s">
        <v>2021</v>
      </c>
      <c r="B1389" s="491" t="s">
        <v>1857</v>
      </c>
      <c r="C1389" s="491" t="s">
        <v>72</v>
      </c>
      <c r="D1389" s="491" t="s">
        <v>565</v>
      </c>
      <c r="E1389" s="492" t="s">
        <v>311</v>
      </c>
      <c r="F1389" s="493">
        <v>51438.0</v>
      </c>
      <c r="G1389" s="493">
        <v>2351.0</v>
      </c>
      <c r="H1389" s="493">
        <v>4.57</v>
      </c>
      <c r="I1389" s="493">
        <v>0.47</v>
      </c>
      <c r="J1389" s="493">
        <v>0.61</v>
      </c>
      <c r="K1389" s="493">
        <v>2395.0</v>
      </c>
      <c r="L1389" s="493">
        <v>506711.0</v>
      </c>
      <c r="M1389" s="493">
        <v>0.0466</v>
      </c>
      <c r="N1389" s="6">
        <v>1.0187</v>
      </c>
    </row>
    <row r="1390">
      <c r="A1390" s="491" t="s">
        <v>2021</v>
      </c>
      <c r="B1390" s="491" t="s">
        <v>1857</v>
      </c>
      <c r="C1390" s="491" t="s">
        <v>72</v>
      </c>
      <c r="D1390" s="491" t="s">
        <v>565</v>
      </c>
      <c r="E1390" s="492" t="s">
        <v>369</v>
      </c>
      <c r="F1390" s="493">
        <v>51438.0</v>
      </c>
      <c r="G1390" s="493">
        <v>532.0</v>
      </c>
      <c r="H1390" s="493">
        <v>1.03</v>
      </c>
      <c r="I1390" s="493">
        <v>0.12</v>
      </c>
      <c r="J1390" s="493">
        <v>0.08</v>
      </c>
      <c r="K1390" s="493">
        <v>604.0</v>
      </c>
      <c r="L1390" s="493">
        <v>506711.0</v>
      </c>
      <c r="M1390" s="493">
        <v>0.0117</v>
      </c>
      <c r="N1390" s="6">
        <v>1.1353</v>
      </c>
    </row>
    <row r="1391">
      <c r="A1391" s="491" t="s">
        <v>2021</v>
      </c>
      <c r="B1391" s="491" t="s">
        <v>1857</v>
      </c>
      <c r="C1391" s="491" t="s">
        <v>72</v>
      </c>
      <c r="D1391" s="491" t="s">
        <v>565</v>
      </c>
      <c r="E1391" s="492" t="s">
        <v>189</v>
      </c>
      <c r="F1391" s="493">
        <v>51438.0</v>
      </c>
      <c r="G1391" s="493">
        <v>64.0</v>
      </c>
      <c r="H1391" s="493">
        <v>0.12</v>
      </c>
      <c r="I1391" s="493">
        <v>0.01</v>
      </c>
      <c r="J1391" s="493">
        <v>0.01</v>
      </c>
      <c r="K1391" s="493">
        <v>65.0</v>
      </c>
      <c r="L1391" s="493">
        <v>506711.0</v>
      </c>
      <c r="M1391" s="493">
        <v>0.0013</v>
      </c>
      <c r="N1391" s="6">
        <v>1.0156</v>
      </c>
    </row>
    <row r="1392">
      <c r="A1392" s="491" t="s">
        <v>2021</v>
      </c>
      <c r="B1392" s="491" t="s">
        <v>1857</v>
      </c>
      <c r="C1392" s="491" t="s">
        <v>1873</v>
      </c>
      <c r="D1392" s="491" t="s">
        <v>2018</v>
      </c>
      <c r="E1392" s="492" t="s">
        <v>372</v>
      </c>
      <c r="F1392" s="493">
        <v>25898.0</v>
      </c>
      <c r="G1392" s="493">
        <v>11952.0</v>
      </c>
      <c r="H1392" s="493">
        <v>46.15</v>
      </c>
      <c r="I1392" s="493">
        <v>31.25</v>
      </c>
      <c r="J1392" s="493">
        <v>29.97</v>
      </c>
      <c r="K1392" s="493">
        <v>276525.0</v>
      </c>
      <c r="L1392" s="493">
        <v>885020.0</v>
      </c>
      <c r="M1392" s="493">
        <v>10.6775</v>
      </c>
      <c r="N1392" s="6">
        <v>23.1363</v>
      </c>
    </row>
    <row r="1393">
      <c r="A1393" s="491" t="s">
        <v>2021</v>
      </c>
      <c r="B1393" s="491" t="s">
        <v>1857</v>
      </c>
      <c r="C1393" s="491" t="s">
        <v>1873</v>
      </c>
      <c r="D1393" s="491" t="s">
        <v>2018</v>
      </c>
      <c r="E1393" s="492" t="s">
        <v>134</v>
      </c>
      <c r="F1393" s="493">
        <v>25898.0</v>
      </c>
      <c r="G1393" s="493">
        <v>8614.0</v>
      </c>
      <c r="H1393" s="493">
        <v>33.26</v>
      </c>
      <c r="I1393" s="493">
        <v>22.82</v>
      </c>
      <c r="J1393" s="493">
        <v>22.06</v>
      </c>
      <c r="K1393" s="493">
        <v>201990.0</v>
      </c>
      <c r="L1393" s="493">
        <v>885020.0</v>
      </c>
      <c r="M1393" s="493">
        <v>7.7994</v>
      </c>
      <c r="N1393" s="6">
        <v>23.449</v>
      </c>
    </row>
    <row r="1394">
      <c r="A1394" s="491" t="s">
        <v>2021</v>
      </c>
      <c r="B1394" s="491" t="s">
        <v>1857</v>
      </c>
      <c r="C1394" s="491" t="s">
        <v>1873</v>
      </c>
      <c r="D1394" s="491" t="s">
        <v>2018</v>
      </c>
      <c r="E1394" s="492" t="s">
        <v>367</v>
      </c>
      <c r="F1394" s="493">
        <v>25898.0</v>
      </c>
      <c r="G1394" s="493">
        <v>5251.0</v>
      </c>
      <c r="H1394" s="493">
        <v>20.28</v>
      </c>
      <c r="I1394" s="493">
        <v>18.09</v>
      </c>
      <c r="J1394" s="493">
        <v>11.81</v>
      </c>
      <c r="K1394" s="493">
        <v>160080.0</v>
      </c>
      <c r="L1394" s="493">
        <v>885020.0</v>
      </c>
      <c r="M1394" s="493">
        <v>6.1812</v>
      </c>
      <c r="N1394" s="6">
        <v>30.4856</v>
      </c>
    </row>
    <row r="1395">
      <c r="A1395" s="491" t="s">
        <v>2021</v>
      </c>
      <c r="B1395" s="491" t="s">
        <v>1857</v>
      </c>
      <c r="C1395" s="491" t="s">
        <v>1873</v>
      </c>
      <c r="D1395" s="491" t="s">
        <v>2018</v>
      </c>
      <c r="E1395" s="492" t="s">
        <v>369</v>
      </c>
      <c r="F1395" s="493">
        <v>25898.0</v>
      </c>
      <c r="G1395" s="493">
        <v>12064.0</v>
      </c>
      <c r="H1395" s="493">
        <v>46.58</v>
      </c>
      <c r="I1395" s="493">
        <v>17.18</v>
      </c>
      <c r="J1395" s="493">
        <v>22.95</v>
      </c>
      <c r="K1395" s="493">
        <v>152010.0</v>
      </c>
      <c r="L1395" s="493">
        <v>885020.0</v>
      </c>
      <c r="M1395" s="493">
        <v>5.8696</v>
      </c>
      <c r="N1395" s="6">
        <v>12.6003</v>
      </c>
    </row>
    <row r="1396">
      <c r="A1396" s="491" t="s">
        <v>2021</v>
      </c>
      <c r="B1396" s="491" t="s">
        <v>1857</v>
      </c>
      <c r="C1396" s="491" t="s">
        <v>1873</v>
      </c>
      <c r="D1396" s="491" t="s">
        <v>2018</v>
      </c>
      <c r="E1396" s="492" t="s">
        <v>189</v>
      </c>
      <c r="F1396" s="493">
        <v>25898.0</v>
      </c>
      <c r="G1396" s="493">
        <v>6469.0</v>
      </c>
      <c r="H1396" s="493">
        <v>24.98</v>
      </c>
      <c r="I1396" s="493">
        <v>7.6</v>
      </c>
      <c r="J1396" s="493">
        <v>10.47</v>
      </c>
      <c r="K1396" s="493">
        <v>67275.0</v>
      </c>
      <c r="L1396" s="493">
        <v>885020.0</v>
      </c>
      <c r="M1396" s="493">
        <v>2.5977</v>
      </c>
      <c r="N1396" s="6">
        <v>10.3996</v>
      </c>
    </row>
    <row r="1397">
      <c r="A1397" s="491" t="s">
        <v>2021</v>
      </c>
      <c r="B1397" s="491" t="s">
        <v>1857</v>
      </c>
      <c r="C1397" s="491" t="s">
        <v>1873</v>
      </c>
      <c r="D1397" s="491" t="s">
        <v>2018</v>
      </c>
      <c r="E1397" s="492" t="s">
        <v>35</v>
      </c>
      <c r="F1397" s="493">
        <v>25898.0</v>
      </c>
      <c r="G1397" s="493">
        <v>1063.0</v>
      </c>
      <c r="H1397" s="493">
        <v>4.1</v>
      </c>
      <c r="I1397" s="493">
        <v>1.89</v>
      </c>
      <c r="J1397" s="493">
        <v>1.59</v>
      </c>
      <c r="K1397" s="493">
        <v>16725.0</v>
      </c>
      <c r="L1397" s="493">
        <v>885020.0</v>
      </c>
      <c r="M1397" s="493">
        <v>0.6458</v>
      </c>
      <c r="N1397" s="6">
        <v>15.7338</v>
      </c>
    </row>
    <row r="1398">
      <c r="A1398" s="491" t="s">
        <v>2021</v>
      </c>
      <c r="B1398" s="491" t="s">
        <v>1857</v>
      </c>
      <c r="C1398" s="491" t="s">
        <v>1873</v>
      </c>
      <c r="D1398" s="491" t="s">
        <v>2018</v>
      </c>
      <c r="E1398" s="492" t="s">
        <v>370</v>
      </c>
      <c r="F1398" s="493">
        <v>25898.0</v>
      </c>
      <c r="G1398" s="493">
        <v>326.0</v>
      </c>
      <c r="H1398" s="493">
        <v>1.26</v>
      </c>
      <c r="I1398" s="493">
        <v>1.17</v>
      </c>
      <c r="J1398" s="493">
        <v>1.14</v>
      </c>
      <c r="K1398" s="493">
        <v>10395.0</v>
      </c>
      <c r="L1398" s="493">
        <v>885020.0</v>
      </c>
      <c r="M1398" s="493">
        <v>0.4014</v>
      </c>
      <c r="N1398" s="6">
        <v>31.8865</v>
      </c>
    </row>
    <row r="1399">
      <c r="A1399" s="491" t="s">
        <v>2021</v>
      </c>
      <c r="B1399" s="491" t="s">
        <v>1857</v>
      </c>
      <c r="C1399" s="491" t="s">
        <v>1873</v>
      </c>
      <c r="D1399" s="491" t="s">
        <v>2018</v>
      </c>
      <c r="E1399" s="492" t="s">
        <v>42</v>
      </c>
      <c r="F1399" s="493">
        <v>25898.0</v>
      </c>
      <c r="G1399" s="493">
        <v>1.0</v>
      </c>
      <c r="H1399" s="493">
        <v>0.0</v>
      </c>
      <c r="I1399" s="493">
        <v>0.0</v>
      </c>
      <c r="J1399" s="493">
        <v>0.0</v>
      </c>
      <c r="K1399" s="493">
        <v>20.0</v>
      </c>
      <c r="L1399" s="493">
        <v>885020.0</v>
      </c>
      <c r="M1399" s="493">
        <v>8.0E-4</v>
      </c>
      <c r="N1399" s="6">
        <v>20.0</v>
      </c>
    </row>
    <row r="1400">
      <c r="A1400" s="491" t="s">
        <v>2021</v>
      </c>
      <c r="B1400" s="491" t="s">
        <v>1857</v>
      </c>
      <c r="C1400" s="491" t="s">
        <v>1874</v>
      </c>
      <c r="D1400" s="491" t="s">
        <v>2018</v>
      </c>
      <c r="E1400" s="492" t="s">
        <v>372</v>
      </c>
      <c r="F1400" s="493">
        <v>42897.0</v>
      </c>
      <c r="G1400" s="493">
        <v>30620.0</v>
      </c>
      <c r="H1400" s="493">
        <v>71.38</v>
      </c>
      <c r="I1400" s="493">
        <v>46.26</v>
      </c>
      <c r="J1400" s="493">
        <v>48.77</v>
      </c>
      <c r="K1400" s="493">
        <v>919155.0</v>
      </c>
      <c r="L1400" s="493">
        <v>1986880.0</v>
      </c>
      <c r="M1400" s="493">
        <v>21.427</v>
      </c>
      <c r="N1400" s="6">
        <v>30.0181</v>
      </c>
    </row>
    <row r="1401">
      <c r="A1401" s="491" t="s">
        <v>2021</v>
      </c>
      <c r="B1401" s="491" t="s">
        <v>1857</v>
      </c>
      <c r="C1401" s="491" t="s">
        <v>1874</v>
      </c>
      <c r="D1401" s="491" t="s">
        <v>2018</v>
      </c>
      <c r="E1401" s="492" t="s">
        <v>367</v>
      </c>
      <c r="F1401" s="493">
        <v>42897.0</v>
      </c>
      <c r="G1401" s="493">
        <v>5244.0</v>
      </c>
      <c r="H1401" s="493">
        <v>12.22</v>
      </c>
      <c r="I1401" s="493">
        <v>16.12</v>
      </c>
      <c r="J1401" s="493">
        <v>6.93</v>
      </c>
      <c r="K1401" s="493">
        <v>320235.0</v>
      </c>
      <c r="L1401" s="493">
        <v>1986880.0</v>
      </c>
      <c r="M1401" s="493">
        <v>7.4652</v>
      </c>
      <c r="N1401" s="6">
        <v>61.0669</v>
      </c>
    </row>
    <row r="1402">
      <c r="A1402" s="491" t="s">
        <v>2021</v>
      </c>
      <c r="B1402" s="491" t="s">
        <v>1857</v>
      </c>
      <c r="C1402" s="491" t="s">
        <v>1874</v>
      </c>
      <c r="D1402" s="491" t="s">
        <v>2018</v>
      </c>
      <c r="E1402" s="492" t="s">
        <v>369</v>
      </c>
      <c r="F1402" s="493">
        <v>42897.0</v>
      </c>
      <c r="G1402" s="493">
        <v>21520.0</v>
      </c>
      <c r="H1402" s="493">
        <v>50.17</v>
      </c>
      <c r="I1402" s="493">
        <v>14.77</v>
      </c>
      <c r="J1402" s="493">
        <v>19.23</v>
      </c>
      <c r="K1402" s="493">
        <v>293505.0</v>
      </c>
      <c r="L1402" s="493">
        <v>1986880.0</v>
      </c>
      <c r="M1402" s="493">
        <v>6.8421</v>
      </c>
      <c r="N1402" s="6">
        <v>13.6387</v>
      </c>
    </row>
    <row r="1403">
      <c r="A1403" s="491" t="s">
        <v>2021</v>
      </c>
      <c r="B1403" s="491" t="s">
        <v>1857</v>
      </c>
      <c r="C1403" s="491" t="s">
        <v>1874</v>
      </c>
      <c r="D1403" s="491" t="s">
        <v>2018</v>
      </c>
      <c r="E1403" s="492" t="s">
        <v>134</v>
      </c>
      <c r="F1403" s="493">
        <v>42897.0</v>
      </c>
      <c r="G1403" s="493">
        <v>10262.0</v>
      </c>
      <c r="H1403" s="493">
        <v>23.92</v>
      </c>
      <c r="I1403" s="493">
        <v>9.25</v>
      </c>
      <c r="J1403" s="493">
        <v>9.41</v>
      </c>
      <c r="K1403" s="493">
        <v>183725.0</v>
      </c>
      <c r="L1403" s="493">
        <v>1986880.0</v>
      </c>
      <c r="M1403" s="493">
        <v>4.2829</v>
      </c>
      <c r="N1403" s="6">
        <v>17.9034</v>
      </c>
    </row>
    <row r="1404">
      <c r="A1404" s="491" t="s">
        <v>2021</v>
      </c>
      <c r="B1404" s="491" t="s">
        <v>1857</v>
      </c>
      <c r="C1404" s="491" t="s">
        <v>1874</v>
      </c>
      <c r="D1404" s="491" t="s">
        <v>2018</v>
      </c>
      <c r="E1404" s="492" t="s">
        <v>189</v>
      </c>
      <c r="F1404" s="493">
        <v>42897.0</v>
      </c>
      <c r="G1404" s="493">
        <v>10956.0</v>
      </c>
      <c r="H1404" s="493">
        <v>25.54</v>
      </c>
      <c r="I1404" s="493">
        <v>5.84</v>
      </c>
      <c r="J1404" s="493">
        <v>8.63</v>
      </c>
      <c r="K1404" s="493">
        <v>116025.0</v>
      </c>
      <c r="L1404" s="493">
        <v>1986880.0</v>
      </c>
      <c r="M1404" s="493">
        <v>2.7047</v>
      </c>
      <c r="N1404" s="6">
        <v>10.5901</v>
      </c>
    </row>
    <row r="1405">
      <c r="A1405" s="491" t="s">
        <v>2021</v>
      </c>
      <c r="B1405" s="491" t="s">
        <v>1857</v>
      </c>
      <c r="C1405" s="491" t="s">
        <v>1874</v>
      </c>
      <c r="D1405" s="491" t="s">
        <v>2018</v>
      </c>
      <c r="E1405" s="492" t="s">
        <v>44</v>
      </c>
      <c r="F1405" s="493">
        <v>42897.0</v>
      </c>
      <c r="G1405" s="493">
        <v>6512.0</v>
      </c>
      <c r="H1405" s="493">
        <v>15.18</v>
      </c>
      <c r="I1405" s="493">
        <v>4.12</v>
      </c>
      <c r="J1405" s="493">
        <v>3.87</v>
      </c>
      <c r="K1405" s="493">
        <v>81920.0</v>
      </c>
      <c r="L1405" s="493">
        <v>1986880.0</v>
      </c>
      <c r="M1405" s="493">
        <v>1.9097</v>
      </c>
      <c r="N1405" s="6">
        <v>12.5799</v>
      </c>
    </row>
    <row r="1406">
      <c r="A1406" s="491" t="s">
        <v>2021</v>
      </c>
      <c r="B1406" s="491" t="s">
        <v>1857</v>
      </c>
      <c r="C1406" s="491" t="s">
        <v>1874</v>
      </c>
      <c r="D1406" s="491" t="s">
        <v>2018</v>
      </c>
      <c r="E1406" s="492" t="s">
        <v>35</v>
      </c>
      <c r="F1406" s="493">
        <v>42897.0</v>
      </c>
      <c r="G1406" s="493">
        <v>3776.0</v>
      </c>
      <c r="H1406" s="493">
        <v>8.8</v>
      </c>
      <c r="I1406" s="493">
        <v>3.1</v>
      </c>
      <c r="J1406" s="493">
        <v>2.65</v>
      </c>
      <c r="K1406" s="493">
        <v>61680.0</v>
      </c>
      <c r="L1406" s="493">
        <v>1986880.0</v>
      </c>
      <c r="M1406" s="493">
        <v>1.4379</v>
      </c>
      <c r="N1406" s="6">
        <v>16.3347</v>
      </c>
    </row>
    <row r="1407">
      <c r="A1407" s="491" t="s">
        <v>2021</v>
      </c>
      <c r="B1407" s="491" t="s">
        <v>1857</v>
      </c>
      <c r="C1407" s="491" t="s">
        <v>1874</v>
      </c>
      <c r="D1407" s="491" t="s">
        <v>2018</v>
      </c>
      <c r="E1407" s="492" t="s">
        <v>370</v>
      </c>
      <c r="F1407" s="493">
        <v>42897.0</v>
      </c>
      <c r="G1407" s="493">
        <v>341.0</v>
      </c>
      <c r="H1407" s="493">
        <v>0.79</v>
      </c>
      <c r="I1407" s="493">
        <v>0.53</v>
      </c>
      <c r="J1407" s="493">
        <v>0.5</v>
      </c>
      <c r="K1407" s="493">
        <v>10595.0</v>
      </c>
      <c r="L1407" s="493">
        <v>1986880.0</v>
      </c>
      <c r="M1407" s="493">
        <v>0.247</v>
      </c>
      <c r="N1407" s="6">
        <v>31.0704</v>
      </c>
    </row>
    <row r="1408">
      <c r="A1408" s="491" t="s">
        <v>2021</v>
      </c>
      <c r="B1408" s="491" t="s">
        <v>1857</v>
      </c>
      <c r="C1408" s="491" t="s">
        <v>1874</v>
      </c>
      <c r="D1408" s="491" t="s">
        <v>2018</v>
      </c>
      <c r="E1408" s="492" t="s">
        <v>368</v>
      </c>
      <c r="F1408" s="493">
        <v>42897.0</v>
      </c>
      <c r="G1408" s="493">
        <v>4.0</v>
      </c>
      <c r="H1408" s="493">
        <v>0.01</v>
      </c>
      <c r="I1408" s="493">
        <v>0.0</v>
      </c>
      <c r="J1408" s="493">
        <v>0.0</v>
      </c>
      <c r="K1408" s="493">
        <v>40.0</v>
      </c>
      <c r="L1408" s="493">
        <v>1986880.0</v>
      </c>
      <c r="M1408" s="493">
        <v>9.0E-4</v>
      </c>
      <c r="N1408" s="6">
        <v>10.0</v>
      </c>
    </row>
    <row r="1409">
      <c r="A1409" s="491" t="s">
        <v>2021</v>
      </c>
      <c r="B1409" s="491" t="s">
        <v>1857</v>
      </c>
      <c r="C1409" s="491" t="s">
        <v>1875</v>
      </c>
      <c r="D1409" s="491" t="s">
        <v>2018</v>
      </c>
      <c r="E1409" s="492" t="s">
        <v>372</v>
      </c>
      <c r="F1409" s="493">
        <v>46745.0</v>
      </c>
      <c r="G1409" s="493">
        <v>37431.0</v>
      </c>
      <c r="H1409" s="493">
        <v>80.07</v>
      </c>
      <c r="I1409" s="493">
        <v>45.36</v>
      </c>
      <c r="J1409" s="493">
        <v>51.79</v>
      </c>
      <c r="K1409" s="493">
        <v>1110525.0</v>
      </c>
      <c r="L1409" s="493">
        <v>2448470.0</v>
      </c>
      <c r="M1409" s="493">
        <v>23.7571</v>
      </c>
      <c r="N1409" s="6">
        <v>29.6686</v>
      </c>
    </row>
    <row r="1410">
      <c r="A1410" s="491" t="s">
        <v>2021</v>
      </c>
      <c r="B1410" s="491" t="s">
        <v>1857</v>
      </c>
      <c r="C1410" s="491" t="s">
        <v>1875</v>
      </c>
      <c r="D1410" s="491" t="s">
        <v>2018</v>
      </c>
      <c r="E1410" s="492" t="s">
        <v>369</v>
      </c>
      <c r="F1410" s="493">
        <v>46745.0</v>
      </c>
      <c r="G1410" s="493">
        <v>23960.0</v>
      </c>
      <c r="H1410" s="493">
        <v>51.26</v>
      </c>
      <c r="I1410" s="493">
        <v>16.12</v>
      </c>
      <c r="J1410" s="493">
        <v>18.09</v>
      </c>
      <c r="K1410" s="493">
        <v>394790.0</v>
      </c>
      <c r="L1410" s="493">
        <v>2448470.0</v>
      </c>
      <c r="M1410" s="493">
        <v>8.4456</v>
      </c>
      <c r="N1410" s="6">
        <v>16.477</v>
      </c>
    </row>
    <row r="1411">
      <c r="A1411" s="491" t="s">
        <v>2021</v>
      </c>
      <c r="B1411" s="491" t="s">
        <v>1857</v>
      </c>
      <c r="C1411" s="491" t="s">
        <v>1875</v>
      </c>
      <c r="D1411" s="491" t="s">
        <v>2018</v>
      </c>
      <c r="E1411" s="492" t="s">
        <v>367</v>
      </c>
      <c r="F1411" s="493">
        <v>46745.0</v>
      </c>
      <c r="G1411" s="493">
        <v>4904.0</v>
      </c>
      <c r="H1411" s="493">
        <v>10.49</v>
      </c>
      <c r="I1411" s="493">
        <v>12.19</v>
      </c>
      <c r="J1411" s="493">
        <v>5.06</v>
      </c>
      <c r="K1411" s="493">
        <v>298515.0</v>
      </c>
      <c r="L1411" s="493">
        <v>2448470.0</v>
      </c>
      <c r="M1411" s="493">
        <v>6.386</v>
      </c>
      <c r="N1411" s="6">
        <v>60.8717</v>
      </c>
    </row>
    <row r="1412">
      <c r="A1412" s="491" t="s">
        <v>2021</v>
      </c>
      <c r="B1412" s="491" t="s">
        <v>1857</v>
      </c>
      <c r="C1412" s="491" t="s">
        <v>1875</v>
      </c>
      <c r="D1412" s="491" t="s">
        <v>2018</v>
      </c>
      <c r="E1412" s="492" t="s">
        <v>44</v>
      </c>
      <c r="F1412" s="493">
        <v>46745.0</v>
      </c>
      <c r="G1412" s="493">
        <v>13679.0</v>
      </c>
      <c r="H1412" s="493">
        <v>29.26</v>
      </c>
      <c r="I1412" s="493">
        <v>8.1</v>
      </c>
      <c r="J1412" s="493">
        <v>7.29</v>
      </c>
      <c r="K1412" s="493">
        <v>198440.0</v>
      </c>
      <c r="L1412" s="493">
        <v>2448470.0</v>
      </c>
      <c r="M1412" s="493">
        <v>4.2452</v>
      </c>
      <c r="N1412" s="6">
        <v>14.5069</v>
      </c>
    </row>
    <row r="1413">
      <c r="A1413" s="491" t="s">
        <v>2021</v>
      </c>
      <c r="B1413" s="491" t="s">
        <v>1857</v>
      </c>
      <c r="C1413" s="491" t="s">
        <v>1875</v>
      </c>
      <c r="D1413" s="491" t="s">
        <v>2018</v>
      </c>
      <c r="E1413" s="492" t="s">
        <v>134</v>
      </c>
      <c r="F1413" s="493">
        <v>46745.0</v>
      </c>
      <c r="G1413" s="493">
        <v>7556.0</v>
      </c>
      <c r="H1413" s="493">
        <v>16.16</v>
      </c>
      <c r="I1413" s="493">
        <v>6.95</v>
      </c>
      <c r="J1413" s="493">
        <v>5.43</v>
      </c>
      <c r="K1413" s="493">
        <v>170115.0</v>
      </c>
      <c r="L1413" s="493">
        <v>2448470.0</v>
      </c>
      <c r="M1413" s="493">
        <v>3.6392</v>
      </c>
      <c r="N1413" s="6">
        <v>22.5139</v>
      </c>
    </row>
    <row r="1414">
      <c r="A1414" s="491" t="s">
        <v>2021</v>
      </c>
      <c r="B1414" s="491" t="s">
        <v>1857</v>
      </c>
      <c r="C1414" s="491" t="s">
        <v>1875</v>
      </c>
      <c r="D1414" s="491" t="s">
        <v>2018</v>
      </c>
      <c r="E1414" s="492" t="s">
        <v>189</v>
      </c>
      <c r="F1414" s="493">
        <v>46745.0</v>
      </c>
      <c r="G1414" s="493">
        <v>12002.0</v>
      </c>
      <c r="H1414" s="493">
        <v>25.68</v>
      </c>
      <c r="I1414" s="493">
        <v>5.92</v>
      </c>
      <c r="J1414" s="493">
        <v>7.53</v>
      </c>
      <c r="K1414" s="493">
        <v>144965.0</v>
      </c>
      <c r="L1414" s="493">
        <v>2448470.0</v>
      </c>
      <c r="M1414" s="493">
        <v>3.1012</v>
      </c>
      <c r="N1414" s="6">
        <v>12.0784</v>
      </c>
    </row>
    <row r="1415">
      <c r="A1415" s="491" t="s">
        <v>2021</v>
      </c>
      <c r="B1415" s="491" t="s">
        <v>1857</v>
      </c>
      <c r="C1415" s="491" t="s">
        <v>1875</v>
      </c>
      <c r="D1415" s="491" t="s">
        <v>2018</v>
      </c>
      <c r="E1415" s="492" t="s">
        <v>35</v>
      </c>
      <c r="F1415" s="493">
        <v>46745.0</v>
      </c>
      <c r="G1415" s="493">
        <v>7311.0</v>
      </c>
      <c r="H1415" s="493">
        <v>15.64</v>
      </c>
      <c r="I1415" s="493">
        <v>4.9</v>
      </c>
      <c r="J1415" s="493">
        <v>4.34</v>
      </c>
      <c r="K1415" s="493">
        <v>120060.0</v>
      </c>
      <c r="L1415" s="493">
        <v>2448470.0</v>
      </c>
      <c r="M1415" s="493">
        <v>2.5684</v>
      </c>
      <c r="N1415" s="6">
        <v>16.4218</v>
      </c>
    </row>
    <row r="1416">
      <c r="A1416" s="491" t="s">
        <v>2021</v>
      </c>
      <c r="B1416" s="491" t="s">
        <v>1857</v>
      </c>
      <c r="C1416" s="491" t="s">
        <v>1875</v>
      </c>
      <c r="D1416" s="491" t="s">
        <v>2018</v>
      </c>
      <c r="E1416" s="492" t="s">
        <v>370</v>
      </c>
      <c r="F1416" s="493">
        <v>46745.0</v>
      </c>
      <c r="G1416" s="493">
        <v>369.0</v>
      </c>
      <c r="H1416" s="493">
        <v>0.79</v>
      </c>
      <c r="I1416" s="493">
        <v>0.45</v>
      </c>
      <c r="J1416" s="493">
        <v>0.47</v>
      </c>
      <c r="K1416" s="493">
        <v>10995.0</v>
      </c>
      <c r="L1416" s="493">
        <v>2448470.0</v>
      </c>
      <c r="M1416" s="493">
        <v>0.2352</v>
      </c>
      <c r="N1416" s="6">
        <v>29.7967</v>
      </c>
    </row>
    <row r="1417">
      <c r="A1417" s="491" t="s">
        <v>2021</v>
      </c>
      <c r="B1417" s="491" t="s">
        <v>1857</v>
      </c>
      <c r="C1417" s="491" t="s">
        <v>1875</v>
      </c>
      <c r="D1417" s="491" t="s">
        <v>2018</v>
      </c>
      <c r="E1417" s="492" t="s">
        <v>373</v>
      </c>
      <c r="F1417" s="493">
        <v>46745.0</v>
      </c>
      <c r="G1417" s="493">
        <v>2.0</v>
      </c>
      <c r="H1417" s="493">
        <v>0.0</v>
      </c>
      <c r="I1417" s="493">
        <v>0.0</v>
      </c>
      <c r="J1417" s="493">
        <v>0.0</v>
      </c>
      <c r="K1417" s="493">
        <v>20.0</v>
      </c>
      <c r="L1417" s="493">
        <v>2448470.0</v>
      </c>
      <c r="M1417" s="493">
        <v>4.0E-4</v>
      </c>
      <c r="N1417" s="6">
        <v>10.0</v>
      </c>
    </row>
    <row r="1418">
      <c r="A1418" s="491" t="s">
        <v>2021</v>
      </c>
      <c r="B1418" s="491" t="s">
        <v>1857</v>
      </c>
      <c r="C1418" s="491" t="s">
        <v>1875</v>
      </c>
      <c r="D1418" s="491" t="s">
        <v>2018</v>
      </c>
      <c r="E1418" s="492" t="s">
        <v>368</v>
      </c>
      <c r="F1418" s="493">
        <v>46745.0</v>
      </c>
      <c r="G1418" s="493">
        <v>1.0</v>
      </c>
      <c r="H1418" s="493">
        <v>0.0</v>
      </c>
      <c r="I1418" s="493">
        <v>0.0</v>
      </c>
      <c r="J1418" s="493">
        <v>0.0</v>
      </c>
      <c r="K1418" s="493">
        <v>30.0</v>
      </c>
      <c r="L1418" s="493">
        <v>2448470.0</v>
      </c>
      <c r="M1418" s="493">
        <v>6.0E-4</v>
      </c>
      <c r="N1418" s="6">
        <v>30.0</v>
      </c>
    </row>
    <row r="1419">
      <c r="A1419" s="491" t="s">
        <v>2021</v>
      </c>
      <c r="B1419" s="491" t="s">
        <v>1857</v>
      </c>
      <c r="C1419" s="491" t="s">
        <v>1875</v>
      </c>
      <c r="D1419" s="491" t="s">
        <v>2018</v>
      </c>
      <c r="E1419" s="492" t="s">
        <v>371</v>
      </c>
      <c r="F1419" s="493">
        <v>46745.0</v>
      </c>
      <c r="G1419" s="493">
        <v>1.0</v>
      </c>
      <c r="H1419" s="493">
        <v>0.0</v>
      </c>
      <c r="I1419" s="493">
        <v>0.0</v>
      </c>
      <c r="J1419" s="493">
        <v>0.0</v>
      </c>
      <c r="K1419" s="493">
        <v>15.0</v>
      </c>
      <c r="L1419" s="493">
        <v>2448470.0</v>
      </c>
      <c r="M1419" s="493">
        <v>3.0E-4</v>
      </c>
      <c r="N1419" s="6">
        <v>15.0</v>
      </c>
    </row>
    <row r="1420">
      <c r="A1420" s="491" t="s">
        <v>2021</v>
      </c>
      <c r="B1420" s="491" t="s">
        <v>1857</v>
      </c>
      <c r="C1420" s="491" t="s">
        <v>75</v>
      </c>
      <c r="D1420" s="491" t="s">
        <v>2018</v>
      </c>
      <c r="E1420" s="492" t="s">
        <v>371</v>
      </c>
      <c r="F1420" s="493">
        <v>55918.0</v>
      </c>
      <c r="G1420" s="493">
        <v>54317.0</v>
      </c>
      <c r="H1420" s="493">
        <v>97.14</v>
      </c>
      <c r="I1420" s="493">
        <v>29.75</v>
      </c>
      <c r="J1420" s="493">
        <v>29.62</v>
      </c>
      <c r="K1420" s="493">
        <v>1.479461E7</v>
      </c>
      <c r="L1420" s="493">
        <v>4.9722991E7</v>
      </c>
      <c r="M1420" s="493">
        <v>264.5769</v>
      </c>
      <c r="N1420" s="6">
        <v>272.3753</v>
      </c>
    </row>
    <row r="1421">
      <c r="A1421" s="491" t="s">
        <v>2021</v>
      </c>
      <c r="B1421" s="491" t="s">
        <v>1857</v>
      </c>
      <c r="C1421" s="491" t="s">
        <v>75</v>
      </c>
      <c r="D1421" s="491" t="s">
        <v>2018</v>
      </c>
      <c r="E1421" s="492" t="s">
        <v>372</v>
      </c>
      <c r="F1421" s="493">
        <v>55918.0</v>
      </c>
      <c r="G1421" s="493">
        <v>39413.0</v>
      </c>
      <c r="H1421" s="493">
        <v>70.48</v>
      </c>
      <c r="I1421" s="493">
        <v>17.05</v>
      </c>
      <c r="J1421" s="493">
        <v>17.01</v>
      </c>
      <c r="K1421" s="493">
        <v>8476875.0</v>
      </c>
      <c r="L1421" s="493">
        <v>4.9722991E7</v>
      </c>
      <c r="M1421" s="493">
        <v>151.5947</v>
      </c>
      <c r="N1421" s="6">
        <v>215.0781</v>
      </c>
    </row>
    <row r="1422">
      <c r="A1422" s="491" t="s">
        <v>2021</v>
      </c>
      <c r="B1422" s="491" t="s">
        <v>1857</v>
      </c>
      <c r="C1422" s="491" t="s">
        <v>75</v>
      </c>
      <c r="D1422" s="491" t="s">
        <v>2018</v>
      </c>
      <c r="E1422" s="492" t="s">
        <v>49</v>
      </c>
      <c r="F1422" s="493">
        <v>55918.0</v>
      </c>
      <c r="G1422" s="493">
        <v>38702.0</v>
      </c>
      <c r="H1422" s="493">
        <v>69.21</v>
      </c>
      <c r="I1422" s="493">
        <v>14.26</v>
      </c>
      <c r="J1422" s="493">
        <v>14.77</v>
      </c>
      <c r="K1422" s="493">
        <v>7091880.0</v>
      </c>
      <c r="L1422" s="493">
        <v>4.9722991E7</v>
      </c>
      <c r="M1422" s="493">
        <v>126.8264</v>
      </c>
      <c r="N1422" s="6">
        <v>183.2432</v>
      </c>
    </row>
    <row r="1423">
      <c r="A1423" s="491" t="s">
        <v>2021</v>
      </c>
      <c r="B1423" s="491" t="s">
        <v>1857</v>
      </c>
      <c r="C1423" s="491" t="s">
        <v>75</v>
      </c>
      <c r="D1423" s="491" t="s">
        <v>2018</v>
      </c>
      <c r="E1423" s="492" t="s">
        <v>367</v>
      </c>
      <c r="F1423" s="493">
        <v>55918.0</v>
      </c>
      <c r="G1423" s="493">
        <v>41087.0</v>
      </c>
      <c r="H1423" s="493">
        <v>73.48</v>
      </c>
      <c r="I1423" s="493">
        <v>9.26</v>
      </c>
      <c r="J1423" s="493">
        <v>8.65</v>
      </c>
      <c r="K1423" s="493">
        <v>4606275.0</v>
      </c>
      <c r="L1423" s="493">
        <v>4.9722991E7</v>
      </c>
      <c r="M1423" s="493">
        <v>82.3755</v>
      </c>
      <c r="N1423" s="6">
        <v>112.1103</v>
      </c>
    </row>
    <row r="1424">
      <c r="A1424" s="491" t="s">
        <v>2021</v>
      </c>
      <c r="B1424" s="491" t="s">
        <v>1857</v>
      </c>
      <c r="C1424" s="491" t="s">
        <v>75</v>
      </c>
      <c r="D1424" s="491" t="s">
        <v>2018</v>
      </c>
      <c r="E1424" s="492" t="s">
        <v>44</v>
      </c>
      <c r="F1424" s="493">
        <v>55918.0</v>
      </c>
      <c r="G1424" s="493">
        <v>34631.0</v>
      </c>
      <c r="H1424" s="493">
        <v>61.93</v>
      </c>
      <c r="I1424" s="493">
        <v>8.27</v>
      </c>
      <c r="J1424" s="493">
        <v>9.61</v>
      </c>
      <c r="K1424" s="493">
        <v>4112040.0</v>
      </c>
      <c r="L1424" s="493">
        <v>4.9722991E7</v>
      </c>
      <c r="M1424" s="493">
        <v>73.537</v>
      </c>
      <c r="N1424" s="6">
        <v>118.7387</v>
      </c>
    </row>
    <row r="1425">
      <c r="A1425" s="491" t="s">
        <v>2021</v>
      </c>
      <c r="B1425" s="491" t="s">
        <v>1857</v>
      </c>
      <c r="C1425" s="491" t="s">
        <v>75</v>
      </c>
      <c r="D1425" s="491" t="s">
        <v>2018</v>
      </c>
      <c r="E1425" s="492" t="s">
        <v>366</v>
      </c>
      <c r="F1425" s="493">
        <v>55918.0</v>
      </c>
      <c r="G1425" s="493">
        <v>28669.0</v>
      </c>
      <c r="H1425" s="493">
        <v>51.27</v>
      </c>
      <c r="I1425" s="493">
        <v>4.67</v>
      </c>
      <c r="J1425" s="493">
        <v>4.68</v>
      </c>
      <c r="K1425" s="493">
        <v>2320740.0</v>
      </c>
      <c r="L1425" s="493">
        <v>4.9722991E7</v>
      </c>
      <c r="M1425" s="493">
        <v>41.5026</v>
      </c>
      <c r="N1425" s="6">
        <v>80.9495</v>
      </c>
    </row>
    <row r="1426">
      <c r="A1426" s="491" t="s">
        <v>2021</v>
      </c>
      <c r="B1426" s="491" t="s">
        <v>1857</v>
      </c>
      <c r="C1426" s="491" t="s">
        <v>75</v>
      </c>
      <c r="D1426" s="491" t="s">
        <v>2018</v>
      </c>
      <c r="E1426" s="492" t="s">
        <v>370</v>
      </c>
      <c r="F1426" s="493">
        <v>55918.0</v>
      </c>
      <c r="G1426" s="493">
        <v>13659.0</v>
      </c>
      <c r="H1426" s="493">
        <v>24.43</v>
      </c>
      <c r="I1426" s="493">
        <v>3.74</v>
      </c>
      <c r="J1426" s="493">
        <v>2.25</v>
      </c>
      <c r="K1426" s="493">
        <v>1861651.0</v>
      </c>
      <c r="L1426" s="493">
        <v>4.9722991E7</v>
      </c>
      <c r="M1426" s="493">
        <v>33.2925</v>
      </c>
      <c r="N1426" s="6">
        <v>136.2948</v>
      </c>
    </row>
    <row r="1427">
      <c r="A1427" s="491" t="s">
        <v>2021</v>
      </c>
      <c r="B1427" s="491" t="s">
        <v>1857</v>
      </c>
      <c r="C1427" s="491" t="s">
        <v>75</v>
      </c>
      <c r="D1427" s="491" t="s">
        <v>2018</v>
      </c>
      <c r="E1427" s="492" t="s">
        <v>368</v>
      </c>
      <c r="F1427" s="493">
        <v>55918.0</v>
      </c>
      <c r="G1427" s="493">
        <v>25436.0</v>
      </c>
      <c r="H1427" s="493">
        <v>45.49</v>
      </c>
      <c r="I1427" s="493">
        <v>3.69</v>
      </c>
      <c r="J1427" s="493">
        <v>4.08</v>
      </c>
      <c r="K1427" s="493">
        <v>1835360.0</v>
      </c>
      <c r="L1427" s="493">
        <v>4.9722991E7</v>
      </c>
      <c r="M1427" s="493">
        <v>32.8223</v>
      </c>
      <c r="N1427" s="6">
        <v>72.156</v>
      </c>
    </row>
    <row r="1428">
      <c r="A1428" s="491" t="s">
        <v>2021</v>
      </c>
      <c r="B1428" s="491" t="s">
        <v>1857</v>
      </c>
      <c r="C1428" s="491" t="s">
        <v>75</v>
      </c>
      <c r="D1428" s="491" t="s">
        <v>2018</v>
      </c>
      <c r="E1428" s="492" t="s">
        <v>369</v>
      </c>
      <c r="F1428" s="493">
        <v>55918.0</v>
      </c>
      <c r="G1428" s="493">
        <v>19453.0</v>
      </c>
      <c r="H1428" s="493">
        <v>34.79</v>
      </c>
      <c r="I1428" s="493">
        <v>2.79</v>
      </c>
      <c r="J1428" s="493">
        <v>2.44</v>
      </c>
      <c r="K1428" s="493">
        <v>1388730.0</v>
      </c>
      <c r="L1428" s="493">
        <v>4.9722991E7</v>
      </c>
      <c r="M1428" s="493">
        <v>24.8351</v>
      </c>
      <c r="N1428" s="6">
        <v>71.389</v>
      </c>
    </row>
    <row r="1429">
      <c r="A1429" s="491" t="s">
        <v>2021</v>
      </c>
      <c r="B1429" s="491" t="s">
        <v>1857</v>
      </c>
      <c r="C1429" s="491" t="s">
        <v>75</v>
      </c>
      <c r="D1429" s="491" t="s">
        <v>2018</v>
      </c>
      <c r="E1429" s="492" t="s">
        <v>35</v>
      </c>
      <c r="F1429" s="493">
        <v>55918.0</v>
      </c>
      <c r="G1429" s="493">
        <v>13865.0</v>
      </c>
      <c r="H1429" s="493">
        <v>24.8</v>
      </c>
      <c r="I1429" s="493">
        <v>1.63</v>
      </c>
      <c r="J1429" s="493">
        <v>1.61</v>
      </c>
      <c r="K1429" s="493">
        <v>810630.0</v>
      </c>
      <c r="L1429" s="493">
        <v>4.9722991E7</v>
      </c>
      <c r="M1429" s="493">
        <v>14.4968</v>
      </c>
      <c r="N1429" s="6">
        <v>58.4659</v>
      </c>
    </row>
    <row r="1430">
      <c r="A1430" s="491" t="s">
        <v>2021</v>
      </c>
      <c r="B1430" s="491" t="s">
        <v>1857</v>
      </c>
      <c r="C1430" s="491" t="s">
        <v>75</v>
      </c>
      <c r="D1430" s="491" t="s">
        <v>2018</v>
      </c>
      <c r="E1430" s="492" t="s">
        <v>32</v>
      </c>
      <c r="F1430" s="493">
        <v>55918.0</v>
      </c>
      <c r="G1430" s="493">
        <v>16547.0</v>
      </c>
      <c r="H1430" s="493">
        <v>29.59</v>
      </c>
      <c r="I1430" s="493">
        <v>1.47</v>
      </c>
      <c r="J1430" s="493">
        <v>1.63</v>
      </c>
      <c r="K1430" s="493">
        <v>730490.0</v>
      </c>
      <c r="L1430" s="493">
        <v>4.9722991E7</v>
      </c>
      <c r="M1430" s="493">
        <v>13.0636</v>
      </c>
      <c r="N1430" s="6">
        <v>44.1464</v>
      </c>
    </row>
    <row r="1431">
      <c r="A1431" s="491" t="s">
        <v>2021</v>
      </c>
      <c r="B1431" s="491" t="s">
        <v>1857</v>
      </c>
      <c r="C1431" s="491" t="s">
        <v>75</v>
      </c>
      <c r="D1431" s="491" t="s">
        <v>2018</v>
      </c>
      <c r="E1431" s="492" t="s">
        <v>43</v>
      </c>
      <c r="F1431" s="493">
        <v>55918.0</v>
      </c>
      <c r="G1431" s="493">
        <v>17543.0</v>
      </c>
      <c r="H1431" s="493">
        <v>31.37</v>
      </c>
      <c r="I1431" s="493">
        <v>1.27</v>
      </c>
      <c r="J1431" s="493">
        <v>1.7</v>
      </c>
      <c r="K1431" s="493">
        <v>633040.0</v>
      </c>
      <c r="L1431" s="493">
        <v>4.9722991E7</v>
      </c>
      <c r="M1431" s="493">
        <v>11.3209</v>
      </c>
      <c r="N1431" s="6">
        <v>36.085</v>
      </c>
    </row>
    <row r="1432">
      <c r="A1432" s="491" t="s">
        <v>2021</v>
      </c>
      <c r="B1432" s="491" t="s">
        <v>1857</v>
      </c>
      <c r="C1432" s="491" t="s">
        <v>75</v>
      </c>
      <c r="D1432" s="491" t="s">
        <v>2018</v>
      </c>
      <c r="E1432" s="492" t="s">
        <v>189</v>
      </c>
      <c r="F1432" s="493">
        <v>55918.0</v>
      </c>
      <c r="G1432" s="493">
        <v>10270.0</v>
      </c>
      <c r="H1432" s="493">
        <v>18.37</v>
      </c>
      <c r="I1432" s="493">
        <v>0.99</v>
      </c>
      <c r="J1432" s="493">
        <v>0.92</v>
      </c>
      <c r="K1432" s="493">
        <v>491640.0</v>
      </c>
      <c r="L1432" s="493">
        <v>4.9722991E7</v>
      </c>
      <c r="M1432" s="493">
        <v>8.7922</v>
      </c>
      <c r="N1432" s="6">
        <v>47.8715</v>
      </c>
    </row>
    <row r="1433">
      <c r="A1433" s="491" t="s">
        <v>2021</v>
      </c>
      <c r="B1433" s="491" t="s">
        <v>1857</v>
      </c>
      <c r="C1433" s="491" t="s">
        <v>75</v>
      </c>
      <c r="D1433" s="491" t="s">
        <v>2018</v>
      </c>
      <c r="E1433" s="492" t="s">
        <v>365</v>
      </c>
      <c r="F1433" s="493">
        <v>55918.0</v>
      </c>
      <c r="G1433" s="493">
        <v>13561.0</v>
      </c>
      <c r="H1433" s="493">
        <v>24.25</v>
      </c>
      <c r="I1433" s="493">
        <v>0.93</v>
      </c>
      <c r="J1433" s="493">
        <v>0.78</v>
      </c>
      <c r="K1433" s="493">
        <v>462510.0</v>
      </c>
      <c r="L1433" s="493">
        <v>4.9722991E7</v>
      </c>
      <c r="M1433" s="493">
        <v>8.2712</v>
      </c>
      <c r="N1433" s="6">
        <v>34.1059</v>
      </c>
    </row>
    <row r="1434">
      <c r="A1434" s="491" t="s">
        <v>2021</v>
      </c>
      <c r="B1434" s="491" t="s">
        <v>1857</v>
      </c>
      <c r="C1434" s="491" t="s">
        <v>75</v>
      </c>
      <c r="D1434" s="491" t="s">
        <v>2018</v>
      </c>
      <c r="E1434" s="492" t="s">
        <v>134</v>
      </c>
      <c r="F1434" s="493">
        <v>55918.0</v>
      </c>
      <c r="G1434" s="493">
        <v>2416.0</v>
      </c>
      <c r="H1434" s="493">
        <v>4.32</v>
      </c>
      <c r="I1434" s="493">
        <v>0.13</v>
      </c>
      <c r="J1434" s="493">
        <v>0.14</v>
      </c>
      <c r="K1434" s="493">
        <v>66315.0</v>
      </c>
      <c r="L1434" s="493">
        <v>4.9722991E7</v>
      </c>
      <c r="M1434" s="493">
        <v>1.1859</v>
      </c>
      <c r="N1434" s="6">
        <v>27.4483</v>
      </c>
    </row>
    <row r="1435">
      <c r="A1435" s="491" t="s">
        <v>2021</v>
      </c>
      <c r="B1435" s="491" t="s">
        <v>1857</v>
      </c>
      <c r="C1435" s="491" t="s">
        <v>75</v>
      </c>
      <c r="D1435" s="491" t="s">
        <v>2018</v>
      </c>
      <c r="E1435" s="492" t="s">
        <v>50</v>
      </c>
      <c r="F1435" s="493">
        <v>55918.0</v>
      </c>
      <c r="G1435" s="493">
        <v>778.0</v>
      </c>
      <c r="H1435" s="493">
        <v>1.39</v>
      </c>
      <c r="I1435" s="493">
        <v>0.08</v>
      </c>
      <c r="J1435" s="493">
        <v>0.14</v>
      </c>
      <c r="K1435" s="493">
        <v>40100.0</v>
      </c>
      <c r="L1435" s="493">
        <v>4.9722991E7</v>
      </c>
      <c r="M1435" s="493">
        <v>0.7171</v>
      </c>
      <c r="N1435" s="6">
        <v>51.5424</v>
      </c>
    </row>
    <row r="1436">
      <c r="A1436" s="491" t="s">
        <v>2021</v>
      </c>
      <c r="B1436" s="491" t="s">
        <v>1857</v>
      </c>
      <c r="C1436" s="491" t="s">
        <v>75</v>
      </c>
      <c r="D1436" s="491" t="s">
        <v>2018</v>
      </c>
      <c r="E1436" s="492" t="s">
        <v>42</v>
      </c>
      <c r="F1436" s="493">
        <v>55918.0</v>
      </c>
      <c r="G1436" s="493">
        <v>1.0</v>
      </c>
      <c r="H1436" s="493">
        <v>0.0</v>
      </c>
      <c r="I1436" s="493">
        <v>0.0</v>
      </c>
      <c r="J1436" s="493">
        <v>0.0</v>
      </c>
      <c r="K1436" s="493">
        <v>30.0</v>
      </c>
      <c r="L1436" s="493">
        <v>4.9722991E7</v>
      </c>
      <c r="M1436" s="493">
        <v>5.0E-4</v>
      </c>
      <c r="N1436" s="6">
        <v>30.0</v>
      </c>
    </row>
    <row r="1437">
      <c r="A1437" s="491" t="s">
        <v>2021</v>
      </c>
      <c r="B1437" s="491" t="s">
        <v>1857</v>
      </c>
      <c r="C1437" s="491" t="s">
        <v>75</v>
      </c>
      <c r="D1437" s="491" t="s">
        <v>2018</v>
      </c>
      <c r="E1437" s="492" t="s">
        <v>373</v>
      </c>
      <c r="F1437" s="493">
        <v>55918.0</v>
      </c>
      <c r="G1437" s="493">
        <v>3.0</v>
      </c>
      <c r="H1437" s="493">
        <v>0.01</v>
      </c>
      <c r="I1437" s="493">
        <v>0.0</v>
      </c>
      <c r="J1437" s="493">
        <v>0.0</v>
      </c>
      <c r="K1437" s="493">
        <v>75.0</v>
      </c>
      <c r="L1437" s="493">
        <v>4.9722991E7</v>
      </c>
      <c r="M1437" s="493">
        <v>0.0013</v>
      </c>
      <c r="N1437" s="6">
        <v>25.0</v>
      </c>
    </row>
    <row r="1438">
      <c r="A1438" s="491" t="s">
        <v>2022</v>
      </c>
      <c r="B1438" s="491" t="s">
        <v>163</v>
      </c>
      <c r="C1438" s="491" t="s">
        <v>71</v>
      </c>
      <c r="D1438" s="491" t="s">
        <v>565</v>
      </c>
      <c r="E1438" s="492" t="s">
        <v>371</v>
      </c>
      <c r="F1438" s="493">
        <v>44802.0</v>
      </c>
      <c r="G1438" s="493">
        <v>40660.0</v>
      </c>
      <c r="H1438" s="493">
        <v>90.75</v>
      </c>
      <c r="I1438" s="493">
        <v>49.53</v>
      </c>
      <c r="J1438" s="493">
        <v>43.7</v>
      </c>
      <c r="K1438" s="493">
        <v>258450.0</v>
      </c>
      <c r="L1438" s="493">
        <v>521770.0</v>
      </c>
      <c r="M1438" s="493">
        <v>5.7687</v>
      </c>
      <c r="N1438" s="6">
        <v>6.3564</v>
      </c>
    </row>
    <row r="1439">
      <c r="A1439" s="491" t="s">
        <v>2022</v>
      </c>
      <c r="B1439" s="491" t="s">
        <v>163</v>
      </c>
      <c r="C1439" s="491" t="s">
        <v>71</v>
      </c>
      <c r="D1439" s="491" t="s">
        <v>565</v>
      </c>
      <c r="E1439" s="492" t="s">
        <v>370</v>
      </c>
      <c r="F1439" s="493">
        <v>44802.0</v>
      </c>
      <c r="G1439" s="493">
        <v>29303.0</v>
      </c>
      <c r="H1439" s="493">
        <v>65.41</v>
      </c>
      <c r="I1439" s="493">
        <v>10.43</v>
      </c>
      <c r="J1439" s="493">
        <v>14.34</v>
      </c>
      <c r="K1439" s="493">
        <v>54420.0</v>
      </c>
      <c r="L1439" s="493">
        <v>521770.0</v>
      </c>
      <c r="M1439" s="493">
        <v>1.2147</v>
      </c>
      <c r="N1439" s="6">
        <v>1.8571</v>
      </c>
    </row>
    <row r="1440">
      <c r="A1440" s="491" t="s">
        <v>2022</v>
      </c>
      <c r="B1440" s="491" t="s">
        <v>163</v>
      </c>
      <c r="C1440" s="491" t="s">
        <v>71</v>
      </c>
      <c r="D1440" s="491" t="s">
        <v>565</v>
      </c>
      <c r="E1440" s="492" t="s">
        <v>49</v>
      </c>
      <c r="F1440" s="493">
        <v>44802.0</v>
      </c>
      <c r="G1440" s="493">
        <v>20748.0</v>
      </c>
      <c r="H1440" s="493">
        <v>46.31</v>
      </c>
      <c r="I1440" s="493">
        <v>9.28</v>
      </c>
      <c r="J1440" s="493">
        <v>8.8</v>
      </c>
      <c r="K1440" s="493">
        <v>48445.0</v>
      </c>
      <c r="L1440" s="493">
        <v>521770.0</v>
      </c>
      <c r="M1440" s="493">
        <v>1.0813</v>
      </c>
      <c r="N1440" s="6">
        <v>2.3349</v>
      </c>
    </row>
    <row r="1441">
      <c r="A1441" s="491" t="s">
        <v>2022</v>
      </c>
      <c r="B1441" s="491" t="s">
        <v>163</v>
      </c>
      <c r="C1441" s="491" t="s">
        <v>71</v>
      </c>
      <c r="D1441" s="491" t="s">
        <v>565</v>
      </c>
      <c r="E1441" s="492" t="s">
        <v>372</v>
      </c>
      <c r="F1441" s="493">
        <v>44802.0</v>
      </c>
      <c r="G1441" s="493">
        <v>20438.0</v>
      </c>
      <c r="H1441" s="493">
        <v>45.62</v>
      </c>
      <c r="I1441" s="493">
        <v>7.01</v>
      </c>
      <c r="J1441" s="493">
        <v>8.28</v>
      </c>
      <c r="K1441" s="493">
        <v>36578.0</v>
      </c>
      <c r="L1441" s="493">
        <v>521770.0</v>
      </c>
      <c r="M1441" s="493">
        <v>0.8164</v>
      </c>
      <c r="N1441" s="6">
        <v>1.7897</v>
      </c>
    </row>
    <row r="1442">
      <c r="A1442" s="491" t="s">
        <v>2022</v>
      </c>
      <c r="B1442" s="491" t="s">
        <v>163</v>
      </c>
      <c r="C1442" s="491" t="s">
        <v>71</v>
      </c>
      <c r="D1442" s="491" t="s">
        <v>565</v>
      </c>
      <c r="E1442" s="492" t="s">
        <v>44</v>
      </c>
      <c r="F1442" s="493">
        <v>44802.0</v>
      </c>
      <c r="G1442" s="493">
        <v>22088.0</v>
      </c>
      <c r="H1442" s="493">
        <v>49.3</v>
      </c>
      <c r="I1442" s="493">
        <v>6.98</v>
      </c>
      <c r="J1442" s="493">
        <v>7.05</v>
      </c>
      <c r="K1442" s="493">
        <v>36400.0</v>
      </c>
      <c r="L1442" s="493">
        <v>521770.0</v>
      </c>
      <c r="M1442" s="493">
        <v>0.8125</v>
      </c>
      <c r="N1442" s="6">
        <v>1.648</v>
      </c>
    </row>
    <row r="1443">
      <c r="A1443" s="491" t="s">
        <v>2022</v>
      </c>
      <c r="B1443" s="491" t="s">
        <v>163</v>
      </c>
      <c r="C1443" s="491" t="s">
        <v>71</v>
      </c>
      <c r="D1443" s="491" t="s">
        <v>565</v>
      </c>
      <c r="E1443" s="492" t="s">
        <v>366</v>
      </c>
      <c r="F1443" s="493">
        <v>44802.0</v>
      </c>
      <c r="G1443" s="493">
        <v>22976.0</v>
      </c>
      <c r="H1443" s="493">
        <v>51.28</v>
      </c>
      <c r="I1443" s="493">
        <v>6.2</v>
      </c>
      <c r="J1443" s="493">
        <v>8.87</v>
      </c>
      <c r="K1443" s="493">
        <v>32336.0</v>
      </c>
      <c r="L1443" s="493">
        <v>521770.0</v>
      </c>
      <c r="M1443" s="493">
        <v>0.7218</v>
      </c>
      <c r="N1443" s="6">
        <v>1.4074</v>
      </c>
    </row>
    <row r="1444">
      <c r="A1444" s="491" t="s">
        <v>2022</v>
      </c>
      <c r="B1444" s="491" t="s">
        <v>163</v>
      </c>
      <c r="C1444" s="491" t="s">
        <v>71</v>
      </c>
      <c r="D1444" s="491" t="s">
        <v>565</v>
      </c>
      <c r="E1444" s="492" t="s">
        <v>42</v>
      </c>
      <c r="F1444" s="493">
        <v>44802.0</v>
      </c>
      <c r="G1444" s="493">
        <v>10526.0</v>
      </c>
      <c r="H1444" s="493">
        <v>23.49</v>
      </c>
      <c r="I1444" s="493">
        <v>3.3</v>
      </c>
      <c r="J1444" s="493">
        <v>3.63</v>
      </c>
      <c r="K1444" s="493">
        <v>17219.0</v>
      </c>
      <c r="L1444" s="493">
        <v>521770.0</v>
      </c>
      <c r="M1444" s="493">
        <v>0.3843</v>
      </c>
      <c r="N1444" s="6">
        <v>1.6359</v>
      </c>
    </row>
    <row r="1445">
      <c r="A1445" s="491" t="s">
        <v>2022</v>
      </c>
      <c r="B1445" s="491" t="s">
        <v>163</v>
      </c>
      <c r="C1445" s="491" t="s">
        <v>71</v>
      </c>
      <c r="D1445" s="491" t="s">
        <v>565</v>
      </c>
      <c r="E1445" s="492" t="s">
        <v>134</v>
      </c>
      <c r="F1445" s="493">
        <v>44802.0</v>
      </c>
      <c r="G1445" s="493">
        <v>7345.0</v>
      </c>
      <c r="H1445" s="493">
        <v>16.39</v>
      </c>
      <c r="I1445" s="493">
        <v>2.78</v>
      </c>
      <c r="J1445" s="493">
        <v>2.02</v>
      </c>
      <c r="K1445" s="493">
        <v>14501.0</v>
      </c>
      <c r="L1445" s="493">
        <v>521770.0</v>
      </c>
      <c r="M1445" s="493">
        <v>0.3237</v>
      </c>
      <c r="N1445" s="6">
        <v>1.9743</v>
      </c>
    </row>
    <row r="1446">
      <c r="A1446" s="491" t="s">
        <v>2022</v>
      </c>
      <c r="B1446" s="491" t="s">
        <v>163</v>
      </c>
      <c r="C1446" s="491" t="s">
        <v>71</v>
      </c>
      <c r="D1446" s="491" t="s">
        <v>565</v>
      </c>
      <c r="E1446" s="492" t="s">
        <v>50</v>
      </c>
      <c r="F1446" s="493">
        <v>44802.0</v>
      </c>
      <c r="G1446" s="493">
        <v>7748.0</v>
      </c>
      <c r="H1446" s="493">
        <v>17.29</v>
      </c>
      <c r="I1446" s="493">
        <v>2.01</v>
      </c>
      <c r="J1446" s="493">
        <v>1.89</v>
      </c>
      <c r="K1446" s="493">
        <v>10505.0</v>
      </c>
      <c r="L1446" s="493">
        <v>521770.0</v>
      </c>
      <c r="M1446" s="493">
        <v>0.2345</v>
      </c>
      <c r="N1446" s="6">
        <v>1.3558</v>
      </c>
    </row>
    <row r="1447">
      <c r="A1447" s="491" t="s">
        <v>2022</v>
      </c>
      <c r="B1447" s="491" t="s">
        <v>163</v>
      </c>
      <c r="C1447" s="491" t="s">
        <v>71</v>
      </c>
      <c r="D1447" s="491" t="s">
        <v>565</v>
      </c>
      <c r="E1447" s="492" t="s">
        <v>369</v>
      </c>
      <c r="F1447" s="493">
        <v>44802.0</v>
      </c>
      <c r="G1447" s="493">
        <v>5226.0</v>
      </c>
      <c r="H1447" s="493">
        <v>11.66</v>
      </c>
      <c r="I1447" s="493">
        <v>1.19</v>
      </c>
      <c r="J1447" s="493">
        <v>0.64</v>
      </c>
      <c r="K1447" s="493">
        <v>6191.0</v>
      </c>
      <c r="L1447" s="493">
        <v>521770.0</v>
      </c>
      <c r="M1447" s="493">
        <v>0.1382</v>
      </c>
      <c r="N1447" s="6">
        <v>1.1847</v>
      </c>
    </row>
    <row r="1448">
      <c r="A1448" s="491" t="s">
        <v>2022</v>
      </c>
      <c r="B1448" s="491" t="s">
        <v>163</v>
      </c>
      <c r="C1448" s="491" t="s">
        <v>71</v>
      </c>
      <c r="D1448" s="491" t="s">
        <v>565</v>
      </c>
      <c r="E1448" s="492" t="s">
        <v>35</v>
      </c>
      <c r="F1448" s="493">
        <v>44802.0</v>
      </c>
      <c r="G1448" s="493">
        <v>3555.0</v>
      </c>
      <c r="H1448" s="493">
        <v>7.93</v>
      </c>
      <c r="I1448" s="493">
        <v>0.79</v>
      </c>
      <c r="J1448" s="493">
        <v>0.46</v>
      </c>
      <c r="K1448" s="493">
        <v>4107.0</v>
      </c>
      <c r="L1448" s="493">
        <v>521770.0</v>
      </c>
      <c r="M1448" s="493">
        <v>0.0917</v>
      </c>
      <c r="N1448" s="6">
        <v>1.1553</v>
      </c>
    </row>
    <row r="1449">
      <c r="A1449" s="491" t="s">
        <v>2022</v>
      </c>
      <c r="B1449" s="491" t="s">
        <v>163</v>
      </c>
      <c r="C1449" s="491" t="s">
        <v>71</v>
      </c>
      <c r="D1449" s="491" t="s">
        <v>565</v>
      </c>
      <c r="E1449" s="492" t="s">
        <v>189</v>
      </c>
      <c r="F1449" s="493">
        <v>44802.0</v>
      </c>
      <c r="G1449" s="493">
        <v>1424.0</v>
      </c>
      <c r="H1449" s="493">
        <v>3.18</v>
      </c>
      <c r="I1449" s="493">
        <v>0.31</v>
      </c>
      <c r="J1449" s="493">
        <v>0.11</v>
      </c>
      <c r="K1449" s="493">
        <v>1615.0</v>
      </c>
      <c r="L1449" s="493">
        <v>521770.0</v>
      </c>
      <c r="M1449" s="493">
        <v>0.036</v>
      </c>
      <c r="N1449" s="6">
        <v>1.1341</v>
      </c>
    </row>
    <row r="1450">
      <c r="A1450" s="491" t="s">
        <v>2022</v>
      </c>
      <c r="B1450" s="491" t="s">
        <v>163</v>
      </c>
      <c r="C1450" s="491" t="s">
        <v>71</v>
      </c>
      <c r="D1450" s="491" t="s">
        <v>565</v>
      </c>
      <c r="E1450" s="492" t="s">
        <v>43</v>
      </c>
      <c r="F1450" s="493">
        <v>44802.0</v>
      </c>
      <c r="G1450" s="493">
        <v>951.0</v>
      </c>
      <c r="H1450" s="493">
        <v>2.12</v>
      </c>
      <c r="I1450" s="493">
        <v>0.19</v>
      </c>
      <c r="J1450" s="493">
        <v>0.22</v>
      </c>
      <c r="K1450" s="493">
        <v>977.0</v>
      </c>
      <c r="L1450" s="493">
        <v>521770.0</v>
      </c>
      <c r="M1450" s="493">
        <v>0.0218</v>
      </c>
      <c r="N1450" s="6">
        <v>1.0273</v>
      </c>
    </row>
    <row r="1451">
      <c r="A1451" s="491" t="s">
        <v>2022</v>
      </c>
      <c r="B1451" s="491" t="s">
        <v>163</v>
      </c>
      <c r="C1451" s="491" t="s">
        <v>71</v>
      </c>
      <c r="D1451" s="491" t="s">
        <v>565</v>
      </c>
      <c r="E1451" s="492" t="s">
        <v>368</v>
      </c>
      <c r="F1451" s="493">
        <v>44802.0</v>
      </c>
      <c r="G1451" s="493">
        <v>1.0</v>
      </c>
      <c r="H1451" s="493">
        <v>0.0</v>
      </c>
      <c r="I1451" s="493">
        <v>0.0</v>
      </c>
      <c r="J1451" s="493">
        <v>0.0</v>
      </c>
      <c r="K1451" s="493">
        <v>2.0</v>
      </c>
      <c r="L1451" s="493">
        <v>521770.0</v>
      </c>
      <c r="M1451" s="493">
        <v>0.0</v>
      </c>
      <c r="N1451" s="6">
        <v>2.0</v>
      </c>
    </row>
    <row r="1452">
      <c r="A1452" s="491" t="s">
        <v>2022</v>
      </c>
      <c r="B1452" s="491" t="s">
        <v>163</v>
      </c>
      <c r="C1452" s="491" t="s">
        <v>71</v>
      </c>
      <c r="D1452" s="491" t="s">
        <v>565</v>
      </c>
      <c r="E1452" s="492" t="s">
        <v>312</v>
      </c>
      <c r="F1452" s="493">
        <v>44802.0</v>
      </c>
      <c r="G1452" s="493">
        <v>3.0</v>
      </c>
      <c r="H1452" s="493">
        <v>0.01</v>
      </c>
      <c r="I1452" s="493">
        <v>0.0</v>
      </c>
      <c r="J1452" s="493">
        <v>0.0</v>
      </c>
      <c r="K1452" s="493">
        <v>4.0</v>
      </c>
      <c r="L1452" s="493">
        <v>521770.0</v>
      </c>
      <c r="M1452" s="493">
        <v>1.0E-4</v>
      </c>
      <c r="N1452" s="6">
        <v>1.3333</v>
      </c>
    </row>
    <row r="1453">
      <c r="A1453" s="491" t="s">
        <v>2022</v>
      </c>
      <c r="B1453" s="491" t="s">
        <v>163</v>
      </c>
      <c r="C1453" s="491" t="s">
        <v>71</v>
      </c>
      <c r="D1453" s="491" t="s">
        <v>565</v>
      </c>
      <c r="E1453" s="492" t="s">
        <v>32</v>
      </c>
      <c r="F1453" s="493">
        <v>44802.0</v>
      </c>
      <c r="G1453" s="493">
        <v>13.0</v>
      </c>
      <c r="H1453" s="493">
        <v>0.03</v>
      </c>
      <c r="I1453" s="493">
        <v>0.0</v>
      </c>
      <c r="J1453" s="493">
        <v>0.01</v>
      </c>
      <c r="K1453" s="493">
        <v>14.0</v>
      </c>
      <c r="L1453" s="493">
        <v>521770.0</v>
      </c>
      <c r="M1453" s="493">
        <v>3.0E-4</v>
      </c>
      <c r="N1453" s="6">
        <v>1.0769</v>
      </c>
    </row>
    <row r="1454">
      <c r="A1454" s="491" t="s">
        <v>2022</v>
      </c>
      <c r="B1454" s="491" t="s">
        <v>163</v>
      </c>
      <c r="C1454" s="491" t="s">
        <v>71</v>
      </c>
      <c r="D1454" s="491" t="s">
        <v>565</v>
      </c>
      <c r="E1454" s="492" t="s">
        <v>373</v>
      </c>
      <c r="F1454" s="493">
        <v>44802.0</v>
      </c>
      <c r="G1454" s="493">
        <v>3.0</v>
      </c>
      <c r="H1454" s="493">
        <v>0.01</v>
      </c>
      <c r="I1454" s="493">
        <v>0.0</v>
      </c>
      <c r="J1454" s="493">
        <v>0.0</v>
      </c>
      <c r="K1454" s="493">
        <v>6.0</v>
      </c>
      <c r="L1454" s="493">
        <v>521770.0</v>
      </c>
      <c r="M1454" s="493">
        <v>1.0E-4</v>
      </c>
      <c r="N1454" s="6">
        <v>2.0</v>
      </c>
    </row>
    <row r="1455">
      <c r="A1455" s="491" t="s">
        <v>2022</v>
      </c>
      <c r="B1455" s="491" t="s">
        <v>163</v>
      </c>
      <c r="C1455" s="491" t="s">
        <v>70</v>
      </c>
      <c r="D1455" s="491" t="s">
        <v>565</v>
      </c>
      <c r="E1455" s="492" t="s">
        <v>371</v>
      </c>
      <c r="F1455" s="493">
        <v>45900.0</v>
      </c>
      <c r="G1455" s="493">
        <v>44491.0</v>
      </c>
      <c r="H1455" s="493">
        <v>96.93</v>
      </c>
      <c r="I1455" s="493">
        <v>53.71</v>
      </c>
      <c r="J1455" s="493">
        <v>48.51</v>
      </c>
      <c r="K1455" s="493">
        <v>454588.0</v>
      </c>
      <c r="L1455" s="493">
        <v>846387.0</v>
      </c>
      <c r="M1455" s="493">
        <v>9.9039</v>
      </c>
      <c r="N1455" s="6">
        <v>10.2175</v>
      </c>
    </row>
    <row r="1456">
      <c r="A1456" s="491" t="s">
        <v>2022</v>
      </c>
      <c r="B1456" s="491" t="s">
        <v>163</v>
      </c>
      <c r="C1456" s="491" t="s">
        <v>70</v>
      </c>
      <c r="D1456" s="491" t="s">
        <v>565</v>
      </c>
      <c r="E1456" s="492" t="s">
        <v>372</v>
      </c>
      <c r="F1456" s="493">
        <v>45900.0</v>
      </c>
      <c r="G1456" s="493">
        <v>28966.0</v>
      </c>
      <c r="H1456" s="493">
        <v>63.11</v>
      </c>
      <c r="I1456" s="493">
        <v>12.41</v>
      </c>
      <c r="J1456" s="493">
        <v>15.37</v>
      </c>
      <c r="K1456" s="493">
        <v>105044.0</v>
      </c>
      <c r="L1456" s="493">
        <v>846387.0</v>
      </c>
      <c r="M1456" s="493">
        <v>2.2885</v>
      </c>
      <c r="N1456" s="6">
        <v>3.6265</v>
      </c>
    </row>
    <row r="1457">
      <c r="A1457" s="491" t="s">
        <v>2022</v>
      </c>
      <c r="B1457" s="491" t="s">
        <v>163</v>
      </c>
      <c r="C1457" s="491" t="s">
        <v>70</v>
      </c>
      <c r="D1457" s="491" t="s">
        <v>565</v>
      </c>
      <c r="E1457" s="492" t="s">
        <v>370</v>
      </c>
      <c r="F1457" s="493">
        <v>45900.0</v>
      </c>
      <c r="G1457" s="493">
        <v>29413.0</v>
      </c>
      <c r="H1457" s="493">
        <v>64.08</v>
      </c>
      <c r="I1457" s="493">
        <v>6.5</v>
      </c>
      <c r="J1457" s="493">
        <v>7.62</v>
      </c>
      <c r="K1457" s="493">
        <v>55001.0</v>
      </c>
      <c r="L1457" s="493">
        <v>846387.0</v>
      </c>
      <c r="M1457" s="493">
        <v>1.1983</v>
      </c>
      <c r="N1457" s="6">
        <v>1.87</v>
      </c>
    </row>
    <row r="1458">
      <c r="A1458" s="491" t="s">
        <v>2022</v>
      </c>
      <c r="B1458" s="491" t="s">
        <v>163</v>
      </c>
      <c r="C1458" s="491" t="s">
        <v>70</v>
      </c>
      <c r="D1458" s="491" t="s">
        <v>565</v>
      </c>
      <c r="E1458" s="492" t="s">
        <v>49</v>
      </c>
      <c r="F1458" s="493">
        <v>45900.0</v>
      </c>
      <c r="G1458" s="493">
        <v>20748.0</v>
      </c>
      <c r="H1458" s="493">
        <v>45.2</v>
      </c>
      <c r="I1458" s="493">
        <v>5.72</v>
      </c>
      <c r="J1458" s="493">
        <v>5.09</v>
      </c>
      <c r="K1458" s="493">
        <v>48445.0</v>
      </c>
      <c r="L1458" s="493">
        <v>846387.0</v>
      </c>
      <c r="M1458" s="493">
        <v>1.0554</v>
      </c>
      <c r="N1458" s="6">
        <v>2.3349</v>
      </c>
    </row>
    <row r="1459">
      <c r="A1459" s="491" t="s">
        <v>2022</v>
      </c>
      <c r="B1459" s="491" t="s">
        <v>163</v>
      </c>
      <c r="C1459" s="491" t="s">
        <v>70</v>
      </c>
      <c r="D1459" s="491" t="s">
        <v>565</v>
      </c>
      <c r="E1459" s="492" t="s">
        <v>44</v>
      </c>
      <c r="F1459" s="493">
        <v>45900.0</v>
      </c>
      <c r="G1459" s="493">
        <v>24494.0</v>
      </c>
      <c r="H1459" s="493">
        <v>53.36</v>
      </c>
      <c r="I1459" s="493">
        <v>4.72</v>
      </c>
      <c r="J1459" s="493">
        <v>4.97</v>
      </c>
      <c r="K1459" s="493">
        <v>39941.0</v>
      </c>
      <c r="L1459" s="493">
        <v>846387.0</v>
      </c>
      <c r="M1459" s="493">
        <v>0.8702</v>
      </c>
      <c r="N1459" s="6">
        <v>1.6306</v>
      </c>
    </row>
    <row r="1460">
      <c r="A1460" s="491" t="s">
        <v>2022</v>
      </c>
      <c r="B1460" s="491" t="s">
        <v>163</v>
      </c>
      <c r="C1460" s="491" t="s">
        <v>70</v>
      </c>
      <c r="D1460" s="491" t="s">
        <v>565</v>
      </c>
      <c r="E1460" s="492" t="s">
        <v>368</v>
      </c>
      <c r="F1460" s="493">
        <v>45900.0</v>
      </c>
      <c r="G1460" s="493">
        <v>14236.0</v>
      </c>
      <c r="H1460" s="493">
        <v>31.02</v>
      </c>
      <c r="I1460" s="493">
        <v>4.66</v>
      </c>
      <c r="J1460" s="493">
        <v>5.69</v>
      </c>
      <c r="K1460" s="493">
        <v>39414.0</v>
      </c>
      <c r="L1460" s="493">
        <v>846387.0</v>
      </c>
      <c r="M1460" s="493">
        <v>0.8587</v>
      </c>
      <c r="N1460" s="6">
        <v>2.7686</v>
      </c>
    </row>
    <row r="1461">
      <c r="A1461" s="491" t="s">
        <v>2022</v>
      </c>
      <c r="B1461" s="491" t="s">
        <v>163</v>
      </c>
      <c r="C1461" s="491" t="s">
        <v>70</v>
      </c>
      <c r="D1461" s="491" t="s">
        <v>565</v>
      </c>
      <c r="E1461" s="492" t="s">
        <v>366</v>
      </c>
      <c r="F1461" s="493">
        <v>45900.0</v>
      </c>
      <c r="G1461" s="493">
        <v>19331.0</v>
      </c>
      <c r="H1461" s="493">
        <v>42.12</v>
      </c>
      <c r="I1461" s="493">
        <v>4.21</v>
      </c>
      <c r="J1461" s="493">
        <v>3.71</v>
      </c>
      <c r="K1461" s="493">
        <v>35640.0</v>
      </c>
      <c r="L1461" s="493">
        <v>846387.0</v>
      </c>
      <c r="M1461" s="493">
        <v>0.7765</v>
      </c>
      <c r="N1461" s="6">
        <v>1.8437</v>
      </c>
    </row>
    <row r="1462">
      <c r="A1462" s="491" t="s">
        <v>2022</v>
      </c>
      <c r="B1462" s="491" t="s">
        <v>163</v>
      </c>
      <c r="C1462" s="491" t="s">
        <v>70</v>
      </c>
      <c r="D1462" s="491" t="s">
        <v>565</v>
      </c>
      <c r="E1462" s="492" t="s">
        <v>369</v>
      </c>
      <c r="F1462" s="493">
        <v>45900.0</v>
      </c>
      <c r="G1462" s="493">
        <v>19500.0</v>
      </c>
      <c r="H1462" s="493">
        <v>42.48</v>
      </c>
      <c r="I1462" s="493">
        <v>3.04</v>
      </c>
      <c r="J1462" s="493">
        <v>3.87</v>
      </c>
      <c r="K1462" s="493">
        <v>25772.0</v>
      </c>
      <c r="L1462" s="493">
        <v>846387.0</v>
      </c>
      <c r="M1462" s="493">
        <v>0.5615</v>
      </c>
      <c r="N1462" s="6">
        <v>1.3216</v>
      </c>
    </row>
    <row r="1463">
      <c r="A1463" s="491" t="s">
        <v>2022</v>
      </c>
      <c r="B1463" s="491" t="s">
        <v>163</v>
      </c>
      <c r="C1463" s="491" t="s">
        <v>70</v>
      </c>
      <c r="D1463" s="491" t="s">
        <v>565</v>
      </c>
      <c r="E1463" s="492" t="s">
        <v>134</v>
      </c>
      <c r="F1463" s="493">
        <v>45900.0</v>
      </c>
      <c r="G1463" s="493">
        <v>6642.0</v>
      </c>
      <c r="H1463" s="493">
        <v>14.47</v>
      </c>
      <c r="I1463" s="493">
        <v>1.39</v>
      </c>
      <c r="J1463" s="493">
        <v>1.01</v>
      </c>
      <c r="K1463" s="493">
        <v>11804.0</v>
      </c>
      <c r="L1463" s="493">
        <v>846387.0</v>
      </c>
      <c r="M1463" s="493">
        <v>0.2572</v>
      </c>
      <c r="N1463" s="6">
        <v>1.7772</v>
      </c>
    </row>
    <row r="1464">
      <c r="A1464" s="491" t="s">
        <v>2022</v>
      </c>
      <c r="B1464" s="491" t="s">
        <v>163</v>
      </c>
      <c r="C1464" s="491" t="s">
        <v>70</v>
      </c>
      <c r="D1464" s="491" t="s">
        <v>565</v>
      </c>
      <c r="E1464" s="492" t="s">
        <v>35</v>
      </c>
      <c r="F1464" s="493">
        <v>45900.0</v>
      </c>
      <c r="G1464" s="493">
        <v>9896.0</v>
      </c>
      <c r="H1464" s="493">
        <v>21.56</v>
      </c>
      <c r="I1464" s="493">
        <v>1.24</v>
      </c>
      <c r="J1464" s="493">
        <v>1.46</v>
      </c>
      <c r="K1464" s="493">
        <v>10474.0</v>
      </c>
      <c r="L1464" s="493">
        <v>846387.0</v>
      </c>
      <c r="M1464" s="493">
        <v>0.2282</v>
      </c>
      <c r="N1464" s="6">
        <v>1.0584</v>
      </c>
    </row>
    <row r="1465">
      <c r="A1465" s="491" t="s">
        <v>2022</v>
      </c>
      <c r="B1465" s="491" t="s">
        <v>163</v>
      </c>
      <c r="C1465" s="491" t="s">
        <v>70</v>
      </c>
      <c r="D1465" s="491" t="s">
        <v>565</v>
      </c>
      <c r="E1465" s="492" t="s">
        <v>189</v>
      </c>
      <c r="F1465" s="493">
        <v>45900.0</v>
      </c>
      <c r="G1465" s="493">
        <v>9342.0</v>
      </c>
      <c r="H1465" s="493">
        <v>20.35</v>
      </c>
      <c r="I1465" s="493">
        <v>1.13</v>
      </c>
      <c r="J1465" s="493">
        <v>1.44</v>
      </c>
      <c r="K1465" s="493">
        <v>9535.0</v>
      </c>
      <c r="L1465" s="493">
        <v>846387.0</v>
      </c>
      <c r="M1465" s="493">
        <v>0.2077</v>
      </c>
      <c r="N1465" s="6">
        <v>1.0207</v>
      </c>
    </row>
    <row r="1466">
      <c r="A1466" s="491" t="s">
        <v>2022</v>
      </c>
      <c r="B1466" s="491" t="s">
        <v>163</v>
      </c>
      <c r="C1466" s="491" t="s">
        <v>70</v>
      </c>
      <c r="D1466" s="491" t="s">
        <v>565</v>
      </c>
      <c r="E1466" s="492" t="s">
        <v>50</v>
      </c>
      <c r="F1466" s="493">
        <v>45900.0</v>
      </c>
      <c r="G1466" s="493">
        <v>4203.0</v>
      </c>
      <c r="H1466" s="493">
        <v>9.16</v>
      </c>
      <c r="I1466" s="493">
        <v>0.6</v>
      </c>
      <c r="J1466" s="493">
        <v>0.53</v>
      </c>
      <c r="K1466" s="493">
        <v>5092.0</v>
      </c>
      <c r="L1466" s="493">
        <v>846387.0</v>
      </c>
      <c r="M1466" s="493">
        <v>0.1109</v>
      </c>
      <c r="N1466" s="6">
        <v>1.2115</v>
      </c>
    </row>
    <row r="1467">
      <c r="A1467" s="491" t="s">
        <v>2022</v>
      </c>
      <c r="B1467" s="491" t="s">
        <v>163</v>
      </c>
      <c r="C1467" s="491" t="s">
        <v>70</v>
      </c>
      <c r="D1467" s="491" t="s">
        <v>565</v>
      </c>
      <c r="E1467" s="492" t="s">
        <v>42</v>
      </c>
      <c r="F1467" s="493">
        <v>45900.0</v>
      </c>
      <c r="G1467" s="493">
        <v>3870.0</v>
      </c>
      <c r="H1467" s="493">
        <v>8.43</v>
      </c>
      <c r="I1467" s="493">
        <v>0.56</v>
      </c>
      <c r="J1467" s="493">
        <v>0.6</v>
      </c>
      <c r="K1467" s="493">
        <v>4766.0</v>
      </c>
      <c r="L1467" s="493">
        <v>846387.0</v>
      </c>
      <c r="M1467" s="493">
        <v>0.1038</v>
      </c>
      <c r="N1467" s="6">
        <v>1.2315</v>
      </c>
    </row>
    <row r="1468">
      <c r="A1468" s="491" t="s">
        <v>2022</v>
      </c>
      <c r="B1468" s="491" t="s">
        <v>163</v>
      </c>
      <c r="C1468" s="491" t="s">
        <v>70</v>
      </c>
      <c r="D1468" s="491" t="s">
        <v>565</v>
      </c>
      <c r="E1468" s="492" t="s">
        <v>43</v>
      </c>
      <c r="F1468" s="493">
        <v>45900.0</v>
      </c>
      <c r="G1468" s="493">
        <v>808.0</v>
      </c>
      <c r="H1468" s="493">
        <v>1.76</v>
      </c>
      <c r="I1468" s="493">
        <v>0.1</v>
      </c>
      <c r="J1468" s="493">
        <v>0.11</v>
      </c>
      <c r="K1468" s="493">
        <v>846.0</v>
      </c>
      <c r="L1468" s="493">
        <v>846387.0</v>
      </c>
      <c r="M1468" s="493">
        <v>0.0184</v>
      </c>
      <c r="N1468" s="6">
        <v>1.047</v>
      </c>
    </row>
    <row r="1469">
      <c r="A1469" s="491" t="s">
        <v>2022</v>
      </c>
      <c r="B1469" s="491" t="s">
        <v>163</v>
      </c>
      <c r="C1469" s="491" t="s">
        <v>70</v>
      </c>
      <c r="D1469" s="491" t="s">
        <v>565</v>
      </c>
      <c r="E1469" s="492" t="s">
        <v>311</v>
      </c>
      <c r="F1469" s="493">
        <v>45900.0</v>
      </c>
      <c r="G1469" s="493">
        <v>1.0</v>
      </c>
      <c r="H1469" s="493">
        <v>0.0</v>
      </c>
      <c r="I1469" s="493">
        <v>0.0</v>
      </c>
      <c r="J1469" s="493">
        <v>0.0</v>
      </c>
      <c r="K1469" s="493">
        <v>2.0</v>
      </c>
      <c r="L1469" s="493">
        <v>846387.0</v>
      </c>
      <c r="M1469" s="493">
        <v>0.0</v>
      </c>
      <c r="N1469" s="6">
        <v>2.0</v>
      </c>
    </row>
    <row r="1470">
      <c r="A1470" s="491" t="s">
        <v>2022</v>
      </c>
      <c r="B1470" s="491" t="s">
        <v>163</v>
      </c>
      <c r="C1470" s="491" t="s">
        <v>70</v>
      </c>
      <c r="D1470" s="491" t="s">
        <v>565</v>
      </c>
      <c r="E1470" s="492" t="s">
        <v>373</v>
      </c>
      <c r="F1470" s="493">
        <v>45900.0</v>
      </c>
      <c r="G1470" s="493">
        <v>2.0</v>
      </c>
      <c r="H1470" s="493">
        <v>0.0</v>
      </c>
      <c r="I1470" s="493">
        <v>0.0</v>
      </c>
      <c r="J1470" s="493">
        <v>0.0</v>
      </c>
      <c r="K1470" s="493">
        <v>4.0</v>
      </c>
      <c r="L1470" s="493">
        <v>846387.0</v>
      </c>
      <c r="M1470" s="493">
        <v>1.0E-4</v>
      </c>
      <c r="N1470" s="6">
        <v>2.0</v>
      </c>
    </row>
    <row r="1471">
      <c r="A1471" s="491" t="s">
        <v>2022</v>
      </c>
      <c r="B1471" s="491" t="s">
        <v>163</v>
      </c>
      <c r="C1471" s="491" t="s">
        <v>70</v>
      </c>
      <c r="D1471" s="491" t="s">
        <v>565</v>
      </c>
      <c r="E1471" s="492" t="s">
        <v>32</v>
      </c>
      <c r="F1471" s="493">
        <v>45900.0</v>
      </c>
      <c r="G1471" s="493">
        <v>16.0</v>
      </c>
      <c r="H1471" s="493">
        <v>0.03</v>
      </c>
      <c r="I1471" s="493">
        <v>0.0</v>
      </c>
      <c r="J1471" s="493">
        <v>0.0</v>
      </c>
      <c r="K1471" s="493">
        <v>19.0</v>
      </c>
      <c r="L1471" s="493">
        <v>846387.0</v>
      </c>
      <c r="M1471" s="493">
        <v>4.0E-4</v>
      </c>
      <c r="N1471" s="6">
        <v>1.1875</v>
      </c>
    </row>
    <row r="1472">
      <c r="A1472" s="491" t="s">
        <v>2022</v>
      </c>
      <c r="B1472" s="491" t="s">
        <v>163</v>
      </c>
      <c r="C1472" s="491" t="s">
        <v>74</v>
      </c>
      <c r="D1472" s="491" t="s">
        <v>565</v>
      </c>
      <c r="E1472" s="492" t="s">
        <v>371</v>
      </c>
      <c r="F1472" s="493">
        <v>44054.0</v>
      </c>
      <c r="G1472" s="493">
        <v>40847.0</v>
      </c>
      <c r="H1472" s="493">
        <v>92.72</v>
      </c>
      <c r="I1472" s="493">
        <v>44.49</v>
      </c>
      <c r="J1472" s="493">
        <v>49.1</v>
      </c>
      <c r="K1472" s="493">
        <v>195117.0</v>
      </c>
      <c r="L1472" s="493">
        <v>438608.0</v>
      </c>
      <c r="M1472" s="493">
        <v>4.429</v>
      </c>
      <c r="N1472" s="6">
        <v>4.7768</v>
      </c>
    </row>
    <row r="1473">
      <c r="A1473" s="491" t="s">
        <v>2022</v>
      </c>
      <c r="B1473" s="491" t="s">
        <v>163</v>
      </c>
      <c r="C1473" s="491" t="s">
        <v>74</v>
      </c>
      <c r="D1473" s="491" t="s">
        <v>565</v>
      </c>
      <c r="E1473" s="492" t="s">
        <v>366</v>
      </c>
      <c r="F1473" s="493">
        <v>44054.0</v>
      </c>
      <c r="G1473" s="493">
        <v>23214.0</v>
      </c>
      <c r="H1473" s="493">
        <v>52.69</v>
      </c>
      <c r="I1473" s="493">
        <v>9.12</v>
      </c>
      <c r="J1473" s="493">
        <v>11.16</v>
      </c>
      <c r="K1473" s="493">
        <v>39987.0</v>
      </c>
      <c r="L1473" s="493">
        <v>438608.0</v>
      </c>
      <c r="M1473" s="493">
        <v>0.9077</v>
      </c>
      <c r="N1473" s="6">
        <v>1.7225</v>
      </c>
    </row>
    <row r="1474">
      <c r="A1474" s="491" t="s">
        <v>2022</v>
      </c>
      <c r="B1474" s="491" t="s">
        <v>163</v>
      </c>
      <c r="C1474" s="491" t="s">
        <v>74</v>
      </c>
      <c r="D1474" s="491" t="s">
        <v>565</v>
      </c>
      <c r="E1474" s="492" t="s">
        <v>42</v>
      </c>
      <c r="F1474" s="493">
        <v>44054.0</v>
      </c>
      <c r="G1474" s="493">
        <v>16099.0</v>
      </c>
      <c r="H1474" s="493">
        <v>36.54</v>
      </c>
      <c r="I1474" s="493">
        <v>9.09</v>
      </c>
      <c r="J1474" s="493">
        <v>9.03</v>
      </c>
      <c r="K1474" s="493">
        <v>39858.0</v>
      </c>
      <c r="L1474" s="493">
        <v>438608.0</v>
      </c>
      <c r="M1474" s="493">
        <v>0.9048</v>
      </c>
      <c r="N1474" s="6">
        <v>2.4758</v>
      </c>
    </row>
    <row r="1475">
      <c r="A1475" s="491" t="s">
        <v>2022</v>
      </c>
      <c r="B1475" s="491" t="s">
        <v>163</v>
      </c>
      <c r="C1475" s="491" t="s">
        <v>74</v>
      </c>
      <c r="D1475" s="491" t="s">
        <v>565</v>
      </c>
      <c r="E1475" s="492" t="s">
        <v>134</v>
      </c>
      <c r="F1475" s="493">
        <v>44054.0</v>
      </c>
      <c r="G1475" s="493">
        <v>12678.0</v>
      </c>
      <c r="H1475" s="493">
        <v>28.78</v>
      </c>
      <c r="I1475" s="493">
        <v>6.75</v>
      </c>
      <c r="J1475" s="493">
        <v>6.21</v>
      </c>
      <c r="K1475" s="493">
        <v>29598.0</v>
      </c>
      <c r="L1475" s="493">
        <v>438608.0</v>
      </c>
      <c r="M1475" s="493">
        <v>0.6719</v>
      </c>
      <c r="N1475" s="6">
        <v>2.3346</v>
      </c>
    </row>
    <row r="1476">
      <c r="A1476" s="491" t="s">
        <v>2022</v>
      </c>
      <c r="B1476" s="491" t="s">
        <v>163</v>
      </c>
      <c r="C1476" s="491" t="s">
        <v>74</v>
      </c>
      <c r="D1476" s="491" t="s">
        <v>565</v>
      </c>
      <c r="E1476" s="492" t="s">
        <v>44</v>
      </c>
      <c r="F1476" s="493">
        <v>44054.0</v>
      </c>
      <c r="G1476" s="493">
        <v>15809.0</v>
      </c>
      <c r="H1476" s="493">
        <v>35.89</v>
      </c>
      <c r="I1476" s="493">
        <v>5.94</v>
      </c>
      <c r="J1476" s="493">
        <v>4.67</v>
      </c>
      <c r="K1476" s="493">
        <v>26055.0</v>
      </c>
      <c r="L1476" s="493">
        <v>438608.0</v>
      </c>
      <c r="M1476" s="493">
        <v>0.5914</v>
      </c>
      <c r="N1476" s="6">
        <v>1.6481</v>
      </c>
    </row>
    <row r="1477">
      <c r="A1477" s="491" t="s">
        <v>2022</v>
      </c>
      <c r="B1477" s="491" t="s">
        <v>163</v>
      </c>
      <c r="C1477" s="491" t="s">
        <v>74</v>
      </c>
      <c r="D1477" s="491" t="s">
        <v>565</v>
      </c>
      <c r="E1477" s="492" t="s">
        <v>50</v>
      </c>
      <c r="F1477" s="493">
        <v>44054.0</v>
      </c>
      <c r="G1477" s="493">
        <v>13886.0</v>
      </c>
      <c r="H1477" s="493">
        <v>31.52</v>
      </c>
      <c r="I1477" s="493">
        <v>5.4</v>
      </c>
      <c r="J1477" s="493">
        <v>5.46</v>
      </c>
      <c r="K1477" s="493">
        <v>23670.0</v>
      </c>
      <c r="L1477" s="493">
        <v>438608.0</v>
      </c>
      <c r="M1477" s="493">
        <v>0.5373</v>
      </c>
      <c r="N1477" s="6">
        <v>1.7046</v>
      </c>
    </row>
    <row r="1478">
      <c r="A1478" s="491" t="s">
        <v>2022</v>
      </c>
      <c r="B1478" s="491" t="s">
        <v>163</v>
      </c>
      <c r="C1478" s="491" t="s">
        <v>74</v>
      </c>
      <c r="D1478" s="491" t="s">
        <v>565</v>
      </c>
      <c r="E1478" s="492" t="s">
        <v>370</v>
      </c>
      <c r="F1478" s="493">
        <v>44054.0</v>
      </c>
      <c r="G1478" s="493">
        <v>13448.0</v>
      </c>
      <c r="H1478" s="493">
        <v>30.53</v>
      </c>
      <c r="I1478" s="493">
        <v>5.14</v>
      </c>
      <c r="J1478" s="493">
        <v>4.22</v>
      </c>
      <c r="K1478" s="493">
        <v>22559.0</v>
      </c>
      <c r="L1478" s="493">
        <v>438608.0</v>
      </c>
      <c r="M1478" s="493">
        <v>0.5121</v>
      </c>
      <c r="N1478" s="6">
        <v>1.6775</v>
      </c>
    </row>
    <row r="1479">
      <c r="A1479" s="491" t="s">
        <v>2022</v>
      </c>
      <c r="B1479" s="491" t="s">
        <v>163</v>
      </c>
      <c r="C1479" s="491" t="s">
        <v>74</v>
      </c>
      <c r="D1479" s="491" t="s">
        <v>565</v>
      </c>
      <c r="E1479" s="492" t="s">
        <v>365</v>
      </c>
      <c r="F1479" s="493">
        <v>44054.0</v>
      </c>
      <c r="G1479" s="493">
        <v>6213.0</v>
      </c>
      <c r="H1479" s="493">
        <v>14.1</v>
      </c>
      <c r="I1479" s="493">
        <v>3.26</v>
      </c>
      <c r="J1479" s="493">
        <v>2.29</v>
      </c>
      <c r="K1479" s="493">
        <v>14317.0</v>
      </c>
      <c r="L1479" s="493">
        <v>438608.0</v>
      </c>
      <c r="M1479" s="493">
        <v>0.325</v>
      </c>
      <c r="N1479" s="6">
        <v>2.3044</v>
      </c>
    </row>
    <row r="1480">
      <c r="A1480" s="491" t="s">
        <v>2022</v>
      </c>
      <c r="B1480" s="491" t="s">
        <v>163</v>
      </c>
      <c r="C1480" s="491" t="s">
        <v>74</v>
      </c>
      <c r="D1480" s="491" t="s">
        <v>565</v>
      </c>
      <c r="E1480" s="492" t="s">
        <v>310</v>
      </c>
      <c r="F1480" s="493">
        <v>44054.0</v>
      </c>
      <c r="G1480" s="493">
        <v>5967.0</v>
      </c>
      <c r="H1480" s="493">
        <v>13.54</v>
      </c>
      <c r="I1480" s="493">
        <v>1.69</v>
      </c>
      <c r="J1480" s="493">
        <v>1.45</v>
      </c>
      <c r="K1480" s="493">
        <v>7393.0</v>
      </c>
      <c r="L1480" s="493">
        <v>438608.0</v>
      </c>
      <c r="M1480" s="493">
        <v>0.1678</v>
      </c>
      <c r="N1480" s="6">
        <v>1.239</v>
      </c>
    </row>
    <row r="1481">
      <c r="A1481" s="491" t="s">
        <v>2022</v>
      </c>
      <c r="B1481" s="491" t="s">
        <v>163</v>
      </c>
      <c r="C1481" s="491" t="s">
        <v>74</v>
      </c>
      <c r="D1481" s="491" t="s">
        <v>565</v>
      </c>
      <c r="E1481" s="492" t="s">
        <v>32</v>
      </c>
      <c r="F1481" s="493">
        <v>44054.0</v>
      </c>
      <c r="G1481" s="493">
        <v>5774.0</v>
      </c>
      <c r="H1481" s="493">
        <v>13.11</v>
      </c>
      <c r="I1481" s="493">
        <v>1.59</v>
      </c>
      <c r="J1481" s="493">
        <v>1.37</v>
      </c>
      <c r="K1481" s="493">
        <v>6970.0</v>
      </c>
      <c r="L1481" s="493">
        <v>438608.0</v>
      </c>
      <c r="M1481" s="493">
        <v>0.1582</v>
      </c>
      <c r="N1481" s="6">
        <v>1.2071</v>
      </c>
    </row>
    <row r="1482">
      <c r="A1482" s="491" t="s">
        <v>2022</v>
      </c>
      <c r="B1482" s="491" t="s">
        <v>163</v>
      </c>
      <c r="C1482" s="491" t="s">
        <v>74</v>
      </c>
      <c r="D1482" s="491" t="s">
        <v>565</v>
      </c>
      <c r="E1482" s="492" t="s">
        <v>312</v>
      </c>
      <c r="F1482" s="493">
        <v>44054.0</v>
      </c>
      <c r="G1482" s="493">
        <v>4960.0</v>
      </c>
      <c r="H1482" s="493">
        <v>11.26</v>
      </c>
      <c r="I1482" s="493">
        <v>1.45</v>
      </c>
      <c r="J1482" s="493">
        <v>1.12</v>
      </c>
      <c r="K1482" s="493">
        <v>6350.0</v>
      </c>
      <c r="L1482" s="493">
        <v>438608.0</v>
      </c>
      <c r="M1482" s="493">
        <v>0.1441</v>
      </c>
      <c r="N1482" s="6">
        <v>1.2802</v>
      </c>
    </row>
    <row r="1483">
      <c r="A1483" s="491" t="s">
        <v>2022</v>
      </c>
      <c r="B1483" s="491" t="s">
        <v>163</v>
      </c>
      <c r="C1483" s="491" t="s">
        <v>74</v>
      </c>
      <c r="D1483" s="491" t="s">
        <v>565</v>
      </c>
      <c r="E1483" s="492" t="s">
        <v>40</v>
      </c>
      <c r="F1483" s="493">
        <v>44054.0</v>
      </c>
      <c r="G1483" s="493">
        <v>3952.0</v>
      </c>
      <c r="H1483" s="493">
        <v>8.97</v>
      </c>
      <c r="I1483" s="493">
        <v>1.42</v>
      </c>
      <c r="J1483" s="493">
        <v>1.46</v>
      </c>
      <c r="K1483" s="493">
        <v>6248.0</v>
      </c>
      <c r="L1483" s="493">
        <v>438608.0</v>
      </c>
      <c r="M1483" s="493">
        <v>0.1418</v>
      </c>
      <c r="N1483" s="6">
        <v>1.581</v>
      </c>
    </row>
    <row r="1484">
      <c r="A1484" s="491" t="s">
        <v>2022</v>
      </c>
      <c r="B1484" s="491" t="s">
        <v>163</v>
      </c>
      <c r="C1484" s="491" t="s">
        <v>74</v>
      </c>
      <c r="D1484" s="491" t="s">
        <v>565</v>
      </c>
      <c r="E1484" s="492" t="s">
        <v>369</v>
      </c>
      <c r="F1484" s="493">
        <v>44054.0</v>
      </c>
      <c r="G1484" s="493">
        <v>5226.0</v>
      </c>
      <c r="H1484" s="493">
        <v>11.86</v>
      </c>
      <c r="I1484" s="493">
        <v>1.41</v>
      </c>
      <c r="J1484" s="493">
        <v>0.74</v>
      </c>
      <c r="K1484" s="493">
        <v>6191.0</v>
      </c>
      <c r="L1484" s="493">
        <v>438608.0</v>
      </c>
      <c r="M1484" s="493">
        <v>0.1405</v>
      </c>
      <c r="N1484" s="6">
        <v>1.1847</v>
      </c>
    </row>
    <row r="1485">
      <c r="A1485" s="491" t="s">
        <v>2022</v>
      </c>
      <c r="B1485" s="491" t="s">
        <v>163</v>
      </c>
      <c r="C1485" s="491" t="s">
        <v>74</v>
      </c>
      <c r="D1485" s="491" t="s">
        <v>565</v>
      </c>
      <c r="E1485" s="492" t="s">
        <v>368</v>
      </c>
      <c r="F1485" s="493">
        <v>44054.0</v>
      </c>
      <c r="G1485" s="493">
        <v>1850.0</v>
      </c>
      <c r="H1485" s="493">
        <v>4.2</v>
      </c>
      <c r="I1485" s="493">
        <v>1.09</v>
      </c>
      <c r="J1485" s="493">
        <v>0.34</v>
      </c>
      <c r="K1485" s="493">
        <v>4784.0</v>
      </c>
      <c r="L1485" s="493">
        <v>438608.0</v>
      </c>
      <c r="M1485" s="493">
        <v>0.1086</v>
      </c>
      <c r="N1485" s="6">
        <v>2.5859</v>
      </c>
    </row>
    <row r="1486">
      <c r="A1486" s="491" t="s">
        <v>2022</v>
      </c>
      <c r="B1486" s="491" t="s">
        <v>163</v>
      </c>
      <c r="C1486" s="491" t="s">
        <v>74</v>
      </c>
      <c r="D1486" s="491" t="s">
        <v>565</v>
      </c>
      <c r="E1486" s="492" t="s">
        <v>367</v>
      </c>
      <c r="F1486" s="493">
        <v>44054.0</v>
      </c>
      <c r="G1486" s="493">
        <v>3879.0</v>
      </c>
      <c r="H1486" s="493">
        <v>8.81</v>
      </c>
      <c r="I1486" s="493">
        <v>0.92</v>
      </c>
      <c r="J1486" s="493">
        <v>0.53</v>
      </c>
      <c r="K1486" s="493">
        <v>4027.0</v>
      </c>
      <c r="L1486" s="493">
        <v>438608.0</v>
      </c>
      <c r="M1486" s="493">
        <v>0.0914</v>
      </c>
      <c r="N1486" s="6">
        <v>1.0382</v>
      </c>
    </row>
    <row r="1487">
      <c r="A1487" s="491" t="s">
        <v>2022</v>
      </c>
      <c r="B1487" s="491" t="s">
        <v>163</v>
      </c>
      <c r="C1487" s="491" t="s">
        <v>74</v>
      </c>
      <c r="D1487" s="491" t="s">
        <v>565</v>
      </c>
      <c r="E1487" s="492" t="s">
        <v>43</v>
      </c>
      <c r="F1487" s="493">
        <v>44054.0</v>
      </c>
      <c r="G1487" s="493">
        <v>1900.0</v>
      </c>
      <c r="H1487" s="493">
        <v>4.31</v>
      </c>
      <c r="I1487" s="493">
        <v>0.48</v>
      </c>
      <c r="J1487" s="493">
        <v>0.36</v>
      </c>
      <c r="K1487" s="493">
        <v>2084.0</v>
      </c>
      <c r="L1487" s="493">
        <v>438608.0</v>
      </c>
      <c r="M1487" s="493">
        <v>0.0473</v>
      </c>
      <c r="N1487" s="6">
        <v>1.0968</v>
      </c>
    </row>
    <row r="1488">
      <c r="A1488" s="491" t="s">
        <v>2022</v>
      </c>
      <c r="B1488" s="491" t="s">
        <v>163</v>
      </c>
      <c r="C1488" s="491" t="s">
        <v>74</v>
      </c>
      <c r="D1488" s="491" t="s">
        <v>565</v>
      </c>
      <c r="E1488" s="492" t="s">
        <v>311</v>
      </c>
      <c r="F1488" s="493">
        <v>44054.0</v>
      </c>
      <c r="G1488" s="493">
        <v>1728.0</v>
      </c>
      <c r="H1488" s="493">
        <v>3.92</v>
      </c>
      <c r="I1488" s="493">
        <v>0.41</v>
      </c>
      <c r="J1488" s="493">
        <v>0.36</v>
      </c>
      <c r="K1488" s="493">
        <v>1781.0</v>
      </c>
      <c r="L1488" s="493">
        <v>438608.0</v>
      </c>
      <c r="M1488" s="493">
        <v>0.0404</v>
      </c>
      <c r="N1488" s="6">
        <v>1.0307</v>
      </c>
    </row>
    <row r="1489">
      <c r="A1489" s="491" t="s">
        <v>2022</v>
      </c>
      <c r="B1489" s="491" t="s">
        <v>163</v>
      </c>
      <c r="C1489" s="491" t="s">
        <v>74</v>
      </c>
      <c r="D1489" s="491" t="s">
        <v>565</v>
      </c>
      <c r="E1489" s="492" t="s">
        <v>189</v>
      </c>
      <c r="F1489" s="493">
        <v>44054.0</v>
      </c>
      <c r="G1489" s="493">
        <v>1424.0</v>
      </c>
      <c r="H1489" s="493">
        <v>3.23</v>
      </c>
      <c r="I1489" s="493">
        <v>0.37</v>
      </c>
      <c r="J1489" s="493">
        <v>0.12</v>
      </c>
      <c r="K1489" s="493">
        <v>1615.0</v>
      </c>
      <c r="L1489" s="493">
        <v>438608.0</v>
      </c>
      <c r="M1489" s="493">
        <v>0.0367</v>
      </c>
      <c r="N1489" s="6">
        <v>1.1341</v>
      </c>
    </row>
    <row r="1490">
      <c r="A1490" s="491" t="s">
        <v>2022</v>
      </c>
      <c r="B1490" s="491" t="s">
        <v>163</v>
      </c>
      <c r="C1490" s="491" t="s">
        <v>74</v>
      </c>
      <c r="D1490" s="491" t="s">
        <v>565</v>
      </c>
      <c r="E1490" s="492" t="s">
        <v>373</v>
      </c>
      <c r="F1490" s="493">
        <v>44054.0</v>
      </c>
      <c r="G1490" s="493">
        <v>2.0</v>
      </c>
      <c r="H1490" s="493">
        <v>0.0</v>
      </c>
      <c r="I1490" s="493">
        <v>0.0</v>
      </c>
      <c r="J1490" s="493">
        <v>0.0</v>
      </c>
      <c r="K1490" s="493">
        <v>4.0</v>
      </c>
      <c r="L1490" s="493">
        <v>438608.0</v>
      </c>
      <c r="M1490" s="493">
        <v>1.0E-4</v>
      </c>
      <c r="N1490" s="6">
        <v>2.0</v>
      </c>
    </row>
    <row r="1491">
      <c r="A1491" s="491" t="s">
        <v>2022</v>
      </c>
      <c r="B1491" s="491" t="s">
        <v>163</v>
      </c>
      <c r="C1491" s="491" t="s">
        <v>1872</v>
      </c>
      <c r="D1491" s="491" t="s">
        <v>1872</v>
      </c>
      <c r="E1491" s="492" t="s">
        <v>371</v>
      </c>
      <c r="F1491" s="493">
        <v>46593.0</v>
      </c>
      <c r="G1491" s="493">
        <v>46254.0</v>
      </c>
      <c r="H1491" s="493">
        <v>99.27</v>
      </c>
      <c r="I1491" s="493">
        <v>25.02</v>
      </c>
      <c r="J1491" s="493">
        <v>26.93</v>
      </c>
      <c r="K1491" s="493">
        <v>1.8649525E7</v>
      </c>
      <c r="L1491" s="493">
        <v>7.4545954E7</v>
      </c>
      <c r="M1491" s="493">
        <v>400.2645</v>
      </c>
      <c r="N1491" s="6">
        <v>403.1981</v>
      </c>
    </row>
    <row r="1492">
      <c r="A1492" s="491" t="s">
        <v>2022</v>
      </c>
      <c r="B1492" s="491" t="s">
        <v>163</v>
      </c>
      <c r="C1492" s="491" t="s">
        <v>1872</v>
      </c>
      <c r="D1492" s="491" t="s">
        <v>1872</v>
      </c>
      <c r="E1492" s="492" t="s">
        <v>366</v>
      </c>
      <c r="F1492" s="493">
        <v>46593.0</v>
      </c>
      <c r="G1492" s="493">
        <v>41921.0</v>
      </c>
      <c r="H1492" s="493">
        <v>89.97</v>
      </c>
      <c r="I1492" s="493">
        <v>12.08</v>
      </c>
      <c r="J1492" s="493">
        <v>15.21</v>
      </c>
      <c r="K1492" s="493">
        <v>9008165.0</v>
      </c>
      <c r="L1492" s="493">
        <v>7.4545954E7</v>
      </c>
      <c r="M1492" s="493">
        <v>193.3373</v>
      </c>
      <c r="N1492" s="6">
        <v>214.8843</v>
      </c>
    </row>
    <row r="1493">
      <c r="A1493" s="491" t="s">
        <v>2022</v>
      </c>
      <c r="B1493" s="491" t="s">
        <v>163</v>
      </c>
      <c r="C1493" s="491" t="s">
        <v>1872</v>
      </c>
      <c r="D1493" s="491" t="s">
        <v>1872</v>
      </c>
      <c r="E1493" s="492" t="s">
        <v>368</v>
      </c>
      <c r="F1493" s="493">
        <v>46593.0</v>
      </c>
      <c r="G1493" s="493">
        <v>20229.0</v>
      </c>
      <c r="H1493" s="493">
        <v>43.42</v>
      </c>
      <c r="I1493" s="493">
        <v>11.29</v>
      </c>
      <c r="J1493" s="493">
        <v>9.51</v>
      </c>
      <c r="K1493" s="493">
        <v>8414700.0</v>
      </c>
      <c r="L1493" s="493">
        <v>7.4545954E7</v>
      </c>
      <c r="M1493" s="493">
        <v>180.6001</v>
      </c>
      <c r="N1493" s="6">
        <v>415.9721</v>
      </c>
    </row>
    <row r="1494">
      <c r="A1494" s="491" t="s">
        <v>2022</v>
      </c>
      <c r="B1494" s="491" t="s">
        <v>163</v>
      </c>
      <c r="C1494" s="491" t="s">
        <v>1872</v>
      </c>
      <c r="D1494" s="491" t="s">
        <v>1872</v>
      </c>
      <c r="E1494" s="492" t="s">
        <v>370</v>
      </c>
      <c r="F1494" s="493">
        <v>46593.0</v>
      </c>
      <c r="G1494" s="493">
        <v>23803.0</v>
      </c>
      <c r="H1494" s="493">
        <v>51.09</v>
      </c>
      <c r="I1494" s="493">
        <v>6.91</v>
      </c>
      <c r="J1494" s="493">
        <v>5.79</v>
      </c>
      <c r="K1494" s="493">
        <v>5149569.0</v>
      </c>
      <c r="L1494" s="493">
        <v>7.4545954E7</v>
      </c>
      <c r="M1494" s="493">
        <v>110.5224</v>
      </c>
      <c r="N1494" s="6">
        <v>216.3412</v>
      </c>
    </row>
    <row r="1495">
      <c r="A1495" s="491" t="s">
        <v>2022</v>
      </c>
      <c r="B1495" s="491" t="s">
        <v>163</v>
      </c>
      <c r="C1495" s="491" t="s">
        <v>1872</v>
      </c>
      <c r="D1495" s="491" t="s">
        <v>1872</v>
      </c>
      <c r="E1495" s="492" t="s">
        <v>367</v>
      </c>
      <c r="F1495" s="493">
        <v>46593.0</v>
      </c>
      <c r="G1495" s="493">
        <v>38534.0</v>
      </c>
      <c r="H1495" s="493">
        <v>82.7</v>
      </c>
      <c r="I1495" s="493">
        <v>6.49</v>
      </c>
      <c r="J1495" s="493">
        <v>7.22</v>
      </c>
      <c r="K1495" s="493">
        <v>4837980.0</v>
      </c>
      <c r="L1495" s="493">
        <v>7.4545954E7</v>
      </c>
      <c r="M1495" s="493">
        <v>103.8349</v>
      </c>
      <c r="N1495" s="6">
        <v>125.5509</v>
      </c>
    </row>
    <row r="1496">
      <c r="A1496" s="491" t="s">
        <v>2022</v>
      </c>
      <c r="B1496" s="491" t="s">
        <v>163</v>
      </c>
      <c r="C1496" s="491" t="s">
        <v>1872</v>
      </c>
      <c r="D1496" s="491" t="s">
        <v>1872</v>
      </c>
      <c r="E1496" s="492" t="s">
        <v>50</v>
      </c>
      <c r="F1496" s="493">
        <v>46593.0</v>
      </c>
      <c r="G1496" s="493">
        <v>25223.0</v>
      </c>
      <c r="H1496" s="493">
        <v>54.13</v>
      </c>
      <c r="I1496" s="493">
        <v>5.17</v>
      </c>
      <c r="J1496" s="493">
        <v>5.13</v>
      </c>
      <c r="K1496" s="493">
        <v>3853750.0</v>
      </c>
      <c r="L1496" s="493">
        <v>7.4545954E7</v>
      </c>
      <c r="M1496" s="493">
        <v>82.7109</v>
      </c>
      <c r="N1496" s="6">
        <v>152.7871</v>
      </c>
    </row>
    <row r="1497">
      <c r="A1497" s="491" t="s">
        <v>2022</v>
      </c>
      <c r="B1497" s="491" t="s">
        <v>163</v>
      </c>
      <c r="C1497" s="491" t="s">
        <v>1872</v>
      </c>
      <c r="D1497" s="491" t="s">
        <v>1872</v>
      </c>
      <c r="E1497" s="492" t="s">
        <v>372</v>
      </c>
      <c r="F1497" s="493">
        <v>46593.0</v>
      </c>
      <c r="G1497" s="493">
        <v>31542.0</v>
      </c>
      <c r="H1497" s="493">
        <v>67.7</v>
      </c>
      <c r="I1497" s="493">
        <v>4.25</v>
      </c>
      <c r="J1497" s="493">
        <v>5.76</v>
      </c>
      <c r="K1497" s="493">
        <v>3165340.0</v>
      </c>
      <c r="L1497" s="493">
        <v>7.4545954E7</v>
      </c>
      <c r="M1497" s="493">
        <v>67.936</v>
      </c>
      <c r="N1497" s="6">
        <v>100.3532</v>
      </c>
    </row>
    <row r="1498">
      <c r="A1498" s="491" t="s">
        <v>2022</v>
      </c>
      <c r="B1498" s="491" t="s">
        <v>163</v>
      </c>
      <c r="C1498" s="491" t="s">
        <v>1872</v>
      </c>
      <c r="D1498" s="491" t="s">
        <v>1872</v>
      </c>
      <c r="E1498" s="492" t="s">
        <v>42</v>
      </c>
      <c r="F1498" s="493">
        <v>46593.0</v>
      </c>
      <c r="G1498" s="493">
        <v>16199.0</v>
      </c>
      <c r="H1498" s="493">
        <v>34.77</v>
      </c>
      <c r="I1498" s="493">
        <v>3.95</v>
      </c>
      <c r="J1498" s="493">
        <v>4.03</v>
      </c>
      <c r="K1498" s="493">
        <v>2942460.0</v>
      </c>
      <c r="L1498" s="493">
        <v>7.4545954E7</v>
      </c>
      <c r="M1498" s="493">
        <v>63.1524</v>
      </c>
      <c r="N1498" s="6">
        <v>181.6445</v>
      </c>
    </row>
    <row r="1499">
      <c r="A1499" s="491" t="s">
        <v>2022</v>
      </c>
      <c r="B1499" s="491" t="s">
        <v>163</v>
      </c>
      <c r="C1499" s="491" t="s">
        <v>1872</v>
      </c>
      <c r="D1499" s="491" t="s">
        <v>1872</v>
      </c>
      <c r="E1499" s="492" t="s">
        <v>134</v>
      </c>
      <c r="F1499" s="493">
        <v>46593.0</v>
      </c>
      <c r="G1499" s="493">
        <v>14122.0</v>
      </c>
      <c r="H1499" s="493">
        <v>30.31</v>
      </c>
      <c r="I1499" s="493">
        <v>3.26</v>
      </c>
      <c r="J1499" s="493">
        <v>2.59</v>
      </c>
      <c r="K1499" s="493">
        <v>2431145.0</v>
      </c>
      <c r="L1499" s="493">
        <v>7.4545954E7</v>
      </c>
      <c r="M1499" s="493">
        <v>52.1783</v>
      </c>
      <c r="N1499" s="6">
        <v>172.153</v>
      </c>
    </row>
    <row r="1500">
      <c r="A1500" s="491" t="s">
        <v>2022</v>
      </c>
      <c r="B1500" s="491" t="s">
        <v>163</v>
      </c>
      <c r="C1500" s="491" t="s">
        <v>1872</v>
      </c>
      <c r="D1500" s="491" t="s">
        <v>1872</v>
      </c>
      <c r="E1500" s="492" t="s">
        <v>310</v>
      </c>
      <c r="F1500" s="493">
        <v>46593.0</v>
      </c>
      <c r="G1500" s="493">
        <v>11799.0</v>
      </c>
      <c r="H1500" s="493">
        <v>25.32</v>
      </c>
      <c r="I1500" s="493">
        <v>2.99</v>
      </c>
      <c r="J1500" s="493">
        <v>2.37</v>
      </c>
      <c r="K1500" s="493">
        <v>2227800.0</v>
      </c>
      <c r="L1500" s="493">
        <v>7.4545954E7</v>
      </c>
      <c r="M1500" s="493">
        <v>47.814</v>
      </c>
      <c r="N1500" s="6">
        <v>188.8126</v>
      </c>
    </row>
    <row r="1501">
      <c r="A1501" s="491" t="s">
        <v>2022</v>
      </c>
      <c r="B1501" s="491" t="s">
        <v>163</v>
      </c>
      <c r="C1501" s="491" t="s">
        <v>1872</v>
      </c>
      <c r="D1501" s="491" t="s">
        <v>1872</v>
      </c>
      <c r="E1501" s="492" t="s">
        <v>40</v>
      </c>
      <c r="F1501" s="493">
        <v>46593.0</v>
      </c>
      <c r="G1501" s="493">
        <v>14213.0</v>
      </c>
      <c r="H1501" s="493">
        <v>30.5</v>
      </c>
      <c r="I1501" s="493">
        <v>2.86</v>
      </c>
      <c r="J1501" s="493">
        <v>2.6</v>
      </c>
      <c r="K1501" s="493">
        <v>2131550.0</v>
      </c>
      <c r="L1501" s="493">
        <v>7.4545954E7</v>
      </c>
      <c r="M1501" s="493">
        <v>45.7483</v>
      </c>
      <c r="N1501" s="6">
        <v>149.9719</v>
      </c>
    </row>
    <row r="1502">
      <c r="A1502" s="491" t="s">
        <v>2022</v>
      </c>
      <c r="B1502" s="491" t="s">
        <v>163</v>
      </c>
      <c r="C1502" s="491" t="s">
        <v>1872</v>
      </c>
      <c r="D1502" s="491" t="s">
        <v>1872</v>
      </c>
      <c r="E1502" s="492" t="s">
        <v>32</v>
      </c>
      <c r="F1502" s="493">
        <v>46593.0</v>
      </c>
      <c r="G1502" s="493">
        <v>11342.0</v>
      </c>
      <c r="H1502" s="493">
        <v>24.34</v>
      </c>
      <c r="I1502" s="493">
        <v>2.79</v>
      </c>
      <c r="J1502" s="493">
        <v>2.18</v>
      </c>
      <c r="K1502" s="493">
        <v>2082650.0</v>
      </c>
      <c r="L1502" s="493">
        <v>7.4545954E7</v>
      </c>
      <c r="M1502" s="493">
        <v>44.6988</v>
      </c>
      <c r="N1502" s="6">
        <v>183.6228</v>
      </c>
    </row>
    <row r="1503">
      <c r="A1503" s="491" t="s">
        <v>2022</v>
      </c>
      <c r="B1503" s="491" t="s">
        <v>163</v>
      </c>
      <c r="C1503" s="491" t="s">
        <v>1872</v>
      </c>
      <c r="D1503" s="491" t="s">
        <v>1872</v>
      </c>
      <c r="E1503" s="492" t="s">
        <v>312</v>
      </c>
      <c r="F1503" s="493">
        <v>46593.0</v>
      </c>
      <c r="G1503" s="493">
        <v>10990.0</v>
      </c>
      <c r="H1503" s="493">
        <v>23.59</v>
      </c>
      <c r="I1503" s="493">
        <v>2.71</v>
      </c>
      <c r="J1503" s="493">
        <v>2.07</v>
      </c>
      <c r="K1503" s="493">
        <v>2021750.0</v>
      </c>
      <c r="L1503" s="493">
        <v>7.4545954E7</v>
      </c>
      <c r="M1503" s="493">
        <v>43.3917</v>
      </c>
      <c r="N1503" s="6">
        <v>183.9627</v>
      </c>
    </row>
    <row r="1504">
      <c r="A1504" s="491" t="s">
        <v>2022</v>
      </c>
      <c r="B1504" s="491" t="s">
        <v>163</v>
      </c>
      <c r="C1504" s="491" t="s">
        <v>1872</v>
      </c>
      <c r="D1504" s="491" t="s">
        <v>1872</v>
      </c>
      <c r="E1504" s="492" t="s">
        <v>44</v>
      </c>
      <c r="F1504" s="493">
        <v>46593.0</v>
      </c>
      <c r="G1504" s="493">
        <v>26965.0</v>
      </c>
      <c r="H1504" s="493">
        <v>57.87</v>
      </c>
      <c r="I1504" s="493">
        <v>2.58</v>
      </c>
      <c r="J1504" s="493">
        <v>2.43</v>
      </c>
      <c r="K1504" s="493">
        <v>1919735.0</v>
      </c>
      <c r="L1504" s="493">
        <v>7.4545954E7</v>
      </c>
      <c r="M1504" s="493">
        <v>41.2022</v>
      </c>
      <c r="N1504" s="6">
        <v>71.1936</v>
      </c>
    </row>
    <row r="1505">
      <c r="A1505" s="491" t="s">
        <v>2022</v>
      </c>
      <c r="B1505" s="491" t="s">
        <v>163</v>
      </c>
      <c r="C1505" s="491" t="s">
        <v>1872</v>
      </c>
      <c r="D1505" s="491" t="s">
        <v>1872</v>
      </c>
      <c r="E1505" s="492" t="s">
        <v>43</v>
      </c>
      <c r="F1505" s="493">
        <v>46593.0</v>
      </c>
      <c r="G1505" s="493">
        <v>6557.0</v>
      </c>
      <c r="H1505" s="493">
        <v>14.07</v>
      </c>
      <c r="I1505" s="493">
        <v>2.07</v>
      </c>
      <c r="J1505" s="493">
        <v>1.37</v>
      </c>
      <c r="K1505" s="493">
        <v>1542825.0</v>
      </c>
      <c r="L1505" s="493">
        <v>7.4545954E7</v>
      </c>
      <c r="M1505" s="493">
        <v>33.1128</v>
      </c>
      <c r="N1505" s="6">
        <v>235.2943</v>
      </c>
    </row>
    <row r="1506">
      <c r="A1506" s="491" t="s">
        <v>2022</v>
      </c>
      <c r="B1506" s="491" t="s">
        <v>163</v>
      </c>
      <c r="C1506" s="491" t="s">
        <v>1872</v>
      </c>
      <c r="D1506" s="491" t="s">
        <v>1872</v>
      </c>
      <c r="E1506" s="492" t="s">
        <v>365</v>
      </c>
      <c r="F1506" s="493">
        <v>46593.0</v>
      </c>
      <c r="G1506" s="493">
        <v>15062.0</v>
      </c>
      <c r="H1506" s="493">
        <v>32.33</v>
      </c>
      <c r="I1506" s="493">
        <v>1.84</v>
      </c>
      <c r="J1506" s="493">
        <v>1.47</v>
      </c>
      <c r="K1506" s="493">
        <v>1369635.0</v>
      </c>
      <c r="L1506" s="493">
        <v>7.4545954E7</v>
      </c>
      <c r="M1506" s="493">
        <v>29.3957</v>
      </c>
      <c r="N1506" s="6">
        <v>90.9331</v>
      </c>
    </row>
    <row r="1507">
      <c r="A1507" s="491" t="s">
        <v>2022</v>
      </c>
      <c r="B1507" s="491" t="s">
        <v>163</v>
      </c>
      <c r="C1507" s="491" t="s">
        <v>1872</v>
      </c>
      <c r="D1507" s="491" t="s">
        <v>1872</v>
      </c>
      <c r="E1507" s="492" t="s">
        <v>369</v>
      </c>
      <c r="F1507" s="493">
        <v>46593.0</v>
      </c>
      <c r="G1507" s="493">
        <v>18036.0</v>
      </c>
      <c r="H1507" s="493">
        <v>38.71</v>
      </c>
      <c r="I1507" s="493">
        <v>1.58</v>
      </c>
      <c r="J1507" s="493">
        <v>1.43</v>
      </c>
      <c r="K1507" s="493">
        <v>1175250.0</v>
      </c>
      <c r="L1507" s="493">
        <v>7.4545954E7</v>
      </c>
      <c r="M1507" s="493">
        <v>25.2237</v>
      </c>
      <c r="N1507" s="6">
        <v>65.1613</v>
      </c>
    </row>
    <row r="1508">
      <c r="A1508" s="491" t="s">
        <v>2022</v>
      </c>
      <c r="B1508" s="491" t="s">
        <v>163</v>
      </c>
      <c r="C1508" s="491" t="s">
        <v>1872</v>
      </c>
      <c r="D1508" s="491" t="s">
        <v>1872</v>
      </c>
      <c r="E1508" s="492" t="s">
        <v>35</v>
      </c>
      <c r="F1508" s="493">
        <v>46593.0</v>
      </c>
      <c r="G1508" s="493">
        <v>11794.0</v>
      </c>
      <c r="H1508" s="493">
        <v>25.31</v>
      </c>
      <c r="I1508" s="493">
        <v>0.86</v>
      </c>
      <c r="J1508" s="493">
        <v>0.78</v>
      </c>
      <c r="K1508" s="493">
        <v>640375.0</v>
      </c>
      <c r="L1508" s="493">
        <v>7.4545954E7</v>
      </c>
      <c r="M1508" s="493">
        <v>13.744</v>
      </c>
      <c r="N1508" s="6">
        <v>54.2967</v>
      </c>
    </row>
    <row r="1509">
      <c r="A1509" s="491" t="s">
        <v>2022</v>
      </c>
      <c r="B1509" s="491" t="s">
        <v>163</v>
      </c>
      <c r="C1509" s="491" t="s">
        <v>1872</v>
      </c>
      <c r="D1509" s="491" t="s">
        <v>1872</v>
      </c>
      <c r="E1509" s="492" t="s">
        <v>311</v>
      </c>
      <c r="F1509" s="493">
        <v>46593.0</v>
      </c>
      <c r="G1509" s="493">
        <v>4205.0</v>
      </c>
      <c r="H1509" s="493">
        <v>9.02</v>
      </c>
      <c r="I1509" s="493">
        <v>0.75</v>
      </c>
      <c r="J1509" s="493">
        <v>0.61</v>
      </c>
      <c r="K1509" s="493">
        <v>557750.0</v>
      </c>
      <c r="L1509" s="493">
        <v>7.4545954E7</v>
      </c>
      <c r="M1509" s="493">
        <v>11.9707</v>
      </c>
      <c r="N1509" s="6">
        <v>132.6397</v>
      </c>
    </row>
    <row r="1510">
      <c r="A1510" s="491" t="s">
        <v>2022</v>
      </c>
      <c r="B1510" s="491" t="s">
        <v>163</v>
      </c>
      <c r="C1510" s="491" t="s">
        <v>1872</v>
      </c>
      <c r="D1510" s="491" t="s">
        <v>1872</v>
      </c>
      <c r="E1510" s="492" t="s">
        <v>189</v>
      </c>
      <c r="F1510" s="493">
        <v>46593.0</v>
      </c>
      <c r="G1510" s="493">
        <v>9429.0</v>
      </c>
      <c r="H1510" s="493">
        <v>20.24</v>
      </c>
      <c r="I1510" s="493">
        <v>0.57</v>
      </c>
      <c r="J1510" s="493">
        <v>0.51</v>
      </c>
      <c r="K1510" s="493">
        <v>424000.0</v>
      </c>
      <c r="L1510" s="493">
        <v>7.4545954E7</v>
      </c>
      <c r="M1510" s="493">
        <v>9.1001</v>
      </c>
      <c r="N1510" s="6">
        <v>44.9677</v>
      </c>
    </row>
    <row r="1511">
      <c r="A1511" s="491" t="s">
        <v>2022</v>
      </c>
      <c r="B1511" s="491" t="s">
        <v>163</v>
      </c>
      <c r="C1511" s="491" t="s">
        <v>69</v>
      </c>
      <c r="D1511" s="491" t="s">
        <v>565</v>
      </c>
      <c r="E1511" s="492" t="s">
        <v>371</v>
      </c>
      <c r="F1511" s="493">
        <v>45712.0</v>
      </c>
      <c r="G1511" s="493">
        <v>43519.0</v>
      </c>
      <c r="H1511" s="493">
        <v>95.2</v>
      </c>
      <c r="I1511" s="493">
        <v>54.02</v>
      </c>
      <c r="J1511" s="493">
        <v>49.03</v>
      </c>
      <c r="K1511" s="493">
        <v>454281.0</v>
      </c>
      <c r="L1511" s="493">
        <v>840974.0</v>
      </c>
      <c r="M1511" s="493">
        <v>9.9379</v>
      </c>
      <c r="N1511" s="6">
        <v>10.4387</v>
      </c>
    </row>
    <row r="1512">
      <c r="A1512" s="491" t="s">
        <v>2022</v>
      </c>
      <c r="B1512" s="491" t="s">
        <v>163</v>
      </c>
      <c r="C1512" s="491" t="s">
        <v>69</v>
      </c>
      <c r="D1512" s="491" t="s">
        <v>565</v>
      </c>
      <c r="E1512" s="492" t="s">
        <v>372</v>
      </c>
      <c r="F1512" s="493">
        <v>45712.0</v>
      </c>
      <c r="G1512" s="493">
        <v>24315.0</v>
      </c>
      <c r="H1512" s="493">
        <v>53.19</v>
      </c>
      <c r="I1512" s="493">
        <v>9.88</v>
      </c>
      <c r="J1512" s="493">
        <v>12.02</v>
      </c>
      <c r="K1512" s="493">
        <v>83072.0</v>
      </c>
      <c r="L1512" s="493">
        <v>840974.0</v>
      </c>
      <c r="M1512" s="493">
        <v>1.8173</v>
      </c>
      <c r="N1512" s="6">
        <v>3.4165</v>
      </c>
    </row>
    <row r="1513">
      <c r="A1513" s="491" t="s">
        <v>2022</v>
      </c>
      <c r="B1513" s="491" t="s">
        <v>163</v>
      </c>
      <c r="C1513" s="491" t="s">
        <v>69</v>
      </c>
      <c r="D1513" s="491" t="s">
        <v>565</v>
      </c>
      <c r="E1513" s="492" t="s">
        <v>368</v>
      </c>
      <c r="F1513" s="493">
        <v>45712.0</v>
      </c>
      <c r="G1513" s="493">
        <v>18351.0</v>
      </c>
      <c r="H1513" s="493">
        <v>40.14</v>
      </c>
      <c r="I1513" s="493">
        <v>7.48</v>
      </c>
      <c r="J1513" s="493">
        <v>8.42</v>
      </c>
      <c r="K1513" s="493">
        <v>62940.0</v>
      </c>
      <c r="L1513" s="493">
        <v>840974.0</v>
      </c>
      <c r="M1513" s="493">
        <v>1.3769</v>
      </c>
      <c r="N1513" s="6">
        <v>3.4298</v>
      </c>
    </row>
    <row r="1514">
      <c r="A1514" s="491" t="s">
        <v>2022</v>
      </c>
      <c r="B1514" s="491" t="s">
        <v>163</v>
      </c>
      <c r="C1514" s="491" t="s">
        <v>69</v>
      </c>
      <c r="D1514" s="491" t="s">
        <v>565</v>
      </c>
      <c r="E1514" s="492" t="s">
        <v>370</v>
      </c>
      <c r="F1514" s="493">
        <v>45712.0</v>
      </c>
      <c r="G1514" s="493">
        <v>29623.0</v>
      </c>
      <c r="H1514" s="493">
        <v>64.8</v>
      </c>
      <c r="I1514" s="493">
        <v>6.58</v>
      </c>
      <c r="J1514" s="493">
        <v>7.91</v>
      </c>
      <c r="K1514" s="493">
        <v>55308.0</v>
      </c>
      <c r="L1514" s="493">
        <v>840974.0</v>
      </c>
      <c r="M1514" s="493">
        <v>1.2099</v>
      </c>
      <c r="N1514" s="6">
        <v>1.8671</v>
      </c>
    </row>
    <row r="1515">
      <c r="A1515" s="491" t="s">
        <v>2022</v>
      </c>
      <c r="B1515" s="491" t="s">
        <v>163</v>
      </c>
      <c r="C1515" s="491" t="s">
        <v>69</v>
      </c>
      <c r="D1515" s="491" t="s">
        <v>565</v>
      </c>
      <c r="E1515" s="492" t="s">
        <v>49</v>
      </c>
      <c r="F1515" s="493">
        <v>45712.0</v>
      </c>
      <c r="G1515" s="493">
        <v>20748.0</v>
      </c>
      <c r="H1515" s="493">
        <v>45.39</v>
      </c>
      <c r="I1515" s="493">
        <v>5.76</v>
      </c>
      <c r="J1515" s="493">
        <v>5.21</v>
      </c>
      <c r="K1515" s="493">
        <v>48445.0</v>
      </c>
      <c r="L1515" s="493">
        <v>840974.0</v>
      </c>
      <c r="M1515" s="493">
        <v>1.0598</v>
      </c>
      <c r="N1515" s="6">
        <v>2.3349</v>
      </c>
    </row>
    <row r="1516">
      <c r="A1516" s="491" t="s">
        <v>2022</v>
      </c>
      <c r="B1516" s="491" t="s">
        <v>163</v>
      </c>
      <c r="C1516" s="491" t="s">
        <v>69</v>
      </c>
      <c r="D1516" s="491" t="s">
        <v>565</v>
      </c>
      <c r="E1516" s="492" t="s">
        <v>44</v>
      </c>
      <c r="F1516" s="493">
        <v>45712.0</v>
      </c>
      <c r="G1516" s="493">
        <v>26602.0</v>
      </c>
      <c r="H1516" s="493">
        <v>58.19</v>
      </c>
      <c r="I1516" s="493">
        <v>5.19</v>
      </c>
      <c r="J1516" s="493">
        <v>6.1</v>
      </c>
      <c r="K1516" s="493">
        <v>43665.0</v>
      </c>
      <c r="L1516" s="493">
        <v>840974.0</v>
      </c>
      <c r="M1516" s="493">
        <v>0.9552</v>
      </c>
      <c r="N1516" s="6">
        <v>1.6414</v>
      </c>
    </row>
    <row r="1517">
      <c r="A1517" s="491" t="s">
        <v>2022</v>
      </c>
      <c r="B1517" s="491" t="s">
        <v>163</v>
      </c>
      <c r="C1517" s="491" t="s">
        <v>69</v>
      </c>
      <c r="D1517" s="491" t="s">
        <v>565</v>
      </c>
      <c r="E1517" s="492" t="s">
        <v>366</v>
      </c>
      <c r="F1517" s="493">
        <v>45712.0</v>
      </c>
      <c r="G1517" s="493">
        <v>22339.0</v>
      </c>
      <c r="H1517" s="493">
        <v>48.87</v>
      </c>
      <c r="I1517" s="493">
        <v>4.1</v>
      </c>
      <c r="J1517" s="493">
        <v>4.82</v>
      </c>
      <c r="K1517" s="493">
        <v>34517.0</v>
      </c>
      <c r="L1517" s="493">
        <v>840974.0</v>
      </c>
      <c r="M1517" s="493">
        <v>0.7551</v>
      </c>
      <c r="N1517" s="6">
        <v>1.5451</v>
      </c>
    </row>
    <row r="1518">
      <c r="A1518" s="491" t="s">
        <v>2022</v>
      </c>
      <c r="B1518" s="491" t="s">
        <v>163</v>
      </c>
      <c r="C1518" s="491" t="s">
        <v>69</v>
      </c>
      <c r="D1518" s="491" t="s">
        <v>565</v>
      </c>
      <c r="E1518" s="492" t="s">
        <v>369</v>
      </c>
      <c r="F1518" s="493">
        <v>45712.0</v>
      </c>
      <c r="G1518" s="493">
        <v>14440.0</v>
      </c>
      <c r="H1518" s="493">
        <v>31.59</v>
      </c>
      <c r="I1518" s="493">
        <v>2.25</v>
      </c>
      <c r="J1518" s="493">
        <v>2.2</v>
      </c>
      <c r="K1518" s="493">
        <v>18907.0</v>
      </c>
      <c r="L1518" s="493">
        <v>840974.0</v>
      </c>
      <c r="M1518" s="493">
        <v>0.4136</v>
      </c>
      <c r="N1518" s="6">
        <v>1.3093</v>
      </c>
    </row>
    <row r="1519">
      <c r="A1519" s="491" t="s">
        <v>2022</v>
      </c>
      <c r="B1519" s="491" t="s">
        <v>163</v>
      </c>
      <c r="C1519" s="491" t="s">
        <v>69</v>
      </c>
      <c r="D1519" s="491" t="s">
        <v>565</v>
      </c>
      <c r="E1519" s="492" t="s">
        <v>134</v>
      </c>
      <c r="F1519" s="493">
        <v>45712.0</v>
      </c>
      <c r="G1519" s="493">
        <v>10246.0</v>
      </c>
      <c r="H1519" s="493">
        <v>22.41</v>
      </c>
      <c r="I1519" s="493">
        <v>2.25</v>
      </c>
      <c r="J1519" s="493">
        <v>1.82</v>
      </c>
      <c r="K1519" s="493">
        <v>18932.0</v>
      </c>
      <c r="L1519" s="493">
        <v>840974.0</v>
      </c>
      <c r="M1519" s="493">
        <v>0.4142</v>
      </c>
      <c r="N1519" s="6">
        <v>1.8477</v>
      </c>
    </row>
    <row r="1520">
      <c r="A1520" s="491" t="s">
        <v>2022</v>
      </c>
      <c r="B1520" s="491" t="s">
        <v>163</v>
      </c>
      <c r="C1520" s="491" t="s">
        <v>69</v>
      </c>
      <c r="D1520" s="491" t="s">
        <v>565</v>
      </c>
      <c r="E1520" s="492" t="s">
        <v>35</v>
      </c>
      <c r="F1520" s="493">
        <v>45712.0</v>
      </c>
      <c r="G1520" s="493">
        <v>7992.0</v>
      </c>
      <c r="H1520" s="493">
        <v>17.48</v>
      </c>
      <c r="I1520" s="493">
        <v>1.04</v>
      </c>
      <c r="J1520" s="493">
        <v>1.01</v>
      </c>
      <c r="K1520" s="493">
        <v>8725.0</v>
      </c>
      <c r="L1520" s="493">
        <v>840974.0</v>
      </c>
      <c r="M1520" s="493">
        <v>0.1909</v>
      </c>
      <c r="N1520" s="6">
        <v>1.0917</v>
      </c>
    </row>
    <row r="1521">
      <c r="A1521" s="491" t="s">
        <v>2022</v>
      </c>
      <c r="B1521" s="491" t="s">
        <v>163</v>
      </c>
      <c r="C1521" s="491" t="s">
        <v>69</v>
      </c>
      <c r="D1521" s="491" t="s">
        <v>565</v>
      </c>
      <c r="E1521" s="492" t="s">
        <v>189</v>
      </c>
      <c r="F1521" s="493">
        <v>45712.0</v>
      </c>
      <c r="G1521" s="493">
        <v>7145.0</v>
      </c>
      <c r="H1521" s="493">
        <v>15.63</v>
      </c>
      <c r="I1521" s="493">
        <v>0.87</v>
      </c>
      <c r="J1521" s="493">
        <v>0.83</v>
      </c>
      <c r="K1521" s="493">
        <v>7295.0</v>
      </c>
      <c r="L1521" s="493">
        <v>840974.0</v>
      </c>
      <c r="M1521" s="493">
        <v>0.1596</v>
      </c>
      <c r="N1521" s="6">
        <v>1.021</v>
      </c>
    </row>
    <row r="1522">
      <c r="A1522" s="491" t="s">
        <v>2022</v>
      </c>
      <c r="B1522" s="491" t="s">
        <v>163</v>
      </c>
      <c r="C1522" s="491" t="s">
        <v>69</v>
      </c>
      <c r="D1522" s="491" t="s">
        <v>565</v>
      </c>
      <c r="E1522" s="492" t="s">
        <v>42</v>
      </c>
      <c r="F1522" s="493">
        <v>45712.0</v>
      </c>
      <c r="G1522" s="493">
        <v>1996.0</v>
      </c>
      <c r="H1522" s="493">
        <v>4.37</v>
      </c>
      <c r="I1522" s="493">
        <v>0.26</v>
      </c>
      <c r="J1522" s="493">
        <v>0.33</v>
      </c>
      <c r="K1522" s="493">
        <v>2219.0</v>
      </c>
      <c r="L1522" s="493">
        <v>840974.0</v>
      </c>
      <c r="M1522" s="493">
        <v>0.0485</v>
      </c>
      <c r="N1522" s="6">
        <v>1.1117</v>
      </c>
    </row>
    <row r="1523">
      <c r="A1523" s="491" t="s">
        <v>2022</v>
      </c>
      <c r="B1523" s="491" t="s">
        <v>163</v>
      </c>
      <c r="C1523" s="491" t="s">
        <v>69</v>
      </c>
      <c r="D1523" s="491" t="s">
        <v>565</v>
      </c>
      <c r="E1523" s="492" t="s">
        <v>50</v>
      </c>
      <c r="F1523" s="493">
        <v>45712.0</v>
      </c>
      <c r="G1523" s="493">
        <v>1770.0</v>
      </c>
      <c r="H1523" s="493">
        <v>3.87</v>
      </c>
      <c r="I1523" s="493">
        <v>0.24</v>
      </c>
      <c r="J1523" s="493">
        <v>0.21</v>
      </c>
      <c r="K1523" s="493">
        <v>1979.0</v>
      </c>
      <c r="L1523" s="493">
        <v>840974.0</v>
      </c>
      <c r="M1523" s="493">
        <v>0.0433</v>
      </c>
      <c r="N1523" s="6">
        <v>1.1181</v>
      </c>
    </row>
    <row r="1524">
      <c r="A1524" s="491" t="s">
        <v>2022</v>
      </c>
      <c r="B1524" s="491" t="s">
        <v>163</v>
      </c>
      <c r="C1524" s="491" t="s">
        <v>69</v>
      </c>
      <c r="D1524" s="491" t="s">
        <v>565</v>
      </c>
      <c r="E1524" s="492" t="s">
        <v>43</v>
      </c>
      <c r="F1524" s="493">
        <v>45712.0</v>
      </c>
      <c r="G1524" s="493">
        <v>619.0</v>
      </c>
      <c r="H1524" s="493">
        <v>1.35</v>
      </c>
      <c r="I1524" s="493">
        <v>0.08</v>
      </c>
      <c r="J1524" s="493">
        <v>0.09</v>
      </c>
      <c r="K1524" s="493">
        <v>647.0</v>
      </c>
      <c r="L1524" s="493">
        <v>840974.0</v>
      </c>
      <c r="M1524" s="493">
        <v>0.0142</v>
      </c>
      <c r="N1524" s="6">
        <v>1.0452</v>
      </c>
    </row>
    <row r="1525">
      <c r="A1525" s="491" t="s">
        <v>2022</v>
      </c>
      <c r="B1525" s="491" t="s">
        <v>163</v>
      </c>
      <c r="C1525" s="491" t="s">
        <v>69</v>
      </c>
      <c r="D1525" s="491" t="s">
        <v>565</v>
      </c>
      <c r="E1525" s="492" t="s">
        <v>32</v>
      </c>
      <c r="F1525" s="493">
        <v>45712.0</v>
      </c>
      <c r="G1525" s="493">
        <v>20.0</v>
      </c>
      <c r="H1525" s="493">
        <v>0.04</v>
      </c>
      <c r="I1525" s="493">
        <v>0.0</v>
      </c>
      <c r="J1525" s="493">
        <v>0.01</v>
      </c>
      <c r="K1525" s="493">
        <v>24.0</v>
      </c>
      <c r="L1525" s="493">
        <v>840974.0</v>
      </c>
      <c r="M1525" s="493">
        <v>5.0E-4</v>
      </c>
      <c r="N1525" s="6">
        <v>1.2</v>
      </c>
    </row>
    <row r="1526">
      <c r="A1526" s="491" t="s">
        <v>2022</v>
      </c>
      <c r="B1526" s="491" t="s">
        <v>163</v>
      </c>
      <c r="C1526" s="491" t="s">
        <v>69</v>
      </c>
      <c r="D1526" s="491" t="s">
        <v>565</v>
      </c>
      <c r="E1526" s="492" t="s">
        <v>374</v>
      </c>
      <c r="F1526" s="493">
        <v>45712.0</v>
      </c>
      <c r="G1526" s="493">
        <v>1.0</v>
      </c>
      <c r="H1526" s="493">
        <v>0.0</v>
      </c>
      <c r="I1526" s="493">
        <v>0.0</v>
      </c>
      <c r="J1526" s="493">
        <v>0.0</v>
      </c>
      <c r="K1526" s="493">
        <v>2.0</v>
      </c>
      <c r="L1526" s="493">
        <v>840974.0</v>
      </c>
      <c r="M1526" s="493">
        <v>0.0</v>
      </c>
      <c r="N1526" s="6">
        <v>2.0</v>
      </c>
    </row>
    <row r="1527">
      <c r="A1527" s="491" t="s">
        <v>2022</v>
      </c>
      <c r="B1527" s="491" t="s">
        <v>163</v>
      </c>
      <c r="C1527" s="491" t="s">
        <v>69</v>
      </c>
      <c r="D1527" s="491" t="s">
        <v>565</v>
      </c>
      <c r="E1527" s="492" t="s">
        <v>311</v>
      </c>
      <c r="F1527" s="493">
        <v>45712.0</v>
      </c>
      <c r="G1527" s="493">
        <v>1.0</v>
      </c>
      <c r="H1527" s="493">
        <v>0.0</v>
      </c>
      <c r="I1527" s="493">
        <v>0.0</v>
      </c>
      <c r="J1527" s="493">
        <v>0.0</v>
      </c>
      <c r="K1527" s="493">
        <v>1.0</v>
      </c>
      <c r="L1527" s="493">
        <v>840974.0</v>
      </c>
      <c r="M1527" s="493">
        <v>0.0</v>
      </c>
      <c r="N1527" s="6">
        <v>1.0</v>
      </c>
    </row>
    <row r="1528">
      <c r="A1528" s="491" t="s">
        <v>2022</v>
      </c>
      <c r="B1528" s="491" t="s">
        <v>163</v>
      </c>
      <c r="C1528" s="491" t="s">
        <v>69</v>
      </c>
      <c r="D1528" s="491" t="s">
        <v>565</v>
      </c>
      <c r="E1528" s="492" t="s">
        <v>312</v>
      </c>
      <c r="F1528" s="493">
        <v>45712.0</v>
      </c>
      <c r="G1528" s="493">
        <v>3.0</v>
      </c>
      <c r="H1528" s="493">
        <v>0.01</v>
      </c>
      <c r="I1528" s="493">
        <v>0.0</v>
      </c>
      <c r="J1528" s="493">
        <v>0.0</v>
      </c>
      <c r="K1528" s="493">
        <v>3.0</v>
      </c>
      <c r="L1528" s="493">
        <v>840974.0</v>
      </c>
      <c r="M1528" s="493">
        <v>1.0E-4</v>
      </c>
      <c r="N1528" s="6">
        <v>1.0</v>
      </c>
    </row>
    <row r="1529">
      <c r="A1529" s="491" t="s">
        <v>2022</v>
      </c>
      <c r="B1529" s="491" t="s">
        <v>163</v>
      </c>
      <c r="C1529" s="491" t="s">
        <v>69</v>
      </c>
      <c r="D1529" s="491" t="s">
        <v>565</v>
      </c>
      <c r="E1529" s="492" t="s">
        <v>365</v>
      </c>
      <c r="F1529" s="493">
        <v>45712.0</v>
      </c>
      <c r="G1529" s="493">
        <v>3.0</v>
      </c>
      <c r="H1529" s="493">
        <v>0.01</v>
      </c>
      <c r="I1529" s="493">
        <v>0.0</v>
      </c>
      <c r="J1529" s="493">
        <v>0.0</v>
      </c>
      <c r="K1529" s="493">
        <v>4.0</v>
      </c>
      <c r="L1529" s="493">
        <v>840974.0</v>
      </c>
      <c r="M1529" s="493">
        <v>1.0E-4</v>
      </c>
      <c r="N1529" s="6">
        <v>1.3333</v>
      </c>
    </row>
    <row r="1530">
      <c r="A1530" s="491" t="s">
        <v>2022</v>
      </c>
      <c r="B1530" s="491" t="s">
        <v>163</v>
      </c>
      <c r="C1530" s="491" t="s">
        <v>69</v>
      </c>
      <c r="D1530" s="491" t="s">
        <v>565</v>
      </c>
      <c r="E1530" s="492" t="s">
        <v>310</v>
      </c>
      <c r="F1530" s="493">
        <v>45712.0</v>
      </c>
      <c r="G1530" s="493">
        <v>3.0</v>
      </c>
      <c r="H1530" s="493">
        <v>0.01</v>
      </c>
      <c r="I1530" s="493">
        <v>0.0</v>
      </c>
      <c r="J1530" s="493">
        <v>0.0</v>
      </c>
      <c r="K1530" s="493">
        <v>8.0</v>
      </c>
      <c r="L1530" s="493">
        <v>840974.0</v>
      </c>
      <c r="M1530" s="493">
        <v>2.0E-4</v>
      </c>
      <c r="N1530" s="6">
        <v>2.6667</v>
      </c>
    </row>
    <row r="1531">
      <c r="A1531" s="491" t="s">
        <v>2022</v>
      </c>
      <c r="B1531" s="491" t="s">
        <v>163</v>
      </c>
      <c r="C1531" s="491" t="s">
        <v>73</v>
      </c>
      <c r="D1531" s="491" t="s">
        <v>565</v>
      </c>
      <c r="E1531" s="492" t="s">
        <v>371</v>
      </c>
      <c r="F1531" s="493">
        <v>45525.0</v>
      </c>
      <c r="G1531" s="493">
        <v>41526.0</v>
      </c>
      <c r="H1531" s="493">
        <v>91.22</v>
      </c>
      <c r="I1531" s="493">
        <v>37.87</v>
      </c>
      <c r="J1531" s="493">
        <v>36.89</v>
      </c>
      <c r="K1531" s="493">
        <v>258053.0</v>
      </c>
      <c r="L1531" s="493">
        <v>681407.0</v>
      </c>
      <c r="M1531" s="493">
        <v>5.6684</v>
      </c>
      <c r="N1531" s="6">
        <v>6.2143</v>
      </c>
    </row>
    <row r="1532">
      <c r="A1532" s="491" t="s">
        <v>2022</v>
      </c>
      <c r="B1532" s="491" t="s">
        <v>163</v>
      </c>
      <c r="C1532" s="491" t="s">
        <v>73</v>
      </c>
      <c r="D1532" s="491" t="s">
        <v>565</v>
      </c>
      <c r="E1532" s="492" t="s">
        <v>366</v>
      </c>
      <c r="F1532" s="493">
        <v>45525.0</v>
      </c>
      <c r="G1532" s="493">
        <v>34218.0</v>
      </c>
      <c r="H1532" s="493">
        <v>75.16</v>
      </c>
      <c r="I1532" s="493">
        <v>14.54</v>
      </c>
      <c r="J1532" s="493">
        <v>17.36</v>
      </c>
      <c r="K1532" s="493">
        <v>99071.0</v>
      </c>
      <c r="L1532" s="493">
        <v>681407.0</v>
      </c>
      <c r="M1532" s="493">
        <v>2.1762</v>
      </c>
      <c r="N1532" s="6">
        <v>2.8953</v>
      </c>
    </row>
    <row r="1533">
      <c r="A1533" s="491" t="s">
        <v>2022</v>
      </c>
      <c r="B1533" s="491" t="s">
        <v>163</v>
      </c>
      <c r="C1533" s="491" t="s">
        <v>73</v>
      </c>
      <c r="D1533" s="491" t="s">
        <v>565</v>
      </c>
      <c r="E1533" s="492" t="s">
        <v>372</v>
      </c>
      <c r="F1533" s="493">
        <v>45525.0</v>
      </c>
      <c r="G1533" s="493">
        <v>21764.0</v>
      </c>
      <c r="H1533" s="493">
        <v>47.81</v>
      </c>
      <c r="I1533" s="493">
        <v>5.69</v>
      </c>
      <c r="J1533" s="493">
        <v>6.95</v>
      </c>
      <c r="K1533" s="493">
        <v>38741.0</v>
      </c>
      <c r="L1533" s="493">
        <v>681407.0</v>
      </c>
      <c r="M1533" s="493">
        <v>0.851</v>
      </c>
      <c r="N1533" s="6">
        <v>1.78</v>
      </c>
    </row>
    <row r="1534">
      <c r="A1534" s="491" t="s">
        <v>2022</v>
      </c>
      <c r="B1534" s="491" t="s">
        <v>163</v>
      </c>
      <c r="C1534" s="491" t="s">
        <v>73</v>
      </c>
      <c r="D1534" s="491" t="s">
        <v>565</v>
      </c>
      <c r="E1534" s="492" t="s">
        <v>44</v>
      </c>
      <c r="F1534" s="493">
        <v>45525.0</v>
      </c>
      <c r="G1534" s="493">
        <v>22088.0</v>
      </c>
      <c r="H1534" s="493">
        <v>48.52</v>
      </c>
      <c r="I1534" s="493">
        <v>5.34</v>
      </c>
      <c r="J1534" s="493">
        <v>5.35</v>
      </c>
      <c r="K1534" s="493">
        <v>36400.0</v>
      </c>
      <c r="L1534" s="493">
        <v>681407.0</v>
      </c>
      <c r="M1534" s="493">
        <v>0.7996</v>
      </c>
      <c r="N1534" s="6">
        <v>1.648</v>
      </c>
    </row>
    <row r="1535">
      <c r="A1535" s="491" t="s">
        <v>2022</v>
      </c>
      <c r="B1535" s="491" t="s">
        <v>163</v>
      </c>
      <c r="C1535" s="491" t="s">
        <v>73</v>
      </c>
      <c r="D1535" s="491" t="s">
        <v>565</v>
      </c>
      <c r="E1535" s="492" t="s">
        <v>370</v>
      </c>
      <c r="F1535" s="493">
        <v>45525.0</v>
      </c>
      <c r="G1535" s="493">
        <v>18266.0</v>
      </c>
      <c r="H1535" s="493">
        <v>40.12</v>
      </c>
      <c r="I1535" s="493">
        <v>5.18</v>
      </c>
      <c r="J1535" s="493">
        <v>5.26</v>
      </c>
      <c r="K1535" s="493">
        <v>35329.0</v>
      </c>
      <c r="L1535" s="493">
        <v>681407.0</v>
      </c>
      <c r="M1535" s="493">
        <v>0.776</v>
      </c>
      <c r="N1535" s="6">
        <v>1.9341</v>
      </c>
    </row>
    <row r="1536">
      <c r="A1536" s="491" t="s">
        <v>2022</v>
      </c>
      <c r="B1536" s="491" t="s">
        <v>163</v>
      </c>
      <c r="C1536" s="491" t="s">
        <v>73</v>
      </c>
      <c r="D1536" s="491" t="s">
        <v>565</v>
      </c>
      <c r="E1536" s="492" t="s">
        <v>367</v>
      </c>
      <c r="F1536" s="493">
        <v>45525.0</v>
      </c>
      <c r="G1536" s="493">
        <v>20592.0</v>
      </c>
      <c r="H1536" s="493">
        <v>45.23</v>
      </c>
      <c r="I1536" s="493">
        <v>4.9</v>
      </c>
      <c r="J1536" s="493">
        <v>4.92</v>
      </c>
      <c r="K1536" s="493">
        <v>33384.0</v>
      </c>
      <c r="L1536" s="493">
        <v>681407.0</v>
      </c>
      <c r="M1536" s="493">
        <v>0.7333</v>
      </c>
      <c r="N1536" s="6">
        <v>1.6212</v>
      </c>
    </row>
    <row r="1537">
      <c r="A1537" s="491" t="s">
        <v>2022</v>
      </c>
      <c r="B1537" s="491" t="s">
        <v>163</v>
      </c>
      <c r="C1537" s="491" t="s">
        <v>73</v>
      </c>
      <c r="D1537" s="491" t="s">
        <v>565</v>
      </c>
      <c r="E1537" s="492" t="s">
        <v>134</v>
      </c>
      <c r="F1537" s="493">
        <v>45525.0</v>
      </c>
      <c r="G1537" s="493">
        <v>11913.0</v>
      </c>
      <c r="H1537" s="493">
        <v>26.17</v>
      </c>
      <c r="I1537" s="493">
        <v>4.54</v>
      </c>
      <c r="J1537" s="493">
        <v>4.14</v>
      </c>
      <c r="K1537" s="493">
        <v>30931.0</v>
      </c>
      <c r="L1537" s="493">
        <v>681407.0</v>
      </c>
      <c r="M1537" s="493">
        <v>0.6794</v>
      </c>
      <c r="N1537" s="6">
        <v>2.5964</v>
      </c>
    </row>
    <row r="1538">
      <c r="A1538" s="491" t="s">
        <v>2022</v>
      </c>
      <c r="B1538" s="491" t="s">
        <v>163</v>
      </c>
      <c r="C1538" s="491" t="s">
        <v>73</v>
      </c>
      <c r="D1538" s="491" t="s">
        <v>565</v>
      </c>
      <c r="E1538" s="492" t="s">
        <v>365</v>
      </c>
      <c r="F1538" s="493">
        <v>45525.0</v>
      </c>
      <c r="G1538" s="493">
        <v>9272.0</v>
      </c>
      <c r="H1538" s="493">
        <v>20.37</v>
      </c>
      <c r="I1538" s="493">
        <v>4.48</v>
      </c>
      <c r="J1538" s="493">
        <v>2.97</v>
      </c>
      <c r="K1538" s="493">
        <v>30554.0</v>
      </c>
      <c r="L1538" s="493">
        <v>681407.0</v>
      </c>
      <c r="M1538" s="493">
        <v>0.6711</v>
      </c>
      <c r="N1538" s="6">
        <v>3.2953</v>
      </c>
    </row>
    <row r="1539">
      <c r="A1539" s="491" t="s">
        <v>2022</v>
      </c>
      <c r="B1539" s="491" t="s">
        <v>163</v>
      </c>
      <c r="C1539" s="491" t="s">
        <v>73</v>
      </c>
      <c r="D1539" s="491" t="s">
        <v>565</v>
      </c>
      <c r="E1539" s="492" t="s">
        <v>42</v>
      </c>
      <c r="F1539" s="493">
        <v>45525.0</v>
      </c>
      <c r="G1539" s="493">
        <v>13443.0</v>
      </c>
      <c r="H1539" s="493">
        <v>29.53</v>
      </c>
      <c r="I1539" s="493">
        <v>3.52</v>
      </c>
      <c r="J1539" s="493">
        <v>3.83</v>
      </c>
      <c r="K1539" s="493">
        <v>23967.0</v>
      </c>
      <c r="L1539" s="493">
        <v>681407.0</v>
      </c>
      <c r="M1539" s="493">
        <v>0.5265</v>
      </c>
      <c r="N1539" s="6">
        <v>1.7829</v>
      </c>
    </row>
    <row r="1540">
      <c r="A1540" s="491" t="s">
        <v>2022</v>
      </c>
      <c r="B1540" s="491" t="s">
        <v>163</v>
      </c>
      <c r="C1540" s="491" t="s">
        <v>73</v>
      </c>
      <c r="D1540" s="491" t="s">
        <v>565</v>
      </c>
      <c r="E1540" s="492" t="s">
        <v>50</v>
      </c>
      <c r="F1540" s="493">
        <v>45525.0</v>
      </c>
      <c r="G1540" s="493">
        <v>13497.0</v>
      </c>
      <c r="H1540" s="493">
        <v>29.65</v>
      </c>
      <c r="I1540" s="493">
        <v>3.16</v>
      </c>
      <c r="J1540" s="493">
        <v>2.97</v>
      </c>
      <c r="K1540" s="493">
        <v>21516.0</v>
      </c>
      <c r="L1540" s="493">
        <v>681407.0</v>
      </c>
      <c r="M1540" s="493">
        <v>0.4726</v>
      </c>
      <c r="N1540" s="6">
        <v>1.5941</v>
      </c>
    </row>
    <row r="1541">
      <c r="A1541" s="491" t="s">
        <v>2022</v>
      </c>
      <c r="B1541" s="491" t="s">
        <v>163</v>
      </c>
      <c r="C1541" s="491" t="s">
        <v>73</v>
      </c>
      <c r="D1541" s="491" t="s">
        <v>565</v>
      </c>
      <c r="E1541" s="492" t="s">
        <v>312</v>
      </c>
      <c r="F1541" s="493">
        <v>45525.0</v>
      </c>
      <c r="G1541" s="493">
        <v>11579.0</v>
      </c>
      <c r="H1541" s="493">
        <v>25.43</v>
      </c>
      <c r="I1541" s="493">
        <v>2.33</v>
      </c>
      <c r="J1541" s="493">
        <v>2.08</v>
      </c>
      <c r="K1541" s="493">
        <v>15843.0</v>
      </c>
      <c r="L1541" s="493">
        <v>681407.0</v>
      </c>
      <c r="M1541" s="493">
        <v>0.348</v>
      </c>
      <c r="N1541" s="6">
        <v>1.3683</v>
      </c>
    </row>
    <row r="1542">
      <c r="A1542" s="491" t="s">
        <v>2022</v>
      </c>
      <c r="B1542" s="491" t="s">
        <v>163</v>
      </c>
      <c r="C1542" s="491" t="s">
        <v>73</v>
      </c>
      <c r="D1542" s="491" t="s">
        <v>565</v>
      </c>
      <c r="E1542" s="492" t="s">
        <v>310</v>
      </c>
      <c r="F1542" s="493">
        <v>45525.0</v>
      </c>
      <c r="G1542" s="493">
        <v>10958.0</v>
      </c>
      <c r="H1542" s="493">
        <v>24.07</v>
      </c>
      <c r="I1542" s="493">
        <v>2.1</v>
      </c>
      <c r="J1542" s="493">
        <v>2.1</v>
      </c>
      <c r="K1542" s="493">
        <v>14295.0</v>
      </c>
      <c r="L1542" s="493">
        <v>681407.0</v>
      </c>
      <c r="M1542" s="493">
        <v>0.314</v>
      </c>
      <c r="N1542" s="6">
        <v>1.3045</v>
      </c>
    </row>
    <row r="1543">
      <c r="A1543" s="491" t="s">
        <v>2022</v>
      </c>
      <c r="B1543" s="491" t="s">
        <v>163</v>
      </c>
      <c r="C1543" s="491" t="s">
        <v>73</v>
      </c>
      <c r="D1543" s="491" t="s">
        <v>565</v>
      </c>
      <c r="E1543" s="492" t="s">
        <v>40</v>
      </c>
      <c r="F1543" s="493">
        <v>45525.0</v>
      </c>
      <c r="G1543" s="493">
        <v>4285.0</v>
      </c>
      <c r="H1543" s="493">
        <v>9.41</v>
      </c>
      <c r="I1543" s="493">
        <v>1.91</v>
      </c>
      <c r="J1543" s="493">
        <v>1.32</v>
      </c>
      <c r="K1543" s="493">
        <v>13040.0</v>
      </c>
      <c r="L1543" s="493">
        <v>681407.0</v>
      </c>
      <c r="M1543" s="493">
        <v>0.2864</v>
      </c>
      <c r="N1543" s="6">
        <v>3.0432</v>
      </c>
    </row>
    <row r="1544">
      <c r="A1544" s="491" t="s">
        <v>2022</v>
      </c>
      <c r="B1544" s="491" t="s">
        <v>163</v>
      </c>
      <c r="C1544" s="491" t="s">
        <v>73</v>
      </c>
      <c r="D1544" s="491" t="s">
        <v>565</v>
      </c>
      <c r="E1544" s="492" t="s">
        <v>32</v>
      </c>
      <c r="F1544" s="493">
        <v>45525.0</v>
      </c>
      <c r="G1544" s="493">
        <v>9955.0</v>
      </c>
      <c r="H1544" s="493">
        <v>21.87</v>
      </c>
      <c r="I1544" s="493">
        <v>1.88</v>
      </c>
      <c r="J1544" s="493">
        <v>1.85</v>
      </c>
      <c r="K1544" s="493">
        <v>12830.0</v>
      </c>
      <c r="L1544" s="493">
        <v>681407.0</v>
      </c>
      <c r="M1544" s="493">
        <v>0.2818</v>
      </c>
      <c r="N1544" s="6">
        <v>1.2888</v>
      </c>
    </row>
    <row r="1545">
      <c r="A1545" s="491" t="s">
        <v>2022</v>
      </c>
      <c r="B1545" s="491" t="s">
        <v>163</v>
      </c>
      <c r="C1545" s="491" t="s">
        <v>73</v>
      </c>
      <c r="D1545" s="491" t="s">
        <v>565</v>
      </c>
      <c r="E1545" s="492" t="s">
        <v>43</v>
      </c>
      <c r="F1545" s="493">
        <v>45525.0</v>
      </c>
      <c r="G1545" s="493">
        <v>5530.0</v>
      </c>
      <c r="H1545" s="493">
        <v>12.15</v>
      </c>
      <c r="I1545" s="493">
        <v>0.95</v>
      </c>
      <c r="J1545" s="493">
        <v>0.82</v>
      </c>
      <c r="K1545" s="493">
        <v>6484.0</v>
      </c>
      <c r="L1545" s="493">
        <v>681407.0</v>
      </c>
      <c r="M1545" s="493">
        <v>0.1424</v>
      </c>
      <c r="N1545" s="6">
        <v>1.1725</v>
      </c>
    </row>
    <row r="1546">
      <c r="A1546" s="491" t="s">
        <v>2022</v>
      </c>
      <c r="B1546" s="491" t="s">
        <v>163</v>
      </c>
      <c r="C1546" s="491" t="s">
        <v>73</v>
      </c>
      <c r="D1546" s="491" t="s">
        <v>565</v>
      </c>
      <c r="E1546" s="492" t="s">
        <v>35</v>
      </c>
      <c r="F1546" s="493">
        <v>45525.0</v>
      </c>
      <c r="G1546" s="493">
        <v>4852.0</v>
      </c>
      <c r="H1546" s="493">
        <v>10.66</v>
      </c>
      <c r="I1546" s="493">
        <v>0.82</v>
      </c>
      <c r="J1546" s="493">
        <v>0.51</v>
      </c>
      <c r="K1546" s="493">
        <v>5589.0</v>
      </c>
      <c r="L1546" s="493">
        <v>681407.0</v>
      </c>
      <c r="M1546" s="493">
        <v>0.1228</v>
      </c>
      <c r="N1546" s="6">
        <v>1.1519</v>
      </c>
    </row>
    <row r="1547">
      <c r="A1547" s="491" t="s">
        <v>2022</v>
      </c>
      <c r="B1547" s="491" t="s">
        <v>163</v>
      </c>
      <c r="C1547" s="491" t="s">
        <v>73</v>
      </c>
      <c r="D1547" s="491" t="s">
        <v>565</v>
      </c>
      <c r="E1547" s="492" t="s">
        <v>311</v>
      </c>
      <c r="F1547" s="493">
        <v>45525.0</v>
      </c>
      <c r="G1547" s="493">
        <v>3822.0</v>
      </c>
      <c r="H1547" s="493">
        <v>8.4</v>
      </c>
      <c r="I1547" s="493">
        <v>0.58</v>
      </c>
      <c r="J1547" s="493">
        <v>0.58</v>
      </c>
      <c r="K1547" s="493">
        <v>3921.0</v>
      </c>
      <c r="L1547" s="493">
        <v>681407.0</v>
      </c>
      <c r="M1547" s="493">
        <v>0.0861</v>
      </c>
      <c r="N1547" s="6">
        <v>1.0259</v>
      </c>
    </row>
    <row r="1548">
      <c r="A1548" s="491" t="s">
        <v>2022</v>
      </c>
      <c r="B1548" s="491" t="s">
        <v>163</v>
      </c>
      <c r="C1548" s="491" t="s">
        <v>73</v>
      </c>
      <c r="D1548" s="491" t="s">
        <v>565</v>
      </c>
      <c r="E1548" s="492" t="s">
        <v>189</v>
      </c>
      <c r="F1548" s="493">
        <v>45525.0</v>
      </c>
      <c r="G1548" s="493">
        <v>1420.0</v>
      </c>
      <c r="H1548" s="493">
        <v>3.12</v>
      </c>
      <c r="I1548" s="493">
        <v>0.21</v>
      </c>
      <c r="J1548" s="493">
        <v>0.08</v>
      </c>
      <c r="K1548" s="493">
        <v>1454.0</v>
      </c>
      <c r="L1548" s="493">
        <v>681407.0</v>
      </c>
      <c r="M1548" s="493">
        <v>0.0319</v>
      </c>
      <c r="N1548" s="6">
        <v>1.0239</v>
      </c>
    </row>
    <row r="1549">
      <c r="A1549" s="491" t="s">
        <v>2022</v>
      </c>
      <c r="B1549" s="491" t="s">
        <v>163</v>
      </c>
      <c r="C1549" s="491" t="s">
        <v>73</v>
      </c>
      <c r="D1549" s="491" t="s">
        <v>565</v>
      </c>
      <c r="E1549" s="492" t="s">
        <v>368</v>
      </c>
      <c r="F1549" s="493">
        <v>45525.0</v>
      </c>
      <c r="G1549" s="493">
        <v>4.0</v>
      </c>
      <c r="H1549" s="493">
        <v>0.01</v>
      </c>
      <c r="I1549" s="493">
        <v>0.0</v>
      </c>
      <c r="J1549" s="493">
        <v>0.0</v>
      </c>
      <c r="K1549" s="493">
        <v>5.0</v>
      </c>
      <c r="L1549" s="493">
        <v>681407.0</v>
      </c>
      <c r="M1549" s="493">
        <v>1.0E-4</v>
      </c>
      <c r="N1549" s="6">
        <v>1.25</v>
      </c>
    </row>
    <row r="1550">
      <c r="A1550" s="491" t="s">
        <v>2022</v>
      </c>
      <c r="B1550" s="491" t="s">
        <v>163</v>
      </c>
      <c r="C1550" s="491" t="s">
        <v>72</v>
      </c>
      <c r="D1550" s="491" t="s">
        <v>565</v>
      </c>
      <c r="E1550" s="492" t="s">
        <v>371</v>
      </c>
      <c r="F1550" s="493">
        <v>44906.0</v>
      </c>
      <c r="G1550" s="493">
        <v>38368.0</v>
      </c>
      <c r="H1550" s="493">
        <v>85.44</v>
      </c>
      <c r="I1550" s="493">
        <v>31.88</v>
      </c>
      <c r="J1550" s="493">
        <v>31.6</v>
      </c>
      <c r="K1550" s="493">
        <v>193617.0</v>
      </c>
      <c r="L1550" s="493">
        <v>607243.0</v>
      </c>
      <c r="M1550" s="493">
        <v>4.3116</v>
      </c>
      <c r="N1550" s="6">
        <v>5.0463</v>
      </c>
    </row>
    <row r="1551">
      <c r="A1551" s="491" t="s">
        <v>2022</v>
      </c>
      <c r="B1551" s="491" t="s">
        <v>163</v>
      </c>
      <c r="C1551" s="491" t="s">
        <v>72</v>
      </c>
      <c r="D1551" s="491" t="s">
        <v>565</v>
      </c>
      <c r="E1551" s="492" t="s">
        <v>366</v>
      </c>
      <c r="F1551" s="493">
        <v>44906.0</v>
      </c>
      <c r="G1551" s="493">
        <v>28618.0</v>
      </c>
      <c r="H1551" s="493">
        <v>63.73</v>
      </c>
      <c r="I1551" s="493">
        <v>10.69</v>
      </c>
      <c r="J1551" s="493">
        <v>12.24</v>
      </c>
      <c r="K1551" s="493">
        <v>64912.0</v>
      </c>
      <c r="L1551" s="493">
        <v>607243.0</v>
      </c>
      <c r="M1551" s="493">
        <v>1.4455</v>
      </c>
      <c r="N1551" s="6">
        <v>2.2682</v>
      </c>
    </row>
    <row r="1552">
      <c r="A1552" s="491" t="s">
        <v>2022</v>
      </c>
      <c r="B1552" s="491" t="s">
        <v>163</v>
      </c>
      <c r="C1552" s="491" t="s">
        <v>72</v>
      </c>
      <c r="D1552" s="491" t="s">
        <v>565</v>
      </c>
      <c r="E1552" s="492" t="s">
        <v>49</v>
      </c>
      <c r="F1552" s="493">
        <v>44906.0</v>
      </c>
      <c r="G1552" s="493">
        <v>20748.0</v>
      </c>
      <c r="H1552" s="493">
        <v>46.2</v>
      </c>
      <c r="I1552" s="493">
        <v>7.98</v>
      </c>
      <c r="J1552" s="493">
        <v>7.79</v>
      </c>
      <c r="K1552" s="493">
        <v>48445.0</v>
      </c>
      <c r="L1552" s="493">
        <v>607243.0</v>
      </c>
      <c r="M1552" s="493">
        <v>1.0788</v>
      </c>
      <c r="N1552" s="6">
        <v>2.3349</v>
      </c>
    </row>
    <row r="1553">
      <c r="A1553" s="491" t="s">
        <v>2022</v>
      </c>
      <c r="B1553" s="491" t="s">
        <v>163</v>
      </c>
      <c r="C1553" s="491" t="s">
        <v>72</v>
      </c>
      <c r="D1553" s="491" t="s">
        <v>565</v>
      </c>
      <c r="E1553" s="492" t="s">
        <v>368</v>
      </c>
      <c r="F1553" s="493">
        <v>44906.0</v>
      </c>
      <c r="G1553" s="493">
        <v>15820.0</v>
      </c>
      <c r="H1553" s="493">
        <v>35.23</v>
      </c>
      <c r="I1553" s="493">
        <v>7.28</v>
      </c>
      <c r="J1553" s="493">
        <v>10.19</v>
      </c>
      <c r="K1553" s="493">
        <v>44199.0</v>
      </c>
      <c r="L1553" s="493">
        <v>607243.0</v>
      </c>
      <c r="M1553" s="493">
        <v>0.9843</v>
      </c>
      <c r="N1553" s="6">
        <v>2.7939</v>
      </c>
    </row>
    <row r="1554">
      <c r="A1554" s="491" t="s">
        <v>2022</v>
      </c>
      <c r="B1554" s="491" t="s">
        <v>163</v>
      </c>
      <c r="C1554" s="491" t="s">
        <v>72</v>
      </c>
      <c r="D1554" s="491" t="s">
        <v>565</v>
      </c>
      <c r="E1554" s="492" t="s">
        <v>367</v>
      </c>
      <c r="F1554" s="493">
        <v>44906.0</v>
      </c>
      <c r="G1554" s="493">
        <v>21744.0</v>
      </c>
      <c r="H1554" s="493">
        <v>48.42</v>
      </c>
      <c r="I1554" s="493">
        <v>7.15</v>
      </c>
      <c r="J1554" s="493">
        <v>6.74</v>
      </c>
      <c r="K1554" s="493">
        <v>43402.0</v>
      </c>
      <c r="L1554" s="493">
        <v>607243.0</v>
      </c>
      <c r="M1554" s="493">
        <v>0.9665</v>
      </c>
      <c r="N1554" s="6">
        <v>1.996</v>
      </c>
    </row>
    <row r="1555">
      <c r="A1555" s="491" t="s">
        <v>2022</v>
      </c>
      <c r="B1555" s="491" t="s">
        <v>163</v>
      </c>
      <c r="C1555" s="491" t="s">
        <v>72</v>
      </c>
      <c r="D1555" s="491" t="s">
        <v>565</v>
      </c>
      <c r="E1555" s="492" t="s">
        <v>44</v>
      </c>
      <c r="F1555" s="493">
        <v>44906.0</v>
      </c>
      <c r="G1555" s="493">
        <v>19237.0</v>
      </c>
      <c r="H1555" s="493">
        <v>42.84</v>
      </c>
      <c r="I1555" s="493">
        <v>5.25</v>
      </c>
      <c r="J1555" s="493">
        <v>4.66</v>
      </c>
      <c r="K1555" s="493">
        <v>31875.0</v>
      </c>
      <c r="L1555" s="493">
        <v>607243.0</v>
      </c>
      <c r="M1555" s="493">
        <v>0.7098</v>
      </c>
      <c r="N1555" s="6">
        <v>1.657</v>
      </c>
    </row>
    <row r="1556">
      <c r="A1556" s="491" t="s">
        <v>2022</v>
      </c>
      <c r="B1556" s="491" t="s">
        <v>163</v>
      </c>
      <c r="C1556" s="491" t="s">
        <v>72</v>
      </c>
      <c r="D1556" s="491" t="s">
        <v>565</v>
      </c>
      <c r="E1556" s="492" t="s">
        <v>365</v>
      </c>
      <c r="F1556" s="493">
        <v>44906.0</v>
      </c>
      <c r="G1556" s="493">
        <v>9315.0</v>
      </c>
      <c r="H1556" s="493">
        <v>20.74</v>
      </c>
      <c r="I1556" s="493">
        <v>5.03</v>
      </c>
      <c r="J1556" s="493">
        <v>3.35</v>
      </c>
      <c r="K1556" s="493">
        <v>30542.0</v>
      </c>
      <c r="L1556" s="493">
        <v>607243.0</v>
      </c>
      <c r="M1556" s="493">
        <v>0.6801</v>
      </c>
      <c r="N1556" s="6">
        <v>3.2788</v>
      </c>
    </row>
    <row r="1557">
      <c r="A1557" s="491" t="s">
        <v>2022</v>
      </c>
      <c r="B1557" s="491" t="s">
        <v>163</v>
      </c>
      <c r="C1557" s="491" t="s">
        <v>72</v>
      </c>
      <c r="D1557" s="491" t="s">
        <v>565</v>
      </c>
      <c r="E1557" s="492" t="s">
        <v>134</v>
      </c>
      <c r="F1557" s="493">
        <v>44906.0</v>
      </c>
      <c r="G1557" s="493">
        <v>7795.0</v>
      </c>
      <c r="H1557" s="493">
        <v>17.36</v>
      </c>
      <c r="I1557" s="493">
        <v>4.05</v>
      </c>
      <c r="J1557" s="493">
        <v>2.25</v>
      </c>
      <c r="K1557" s="493">
        <v>24570.0</v>
      </c>
      <c r="L1557" s="493">
        <v>607243.0</v>
      </c>
      <c r="M1557" s="493">
        <v>0.5471</v>
      </c>
      <c r="N1557" s="6">
        <v>3.152</v>
      </c>
    </row>
    <row r="1558">
      <c r="A1558" s="491" t="s">
        <v>2022</v>
      </c>
      <c r="B1558" s="491" t="s">
        <v>163</v>
      </c>
      <c r="C1558" s="491" t="s">
        <v>72</v>
      </c>
      <c r="D1558" s="491" t="s">
        <v>565</v>
      </c>
      <c r="E1558" s="492" t="s">
        <v>40</v>
      </c>
      <c r="F1558" s="493">
        <v>44906.0</v>
      </c>
      <c r="G1558" s="493">
        <v>11447.0</v>
      </c>
      <c r="H1558" s="493">
        <v>25.49</v>
      </c>
      <c r="I1558" s="493">
        <v>4.04</v>
      </c>
      <c r="J1558" s="493">
        <v>3.85</v>
      </c>
      <c r="K1558" s="493">
        <v>24505.0</v>
      </c>
      <c r="L1558" s="493">
        <v>607243.0</v>
      </c>
      <c r="M1558" s="493">
        <v>0.5457</v>
      </c>
      <c r="N1558" s="6">
        <v>2.1407</v>
      </c>
    </row>
    <row r="1559">
      <c r="A1559" s="491" t="s">
        <v>2022</v>
      </c>
      <c r="B1559" s="491" t="s">
        <v>163</v>
      </c>
      <c r="C1559" s="491" t="s">
        <v>72</v>
      </c>
      <c r="D1559" s="491" t="s">
        <v>565</v>
      </c>
      <c r="E1559" s="492" t="s">
        <v>370</v>
      </c>
      <c r="F1559" s="493">
        <v>44906.0</v>
      </c>
      <c r="G1559" s="493">
        <v>13107.0</v>
      </c>
      <c r="H1559" s="493">
        <v>29.19</v>
      </c>
      <c r="I1559" s="493">
        <v>3.27</v>
      </c>
      <c r="J1559" s="493">
        <v>3.37</v>
      </c>
      <c r="K1559" s="493">
        <v>19884.0</v>
      </c>
      <c r="L1559" s="493">
        <v>607243.0</v>
      </c>
      <c r="M1559" s="493">
        <v>0.4428</v>
      </c>
      <c r="N1559" s="6">
        <v>1.5171</v>
      </c>
    </row>
    <row r="1560">
      <c r="A1560" s="491" t="s">
        <v>2022</v>
      </c>
      <c r="B1560" s="491" t="s">
        <v>163</v>
      </c>
      <c r="C1560" s="491" t="s">
        <v>72</v>
      </c>
      <c r="D1560" s="491" t="s">
        <v>565</v>
      </c>
      <c r="E1560" s="492" t="s">
        <v>372</v>
      </c>
      <c r="F1560" s="493">
        <v>44906.0</v>
      </c>
      <c r="G1560" s="493">
        <v>14221.0</v>
      </c>
      <c r="H1560" s="493">
        <v>31.67</v>
      </c>
      <c r="I1560" s="493">
        <v>2.97</v>
      </c>
      <c r="J1560" s="493">
        <v>3.27</v>
      </c>
      <c r="K1560" s="493">
        <v>18054.0</v>
      </c>
      <c r="L1560" s="493">
        <v>607243.0</v>
      </c>
      <c r="M1560" s="493">
        <v>0.402</v>
      </c>
      <c r="N1560" s="6">
        <v>1.2695</v>
      </c>
    </row>
    <row r="1561">
      <c r="A1561" s="491" t="s">
        <v>2022</v>
      </c>
      <c r="B1561" s="491" t="s">
        <v>163</v>
      </c>
      <c r="C1561" s="491" t="s">
        <v>72</v>
      </c>
      <c r="D1561" s="491" t="s">
        <v>565</v>
      </c>
      <c r="E1561" s="492" t="s">
        <v>50</v>
      </c>
      <c r="F1561" s="493">
        <v>44906.0</v>
      </c>
      <c r="G1561" s="493">
        <v>10915.0</v>
      </c>
      <c r="H1561" s="493">
        <v>24.31</v>
      </c>
      <c r="I1561" s="493">
        <v>2.71</v>
      </c>
      <c r="J1561" s="493">
        <v>2.59</v>
      </c>
      <c r="K1561" s="493">
        <v>16438.0</v>
      </c>
      <c r="L1561" s="493">
        <v>607243.0</v>
      </c>
      <c r="M1561" s="493">
        <v>0.3661</v>
      </c>
      <c r="N1561" s="6">
        <v>1.506</v>
      </c>
    </row>
    <row r="1562">
      <c r="A1562" s="491" t="s">
        <v>2022</v>
      </c>
      <c r="B1562" s="491" t="s">
        <v>163</v>
      </c>
      <c r="C1562" s="491" t="s">
        <v>72</v>
      </c>
      <c r="D1562" s="491" t="s">
        <v>565</v>
      </c>
      <c r="E1562" s="492" t="s">
        <v>42</v>
      </c>
      <c r="F1562" s="493">
        <v>44906.0</v>
      </c>
      <c r="G1562" s="493">
        <v>8953.0</v>
      </c>
      <c r="H1562" s="493">
        <v>19.94</v>
      </c>
      <c r="I1562" s="493">
        <v>2.08</v>
      </c>
      <c r="J1562" s="493">
        <v>2.34</v>
      </c>
      <c r="K1562" s="493">
        <v>12644.0</v>
      </c>
      <c r="L1562" s="493">
        <v>607243.0</v>
      </c>
      <c r="M1562" s="493">
        <v>0.2816</v>
      </c>
      <c r="N1562" s="6">
        <v>1.4123</v>
      </c>
    </row>
    <row r="1563">
      <c r="A1563" s="491" t="s">
        <v>2022</v>
      </c>
      <c r="B1563" s="491" t="s">
        <v>163</v>
      </c>
      <c r="C1563" s="491" t="s">
        <v>72</v>
      </c>
      <c r="D1563" s="491" t="s">
        <v>565</v>
      </c>
      <c r="E1563" s="492" t="s">
        <v>369</v>
      </c>
      <c r="F1563" s="493">
        <v>44906.0</v>
      </c>
      <c r="G1563" s="493">
        <v>7085.0</v>
      </c>
      <c r="H1563" s="493">
        <v>15.78</v>
      </c>
      <c r="I1563" s="493">
        <v>1.46</v>
      </c>
      <c r="J1563" s="493">
        <v>0.92</v>
      </c>
      <c r="K1563" s="493">
        <v>8870.0</v>
      </c>
      <c r="L1563" s="493">
        <v>607243.0</v>
      </c>
      <c r="M1563" s="493">
        <v>0.1975</v>
      </c>
      <c r="N1563" s="6">
        <v>1.2519</v>
      </c>
    </row>
    <row r="1564">
      <c r="A1564" s="491" t="s">
        <v>2022</v>
      </c>
      <c r="B1564" s="491" t="s">
        <v>163</v>
      </c>
      <c r="C1564" s="491" t="s">
        <v>72</v>
      </c>
      <c r="D1564" s="491" t="s">
        <v>565</v>
      </c>
      <c r="E1564" s="492" t="s">
        <v>312</v>
      </c>
      <c r="F1564" s="493">
        <v>44906.0</v>
      </c>
      <c r="G1564" s="493">
        <v>6546.0</v>
      </c>
      <c r="H1564" s="493">
        <v>14.58</v>
      </c>
      <c r="I1564" s="493">
        <v>1.3</v>
      </c>
      <c r="J1564" s="493">
        <v>1.52</v>
      </c>
      <c r="K1564" s="493">
        <v>7896.0</v>
      </c>
      <c r="L1564" s="493">
        <v>607243.0</v>
      </c>
      <c r="M1564" s="493">
        <v>0.1758</v>
      </c>
      <c r="N1564" s="6">
        <v>1.2062</v>
      </c>
    </row>
    <row r="1565">
      <c r="A1565" s="491" t="s">
        <v>2022</v>
      </c>
      <c r="B1565" s="491" t="s">
        <v>163</v>
      </c>
      <c r="C1565" s="491" t="s">
        <v>72</v>
      </c>
      <c r="D1565" s="491" t="s">
        <v>565</v>
      </c>
      <c r="E1565" s="492" t="s">
        <v>310</v>
      </c>
      <c r="F1565" s="493">
        <v>44906.0</v>
      </c>
      <c r="G1565" s="493">
        <v>4434.0</v>
      </c>
      <c r="H1565" s="493">
        <v>9.87</v>
      </c>
      <c r="I1565" s="493">
        <v>0.81</v>
      </c>
      <c r="J1565" s="493">
        <v>1.07</v>
      </c>
      <c r="K1565" s="493">
        <v>4902.0</v>
      </c>
      <c r="L1565" s="493">
        <v>607243.0</v>
      </c>
      <c r="M1565" s="493">
        <v>0.1092</v>
      </c>
      <c r="N1565" s="6">
        <v>1.1055</v>
      </c>
    </row>
    <row r="1566">
      <c r="A1566" s="491" t="s">
        <v>2022</v>
      </c>
      <c r="B1566" s="491" t="s">
        <v>163</v>
      </c>
      <c r="C1566" s="491" t="s">
        <v>72</v>
      </c>
      <c r="D1566" s="491" t="s">
        <v>565</v>
      </c>
      <c r="E1566" s="492" t="s">
        <v>32</v>
      </c>
      <c r="F1566" s="493">
        <v>44906.0</v>
      </c>
      <c r="G1566" s="493">
        <v>3789.0</v>
      </c>
      <c r="H1566" s="493">
        <v>8.44</v>
      </c>
      <c r="I1566" s="493">
        <v>0.68</v>
      </c>
      <c r="J1566" s="493">
        <v>0.93</v>
      </c>
      <c r="K1566" s="493">
        <v>4144.0</v>
      </c>
      <c r="L1566" s="493">
        <v>607243.0</v>
      </c>
      <c r="M1566" s="493">
        <v>0.0923</v>
      </c>
      <c r="N1566" s="6">
        <v>1.0937</v>
      </c>
    </row>
    <row r="1567">
      <c r="A1567" s="491" t="s">
        <v>2022</v>
      </c>
      <c r="B1567" s="491" t="s">
        <v>163</v>
      </c>
      <c r="C1567" s="491" t="s">
        <v>72</v>
      </c>
      <c r="D1567" s="491" t="s">
        <v>565</v>
      </c>
      <c r="E1567" s="492" t="s">
        <v>43</v>
      </c>
      <c r="F1567" s="493">
        <v>44906.0</v>
      </c>
      <c r="G1567" s="493">
        <v>3620.0</v>
      </c>
      <c r="H1567" s="493">
        <v>8.06</v>
      </c>
      <c r="I1567" s="493">
        <v>0.66</v>
      </c>
      <c r="J1567" s="493">
        <v>0.72</v>
      </c>
      <c r="K1567" s="493">
        <v>3984.0</v>
      </c>
      <c r="L1567" s="493">
        <v>607243.0</v>
      </c>
      <c r="M1567" s="493">
        <v>0.0887</v>
      </c>
      <c r="N1567" s="6">
        <v>1.1006</v>
      </c>
    </row>
    <row r="1568">
      <c r="A1568" s="491" t="s">
        <v>2022</v>
      </c>
      <c r="B1568" s="491" t="s">
        <v>163</v>
      </c>
      <c r="C1568" s="491" t="s">
        <v>72</v>
      </c>
      <c r="D1568" s="491" t="s">
        <v>565</v>
      </c>
      <c r="E1568" s="492" t="s">
        <v>189</v>
      </c>
      <c r="F1568" s="493">
        <v>44906.0</v>
      </c>
      <c r="G1568" s="493">
        <v>2877.0</v>
      </c>
      <c r="H1568" s="493">
        <v>6.41</v>
      </c>
      <c r="I1568" s="493">
        <v>0.48</v>
      </c>
      <c r="J1568" s="493">
        <v>0.23</v>
      </c>
      <c r="K1568" s="493">
        <v>2928.0</v>
      </c>
      <c r="L1568" s="493">
        <v>607243.0</v>
      </c>
      <c r="M1568" s="493">
        <v>0.0652</v>
      </c>
      <c r="N1568" s="6">
        <v>1.0177</v>
      </c>
    </row>
    <row r="1569">
      <c r="A1569" s="491" t="s">
        <v>2022</v>
      </c>
      <c r="B1569" s="491" t="s">
        <v>163</v>
      </c>
      <c r="C1569" s="491" t="s">
        <v>72</v>
      </c>
      <c r="D1569" s="491" t="s">
        <v>565</v>
      </c>
      <c r="E1569" s="492" t="s">
        <v>311</v>
      </c>
      <c r="F1569" s="493">
        <v>44906.0</v>
      </c>
      <c r="G1569" s="493">
        <v>1398.0</v>
      </c>
      <c r="H1569" s="493">
        <v>3.11</v>
      </c>
      <c r="I1569" s="493">
        <v>0.24</v>
      </c>
      <c r="J1569" s="493">
        <v>0.34</v>
      </c>
      <c r="K1569" s="493">
        <v>1432.0</v>
      </c>
      <c r="L1569" s="493">
        <v>607243.0</v>
      </c>
      <c r="M1569" s="493">
        <v>0.0319</v>
      </c>
      <c r="N1569" s="6">
        <v>1.0243</v>
      </c>
    </row>
    <row r="1570">
      <c r="A1570" s="491" t="s">
        <v>2022</v>
      </c>
      <c r="B1570" s="491" t="s">
        <v>163</v>
      </c>
      <c r="C1570" s="491" t="s">
        <v>1873</v>
      </c>
      <c r="D1570" s="491" t="s">
        <v>2018</v>
      </c>
      <c r="E1570" s="492" t="s">
        <v>369</v>
      </c>
      <c r="F1570" s="493">
        <v>23943.0</v>
      </c>
      <c r="G1570" s="493">
        <v>15153.0</v>
      </c>
      <c r="H1570" s="493">
        <v>63.29</v>
      </c>
      <c r="I1570" s="493">
        <v>32.21</v>
      </c>
      <c r="J1570" s="493">
        <v>39.86</v>
      </c>
      <c r="K1570" s="493">
        <v>279985.0</v>
      </c>
      <c r="L1570" s="493">
        <v>869325.0</v>
      </c>
      <c r="M1570" s="493">
        <v>11.6938</v>
      </c>
      <c r="N1570" s="6">
        <v>18.4772</v>
      </c>
    </row>
    <row r="1571">
      <c r="A1571" s="491" t="s">
        <v>2022</v>
      </c>
      <c r="B1571" s="491" t="s">
        <v>163</v>
      </c>
      <c r="C1571" s="491" t="s">
        <v>1873</v>
      </c>
      <c r="D1571" s="491" t="s">
        <v>2018</v>
      </c>
      <c r="E1571" s="492" t="s">
        <v>134</v>
      </c>
      <c r="F1571" s="493">
        <v>23943.0</v>
      </c>
      <c r="G1571" s="493">
        <v>8461.0</v>
      </c>
      <c r="H1571" s="493">
        <v>35.34</v>
      </c>
      <c r="I1571" s="493">
        <v>24.48</v>
      </c>
      <c r="J1571" s="493">
        <v>21.75</v>
      </c>
      <c r="K1571" s="493">
        <v>212805.0</v>
      </c>
      <c r="L1571" s="493">
        <v>869325.0</v>
      </c>
      <c r="M1571" s="493">
        <v>8.888</v>
      </c>
      <c r="N1571" s="6">
        <v>25.1513</v>
      </c>
    </row>
    <row r="1572">
      <c r="A1572" s="491" t="s">
        <v>2022</v>
      </c>
      <c r="B1572" s="491" t="s">
        <v>163</v>
      </c>
      <c r="C1572" s="491" t="s">
        <v>1873</v>
      </c>
      <c r="D1572" s="491" t="s">
        <v>2018</v>
      </c>
      <c r="E1572" s="492" t="s">
        <v>367</v>
      </c>
      <c r="F1572" s="493">
        <v>23943.0</v>
      </c>
      <c r="G1572" s="493">
        <v>4412.0</v>
      </c>
      <c r="H1572" s="493">
        <v>18.43</v>
      </c>
      <c r="I1572" s="493">
        <v>15.56</v>
      </c>
      <c r="J1572" s="493">
        <v>8.55</v>
      </c>
      <c r="K1572" s="493">
        <v>135270.0</v>
      </c>
      <c r="L1572" s="493">
        <v>869325.0</v>
      </c>
      <c r="M1572" s="493">
        <v>5.6497</v>
      </c>
      <c r="N1572" s="6">
        <v>30.6596</v>
      </c>
    </row>
    <row r="1573">
      <c r="A1573" s="491" t="s">
        <v>2022</v>
      </c>
      <c r="B1573" s="491" t="s">
        <v>163</v>
      </c>
      <c r="C1573" s="491" t="s">
        <v>1873</v>
      </c>
      <c r="D1573" s="491" t="s">
        <v>2018</v>
      </c>
      <c r="E1573" s="492" t="s">
        <v>189</v>
      </c>
      <c r="F1573" s="493">
        <v>23943.0</v>
      </c>
      <c r="G1573" s="493">
        <v>8436.0</v>
      </c>
      <c r="H1573" s="493">
        <v>35.23</v>
      </c>
      <c r="I1573" s="493">
        <v>15.23</v>
      </c>
      <c r="J1573" s="493">
        <v>17.63</v>
      </c>
      <c r="K1573" s="493">
        <v>132395.0</v>
      </c>
      <c r="L1573" s="493">
        <v>869325.0</v>
      </c>
      <c r="M1573" s="493">
        <v>5.5296</v>
      </c>
      <c r="N1573" s="6">
        <v>15.694</v>
      </c>
    </row>
    <row r="1574">
      <c r="A1574" s="491" t="s">
        <v>2022</v>
      </c>
      <c r="B1574" s="491" t="s">
        <v>163</v>
      </c>
      <c r="C1574" s="491" t="s">
        <v>1873</v>
      </c>
      <c r="D1574" s="491" t="s">
        <v>2018</v>
      </c>
      <c r="E1574" s="492" t="s">
        <v>35</v>
      </c>
      <c r="F1574" s="493">
        <v>23943.0</v>
      </c>
      <c r="G1574" s="493">
        <v>5937.0</v>
      </c>
      <c r="H1574" s="493">
        <v>24.8</v>
      </c>
      <c r="I1574" s="493">
        <v>11.5</v>
      </c>
      <c r="J1574" s="493">
        <v>11.12</v>
      </c>
      <c r="K1574" s="493">
        <v>100005.0</v>
      </c>
      <c r="L1574" s="493">
        <v>869325.0</v>
      </c>
      <c r="M1574" s="493">
        <v>4.1768</v>
      </c>
      <c r="N1574" s="6">
        <v>16.8444</v>
      </c>
    </row>
    <row r="1575">
      <c r="A1575" s="491" t="s">
        <v>2022</v>
      </c>
      <c r="B1575" s="491" t="s">
        <v>163</v>
      </c>
      <c r="C1575" s="491" t="s">
        <v>1873</v>
      </c>
      <c r="D1575" s="491" t="s">
        <v>2018</v>
      </c>
      <c r="E1575" s="492" t="s">
        <v>370</v>
      </c>
      <c r="F1575" s="493">
        <v>23943.0</v>
      </c>
      <c r="G1575" s="493">
        <v>253.0</v>
      </c>
      <c r="H1575" s="493">
        <v>1.06</v>
      </c>
      <c r="I1575" s="493">
        <v>0.9</v>
      </c>
      <c r="J1575" s="493">
        <v>0.81</v>
      </c>
      <c r="K1575" s="493">
        <v>7845.0</v>
      </c>
      <c r="L1575" s="493">
        <v>869325.0</v>
      </c>
      <c r="M1575" s="493">
        <v>0.3277</v>
      </c>
      <c r="N1575" s="6">
        <v>31.0079</v>
      </c>
    </row>
    <row r="1576">
      <c r="A1576" s="491" t="s">
        <v>2022</v>
      </c>
      <c r="B1576" s="491" t="s">
        <v>163</v>
      </c>
      <c r="C1576" s="491" t="s">
        <v>1873</v>
      </c>
      <c r="D1576" s="491" t="s">
        <v>2018</v>
      </c>
      <c r="E1576" s="492" t="s">
        <v>372</v>
      </c>
      <c r="F1576" s="493">
        <v>23943.0</v>
      </c>
      <c r="G1576" s="493">
        <v>89.0</v>
      </c>
      <c r="H1576" s="493">
        <v>0.37</v>
      </c>
      <c r="I1576" s="493">
        <v>0.11</v>
      </c>
      <c r="J1576" s="493">
        <v>0.28</v>
      </c>
      <c r="K1576" s="493">
        <v>975.0</v>
      </c>
      <c r="L1576" s="493">
        <v>869325.0</v>
      </c>
      <c r="M1576" s="493">
        <v>0.0407</v>
      </c>
      <c r="N1576" s="6">
        <v>10.9551</v>
      </c>
    </row>
    <row r="1577">
      <c r="A1577" s="491" t="s">
        <v>2022</v>
      </c>
      <c r="B1577" s="491" t="s">
        <v>163</v>
      </c>
      <c r="C1577" s="491" t="s">
        <v>1873</v>
      </c>
      <c r="D1577" s="491" t="s">
        <v>2018</v>
      </c>
      <c r="E1577" s="492" t="s">
        <v>371</v>
      </c>
      <c r="F1577" s="493">
        <v>23943.0</v>
      </c>
      <c r="G1577" s="493">
        <v>1.0</v>
      </c>
      <c r="H1577" s="493">
        <v>0.0</v>
      </c>
      <c r="I1577" s="493">
        <v>0.0</v>
      </c>
      <c r="J1577" s="493">
        <v>0.0</v>
      </c>
      <c r="K1577" s="493">
        <v>15.0</v>
      </c>
      <c r="L1577" s="493">
        <v>869325.0</v>
      </c>
      <c r="M1577" s="493">
        <v>6.0E-4</v>
      </c>
      <c r="N1577" s="6">
        <v>15.0</v>
      </c>
    </row>
    <row r="1578">
      <c r="A1578" s="491" t="s">
        <v>2022</v>
      </c>
      <c r="B1578" s="491" t="s">
        <v>163</v>
      </c>
      <c r="C1578" s="491" t="s">
        <v>1873</v>
      </c>
      <c r="D1578" s="491" t="s">
        <v>2018</v>
      </c>
      <c r="E1578" s="492" t="s">
        <v>42</v>
      </c>
      <c r="F1578" s="493">
        <v>23943.0</v>
      </c>
      <c r="G1578" s="493">
        <v>1.0</v>
      </c>
      <c r="H1578" s="493">
        <v>0.0</v>
      </c>
      <c r="I1578" s="493">
        <v>0.0</v>
      </c>
      <c r="J1578" s="493">
        <v>0.0</v>
      </c>
      <c r="K1578" s="493">
        <v>20.0</v>
      </c>
      <c r="L1578" s="493">
        <v>869325.0</v>
      </c>
      <c r="M1578" s="493">
        <v>8.0E-4</v>
      </c>
      <c r="N1578" s="6">
        <v>20.0</v>
      </c>
    </row>
    <row r="1579">
      <c r="A1579" s="491" t="s">
        <v>2022</v>
      </c>
      <c r="B1579" s="491" t="s">
        <v>163</v>
      </c>
      <c r="C1579" s="491" t="s">
        <v>1873</v>
      </c>
      <c r="D1579" s="491" t="s">
        <v>2018</v>
      </c>
      <c r="E1579" s="492" t="s">
        <v>368</v>
      </c>
      <c r="F1579" s="493">
        <v>23943.0</v>
      </c>
      <c r="G1579" s="493">
        <v>1.0</v>
      </c>
      <c r="H1579" s="493">
        <v>0.0</v>
      </c>
      <c r="I1579" s="493">
        <v>0.0</v>
      </c>
      <c r="J1579" s="493">
        <v>0.0</v>
      </c>
      <c r="K1579" s="493">
        <v>10.0</v>
      </c>
      <c r="L1579" s="493">
        <v>869325.0</v>
      </c>
      <c r="M1579" s="493">
        <v>4.0E-4</v>
      </c>
      <c r="N1579" s="6">
        <v>10.0</v>
      </c>
    </row>
    <row r="1580">
      <c r="A1580" s="491" t="s">
        <v>2022</v>
      </c>
      <c r="B1580" s="491" t="s">
        <v>163</v>
      </c>
      <c r="C1580" s="491" t="s">
        <v>1874</v>
      </c>
      <c r="D1580" s="491" t="s">
        <v>2018</v>
      </c>
      <c r="E1580" s="492" t="s">
        <v>369</v>
      </c>
      <c r="F1580" s="493">
        <v>36155.0</v>
      </c>
      <c r="G1580" s="493">
        <v>19998.0</v>
      </c>
      <c r="H1580" s="493">
        <v>55.31</v>
      </c>
      <c r="I1580" s="493">
        <v>20.82</v>
      </c>
      <c r="J1580" s="493">
        <v>24.07</v>
      </c>
      <c r="K1580" s="493">
        <v>406560.0</v>
      </c>
      <c r="L1580" s="493">
        <v>1952295.0</v>
      </c>
      <c r="M1580" s="493">
        <v>11.2449</v>
      </c>
      <c r="N1580" s="6">
        <v>20.33</v>
      </c>
    </row>
    <row r="1581">
      <c r="A1581" s="491" t="s">
        <v>2022</v>
      </c>
      <c r="B1581" s="491" t="s">
        <v>163</v>
      </c>
      <c r="C1581" s="491" t="s">
        <v>1874</v>
      </c>
      <c r="D1581" s="491" t="s">
        <v>2018</v>
      </c>
      <c r="E1581" s="492" t="s">
        <v>134</v>
      </c>
      <c r="F1581" s="493">
        <v>36155.0</v>
      </c>
      <c r="G1581" s="493">
        <v>10515.0</v>
      </c>
      <c r="H1581" s="493">
        <v>29.08</v>
      </c>
      <c r="I1581" s="493">
        <v>18.99</v>
      </c>
      <c r="J1581" s="493">
        <v>12.19</v>
      </c>
      <c r="K1581" s="493">
        <v>370660.0</v>
      </c>
      <c r="L1581" s="493">
        <v>1952295.0</v>
      </c>
      <c r="M1581" s="493">
        <v>10.252</v>
      </c>
      <c r="N1581" s="6">
        <v>35.2506</v>
      </c>
    </row>
    <row r="1582">
      <c r="A1582" s="491" t="s">
        <v>2022</v>
      </c>
      <c r="B1582" s="491" t="s">
        <v>163</v>
      </c>
      <c r="C1582" s="491" t="s">
        <v>1874</v>
      </c>
      <c r="D1582" s="491" t="s">
        <v>2018</v>
      </c>
      <c r="E1582" s="492" t="s">
        <v>372</v>
      </c>
      <c r="F1582" s="493">
        <v>36155.0</v>
      </c>
      <c r="G1582" s="493">
        <v>17778.0</v>
      </c>
      <c r="H1582" s="493">
        <v>49.17</v>
      </c>
      <c r="I1582" s="493">
        <v>17.04</v>
      </c>
      <c r="J1582" s="493">
        <v>25.29</v>
      </c>
      <c r="K1582" s="493">
        <v>332715.0</v>
      </c>
      <c r="L1582" s="493">
        <v>1952295.0</v>
      </c>
      <c r="M1582" s="493">
        <v>9.2025</v>
      </c>
      <c r="N1582" s="6">
        <v>18.715</v>
      </c>
    </row>
    <row r="1583">
      <c r="A1583" s="491" t="s">
        <v>2022</v>
      </c>
      <c r="B1583" s="491" t="s">
        <v>163</v>
      </c>
      <c r="C1583" s="491" t="s">
        <v>1874</v>
      </c>
      <c r="D1583" s="491" t="s">
        <v>2018</v>
      </c>
      <c r="E1583" s="492" t="s">
        <v>367</v>
      </c>
      <c r="F1583" s="493">
        <v>36155.0</v>
      </c>
      <c r="G1583" s="493">
        <v>4851.0</v>
      </c>
      <c r="H1583" s="493">
        <v>13.42</v>
      </c>
      <c r="I1583" s="493">
        <v>15.2</v>
      </c>
      <c r="J1583" s="493">
        <v>6.15</v>
      </c>
      <c r="K1583" s="493">
        <v>296700.0</v>
      </c>
      <c r="L1583" s="493">
        <v>1952295.0</v>
      </c>
      <c r="M1583" s="493">
        <v>8.2063</v>
      </c>
      <c r="N1583" s="6">
        <v>61.1626</v>
      </c>
    </row>
    <row r="1584">
      <c r="A1584" s="491" t="s">
        <v>2022</v>
      </c>
      <c r="B1584" s="491" t="s">
        <v>163</v>
      </c>
      <c r="C1584" s="491" t="s">
        <v>1874</v>
      </c>
      <c r="D1584" s="491" t="s">
        <v>2018</v>
      </c>
      <c r="E1584" s="492" t="s">
        <v>44</v>
      </c>
      <c r="F1584" s="493">
        <v>36155.0</v>
      </c>
      <c r="G1584" s="493">
        <v>15809.0</v>
      </c>
      <c r="H1584" s="493">
        <v>43.73</v>
      </c>
      <c r="I1584" s="493">
        <v>13.2</v>
      </c>
      <c r="J1584" s="493">
        <v>15.52</v>
      </c>
      <c r="K1584" s="493">
        <v>257670.0</v>
      </c>
      <c r="L1584" s="493">
        <v>1952295.0</v>
      </c>
      <c r="M1584" s="493">
        <v>7.1268</v>
      </c>
      <c r="N1584" s="6">
        <v>16.2989</v>
      </c>
    </row>
    <row r="1585">
      <c r="A1585" s="491" t="s">
        <v>2022</v>
      </c>
      <c r="B1585" s="491" t="s">
        <v>163</v>
      </c>
      <c r="C1585" s="491" t="s">
        <v>1874</v>
      </c>
      <c r="D1585" s="491" t="s">
        <v>2018</v>
      </c>
      <c r="E1585" s="492" t="s">
        <v>189</v>
      </c>
      <c r="F1585" s="493">
        <v>36155.0</v>
      </c>
      <c r="G1585" s="493">
        <v>9995.0</v>
      </c>
      <c r="H1585" s="493">
        <v>27.64</v>
      </c>
      <c r="I1585" s="493">
        <v>8.06</v>
      </c>
      <c r="J1585" s="493">
        <v>9.54</v>
      </c>
      <c r="K1585" s="493">
        <v>157340.0</v>
      </c>
      <c r="L1585" s="493">
        <v>1952295.0</v>
      </c>
      <c r="M1585" s="493">
        <v>4.3518</v>
      </c>
      <c r="N1585" s="6">
        <v>15.7419</v>
      </c>
    </row>
    <row r="1586">
      <c r="A1586" s="491" t="s">
        <v>2022</v>
      </c>
      <c r="B1586" s="491" t="s">
        <v>163</v>
      </c>
      <c r="C1586" s="491" t="s">
        <v>1874</v>
      </c>
      <c r="D1586" s="491" t="s">
        <v>2018</v>
      </c>
      <c r="E1586" s="492" t="s">
        <v>35</v>
      </c>
      <c r="F1586" s="493">
        <v>36155.0</v>
      </c>
      <c r="G1586" s="493">
        <v>7404.0</v>
      </c>
      <c r="H1586" s="493">
        <v>20.48</v>
      </c>
      <c r="I1586" s="493">
        <v>6.26</v>
      </c>
      <c r="J1586" s="493">
        <v>6.79</v>
      </c>
      <c r="K1586" s="493">
        <v>122130.0</v>
      </c>
      <c r="L1586" s="493">
        <v>1952295.0</v>
      </c>
      <c r="M1586" s="493">
        <v>3.378</v>
      </c>
      <c r="N1586" s="6">
        <v>16.4951</v>
      </c>
    </row>
    <row r="1587">
      <c r="A1587" s="491" t="s">
        <v>2022</v>
      </c>
      <c r="B1587" s="491" t="s">
        <v>163</v>
      </c>
      <c r="C1587" s="491" t="s">
        <v>1874</v>
      </c>
      <c r="D1587" s="491" t="s">
        <v>2018</v>
      </c>
      <c r="E1587" s="492" t="s">
        <v>370</v>
      </c>
      <c r="F1587" s="493">
        <v>36155.0</v>
      </c>
      <c r="G1587" s="493">
        <v>293.0</v>
      </c>
      <c r="H1587" s="493">
        <v>0.81</v>
      </c>
      <c r="I1587" s="493">
        <v>0.43</v>
      </c>
      <c r="J1587" s="493">
        <v>0.43</v>
      </c>
      <c r="K1587" s="493">
        <v>8445.0</v>
      </c>
      <c r="L1587" s="493">
        <v>1952295.0</v>
      </c>
      <c r="M1587" s="493">
        <v>0.2336</v>
      </c>
      <c r="N1587" s="6">
        <v>28.8225</v>
      </c>
    </row>
    <row r="1588">
      <c r="A1588" s="491" t="s">
        <v>2022</v>
      </c>
      <c r="B1588" s="491" t="s">
        <v>163</v>
      </c>
      <c r="C1588" s="491" t="s">
        <v>1874</v>
      </c>
      <c r="D1588" s="491" t="s">
        <v>2018</v>
      </c>
      <c r="E1588" s="492" t="s">
        <v>40</v>
      </c>
      <c r="F1588" s="493">
        <v>36155.0</v>
      </c>
      <c r="G1588" s="493">
        <v>2.0</v>
      </c>
      <c r="H1588" s="493">
        <v>0.01</v>
      </c>
      <c r="I1588" s="493">
        <v>0.0</v>
      </c>
      <c r="J1588" s="493">
        <v>0.0</v>
      </c>
      <c r="K1588" s="493">
        <v>30.0</v>
      </c>
      <c r="L1588" s="493">
        <v>1952295.0</v>
      </c>
      <c r="M1588" s="493">
        <v>8.0E-4</v>
      </c>
      <c r="N1588" s="6">
        <v>15.0</v>
      </c>
    </row>
    <row r="1589">
      <c r="A1589" s="491" t="s">
        <v>2022</v>
      </c>
      <c r="B1589" s="491" t="s">
        <v>163</v>
      </c>
      <c r="C1589" s="491" t="s">
        <v>1874</v>
      </c>
      <c r="D1589" s="491" t="s">
        <v>2018</v>
      </c>
      <c r="E1589" s="492" t="s">
        <v>368</v>
      </c>
      <c r="F1589" s="493">
        <v>36155.0</v>
      </c>
      <c r="G1589" s="493">
        <v>3.0</v>
      </c>
      <c r="H1589" s="493">
        <v>0.01</v>
      </c>
      <c r="I1589" s="493">
        <v>0.0</v>
      </c>
      <c r="J1589" s="493">
        <v>0.0</v>
      </c>
      <c r="K1589" s="493">
        <v>30.0</v>
      </c>
      <c r="L1589" s="493">
        <v>1952295.0</v>
      </c>
      <c r="M1589" s="493">
        <v>8.0E-4</v>
      </c>
      <c r="N1589" s="6">
        <v>10.0</v>
      </c>
    </row>
    <row r="1590">
      <c r="A1590" s="491" t="s">
        <v>2022</v>
      </c>
      <c r="B1590" s="491" t="s">
        <v>163</v>
      </c>
      <c r="C1590" s="491" t="s">
        <v>1874</v>
      </c>
      <c r="D1590" s="491" t="s">
        <v>2018</v>
      </c>
      <c r="E1590" s="492" t="s">
        <v>371</v>
      </c>
      <c r="F1590" s="493">
        <v>36155.0</v>
      </c>
      <c r="G1590" s="493">
        <v>1.0</v>
      </c>
      <c r="H1590" s="493">
        <v>0.0</v>
      </c>
      <c r="I1590" s="493">
        <v>0.0</v>
      </c>
      <c r="J1590" s="493">
        <v>0.0</v>
      </c>
      <c r="K1590" s="493">
        <v>15.0</v>
      </c>
      <c r="L1590" s="493">
        <v>1952295.0</v>
      </c>
      <c r="M1590" s="493">
        <v>4.0E-4</v>
      </c>
      <c r="N1590" s="6">
        <v>15.0</v>
      </c>
    </row>
    <row r="1591">
      <c r="A1591" s="491" t="s">
        <v>2022</v>
      </c>
      <c r="B1591" s="491" t="s">
        <v>163</v>
      </c>
      <c r="C1591" s="491" t="s">
        <v>1875</v>
      </c>
      <c r="D1591" s="491" t="s">
        <v>2018</v>
      </c>
      <c r="E1591" s="492" t="s">
        <v>372</v>
      </c>
      <c r="F1591" s="493">
        <v>39806.0</v>
      </c>
      <c r="G1591" s="493">
        <v>27117.0</v>
      </c>
      <c r="H1591" s="493">
        <v>68.12</v>
      </c>
      <c r="I1591" s="493">
        <v>25.3</v>
      </c>
      <c r="J1591" s="493">
        <v>35.03</v>
      </c>
      <c r="K1591" s="493">
        <v>692655.0</v>
      </c>
      <c r="L1591" s="493">
        <v>2738200.0</v>
      </c>
      <c r="M1591" s="493">
        <v>17.4008</v>
      </c>
      <c r="N1591" s="6">
        <v>25.5432</v>
      </c>
    </row>
    <row r="1592">
      <c r="A1592" s="491" t="s">
        <v>2022</v>
      </c>
      <c r="B1592" s="491" t="s">
        <v>163</v>
      </c>
      <c r="C1592" s="491" t="s">
        <v>1875</v>
      </c>
      <c r="D1592" s="491" t="s">
        <v>2018</v>
      </c>
      <c r="E1592" s="492" t="s">
        <v>367</v>
      </c>
      <c r="F1592" s="493">
        <v>39806.0</v>
      </c>
      <c r="G1592" s="493">
        <v>7863.0</v>
      </c>
      <c r="H1592" s="493">
        <v>19.75</v>
      </c>
      <c r="I1592" s="493">
        <v>17.49</v>
      </c>
      <c r="J1592" s="493">
        <v>10.1</v>
      </c>
      <c r="K1592" s="493">
        <v>478920.0</v>
      </c>
      <c r="L1592" s="493">
        <v>2738200.0</v>
      </c>
      <c r="M1592" s="493">
        <v>12.0314</v>
      </c>
      <c r="N1592" s="6">
        <v>60.9081</v>
      </c>
    </row>
    <row r="1593">
      <c r="A1593" s="491" t="s">
        <v>2022</v>
      </c>
      <c r="B1593" s="491" t="s">
        <v>163</v>
      </c>
      <c r="C1593" s="491" t="s">
        <v>1875</v>
      </c>
      <c r="D1593" s="491" t="s">
        <v>2018</v>
      </c>
      <c r="E1593" s="492" t="s">
        <v>369</v>
      </c>
      <c r="F1593" s="493">
        <v>39806.0</v>
      </c>
      <c r="G1593" s="493">
        <v>20775.0</v>
      </c>
      <c r="H1593" s="493">
        <v>52.19</v>
      </c>
      <c r="I1593" s="493">
        <v>17.16</v>
      </c>
      <c r="J1593" s="493">
        <v>18.48</v>
      </c>
      <c r="K1593" s="493">
        <v>469805.0</v>
      </c>
      <c r="L1593" s="493">
        <v>2738200.0</v>
      </c>
      <c r="M1593" s="493">
        <v>11.8024</v>
      </c>
      <c r="N1593" s="6">
        <v>22.614</v>
      </c>
    </row>
    <row r="1594">
      <c r="A1594" s="491" t="s">
        <v>2022</v>
      </c>
      <c r="B1594" s="491" t="s">
        <v>163</v>
      </c>
      <c r="C1594" s="491" t="s">
        <v>1875</v>
      </c>
      <c r="D1594" s="491" t="s">
        <v>2018</v>
      </c>
      <c r="E1594" s="492" t="s">
        <v>134</v>
      </c>
      <c r="F1594" s="493">
        <v>39806.0</v>
      </c>
      <c r="G1594" s="493">
        <v>9387.0</v>
      </c>
      <c r="H1594" s="493">
        <v>23.58</v>
      </c>
      <c r="I1594" s="493">
        <v>16.48</v>
      </c>
      <c r="J1594" s="493">
        <v>9.36</v>
      </c>
      <c r="K1594" s="493">
        <v>451155.0</v>
      </c>
      <c r="L1594" s="493">
        <v>2738200.0</v>
      </c>
      <c r="M1594" s="493">
        <v>11.3338</v>
      </c>
      <c r="N1594" s="6">
        <v>48.0617</v>
      </c>
    </row>
    <row r="1595">
      <c r="A1595" s="491" t="s">
        <v>2022</v>
      </c>
      <c r="B1595" s="491" t="s">
        <v>163</v>
      </c>
      <c r="C1595" s="491" t="s">
        <v>1875</v>
      </c>
      <c r="D1595" s="491" t="s">
        <v>2018</v>
      </c>
      <c r="E1595" s="492" t="s">
        <v>44</v>
      </c>
      <c r="F1595" s="493">
        <v>39806.0</v>
      </c>
      <c r="G1595" s="493">
        <v>19237.0</v>
      </c>
      <c r="H1595" s="493">
        <v>48.33</v>
      </c>
      <c r="I1595" s="493">
        <v>11.54</v>
      </c>
      <c r="J1595" s="493">
        <v>13.49</v>
      </c>
      <c r="K1595" s="493">
        <v>316050.0</v>
      </c>
      <c r="L1595" s="493">
        <v>2738200.0</v>
      </c>
      <c r="M1595" s="493">
        <v>7.9398</v>
      </c>
      <c r="N1595" s="6">
        <v>16.4293</v>
      </c>
    </row>
    <row r="1596">
      <c r="A1596" s="491" t="s">
        <v>2022</v>
      </c>
      <c r="B1596" s="491" t="s">
        <v>163</v>
      </c>
      <c r="C1596" s="491" t="s">
        <v>1875</v>
      </c>
      <c r="D1596" s="491" t="s">
        <v>2018</v>
      </c>
      <c r="E1596" s="492" t="s">
        <v>189</v>
      </c>
      <c r="F1596" s="493">
        <v>39806.0</v>
      </c>
      <c r="G1596" s="493">
        <v>10314.0</v>
      </c>
      <c r="H1596" s="493">
        <v>25.91</v>
      </c>
      <c r="I1596" s="493">
        <v>6.62</v>
      </c>
      <c r="J1596" s="493">
        <v>7.48</v>
      </c>
      <c r="K1596" s="493">
        <v>181275.0</v>
      </c>
      <c r="L1596" s="493">
        <v>2738200.0</v>
      </c>
      <c r="M1596" s="493">
        <v>4.554</v>
      </c>
      <c r="N1596" s="6">
        <v>17.5756</v>
      </c>
    </row>
    <row r="1597">
      <c r="A1597" s="491" t="s">
        <v>2022</v>
      </c>
      <c r="B1597" s="491" t="s">
        <v>163</v>
      </c>
      <c r="C1597" s="491" t="s">
        <v>1875</v>
      </c>
      <c r="D1597" s="491" t="s">
        <v>2018</v>
      </c>
      <c r="E1597" s="492" t="s">
        <v>35</v>
      </c>
      <c r="F1597" s="493">
        <v>39806.0</v>
      </c>
      <c r="G1597" s="493">
        <v>8642.0</v>
      </c>
      <c r="H1597" s="493">
        <v>21.71</v>
      </c>
      <c r="I1597" s="493">
        <v>5.08</v>
      </c>
      <c r="J1597" s="493">
        <v>5.68</v>
      </c>
      <c r="K1597" s="493">
        <v>139230.0</v>
      </c>
      <c r="L1597" s="493">
        <v>2738200.0</v>
      </c>
      <c r="M1597" s="493">
        <v>3.4977</v>
      </c>
      <c r="N1597" s="6">
        <v>16.1109</v>
      </c>
    </row>
    <row r="1598">
      <c r="A1598" s="491" t="s">
        <v>2022</v>
      </c>
      <c r="B1598" s="491" t="s">
        <v>163</v>
      </c>
      <c r="C1598" s="491" t="s">
        <v>1875</v>
      </c>
      <c r="D1598" s="491" t="s">
        <v>2018</v>
      </c>
      <c r="E1598" s="492" t="s">
        <v>370</v>
      </c>
      <c r="F1598" s="493">
        <v>39806.0</v>
      </c>
      <c r="G1598" s="493">
        <v>326.0</v>
      </c>
      <c r="H1598" s="493">
        <v>0.82</v>
      </c>
      <c r="I1598" s="493">
        <v>0.33</v>
      </c>
      <c r="J1598" s="493">
        <v>0.37</v>
      </c>
      <c r="K1598" s="493">
        <v>9015.0</v>
      </c>
      <c r="L1598" s="493">
        <v>2738200.0</v>
      </c>
      <c r="M1598" s="493">
        <v>0.2265</v>
      </c>
      <c r="N1598" s="6">
        <v>27.6534</v>
      </c>
    </row>
    <row r="1599">
      <c r="A1599" s="491" t="s">
        <v>2022</v>
      </c>
      <c r="B1599" s="491" t="s">
        <v>163</v>
      </c>
      <c r="C1599" s="491" t="s">
        <v>1875</v>
      </c>
      <c r="D1599" s="491" t="s">
        <v>2018</v>
      </c>
      <c r="E1599" s="492" t="s">
        <v>373</v>
      </c>
      <c r="F1599" s="493">
        <v>39806.0</v>
      </c>
      <c r="G1599" s="493">
        <v>5.0</v>
      </c>
      <c r="H1599" s="493">
        <v>0.01</v>
      </c>
      <c r="I1599" s="493">
        <v>0.0</v>
      </c>
      <c r="J1599" s="493">
        <v>0.0</v>
      </c>
      <c r="K1599" s="493">
        <v>50.0</v>
      </c>
      <c r="L1599" s="493">
        <v>2738200.0</v>
      </c>
      <c r="M1599" s="493">
        <v>0.0013</v>
      </c>
      <c r="N1599" s="6">
        <v>10.0</v>
      </c>
    </row>
    <row r="1600">
      <c r="A1600" s="491" t="s">
        <v>2022</v>
      </c>
      <c r="B1600" s="491" t="s">
        <v>163</v>
      </c>
      <c r="C1600" s="491" t="s">
        <v>1875</v>
      </c>
      <c r="D1600" s="491" t="s">
        <v>2018</v>
      </c>
      <c r="E1600" s="492" t="s">
        <v>40</v>
      </c>
      <c r="F1600" s="493">
        <v>39806.0</v>
      </c>
      <c r="G1600" s="493">
        <v>2.0</v>
      </c>
      <c r="H1600" s="493">
        <v>0.01</v>
      </c>
      <c r="I1600" s="493">
        <v>0.0</v>
      </c>
      <c r="J1600" s="493">
        <v>0.0</v>
      </c>
      <c r="K1600" s="493">
        <v>30.0</v>
      </c>
      <c r="L1600" s="493">
        <v>2738200.0</v>
      </c>
      <c r="M1600" s="493">
        <v>8.0E-4</v>
      </c>
      <c r="N1600" s="6">
        <v>15.0</v>
      </c>
    </row>
    <row r="1601">
      <c r="A1601" s="491" t="s">
        <v>2022</v>
      </c>
      <c r="B1601" s="491" t="s">
        <v>163</v>
      </c>
      <c r="C1601" s="491" t="s">
        <v>1875</v>
      </c>
      <c r="D1601" s="491" t="s">
        <v>2018</v>
      </c>
      <c r="E1601" s="492" t="s">
        <v>371</v>
      </c>
      <c r="F1601" s="493">
        <v>39806.0</v>
      </c>
      <c r="G1601" s="493">
        <v>1.0</v>
      </c>
      <c r="H1601" s="493">
        <v>0.0</v>
      </c>
      <c r="I1601" s="493">
        <v>0.0</v>
      </c>
      <c r="J1601" s="493">
        <v>0.0</v>
      </c>
      <c r="K1601" s="493">
        <v>15.0</v>
      </c>
      <c r="L1601" s="493">
        <v>2738200.0</v>
      </c>
      <c r="M1601" s="493">
        <v>4.0E-4</v>
      </c>
      <c r="N1601" s="6">
        <v>15.0</v>
      </c>
    </row>
    <row r="1602">
      <c r="A1602" s="491" t="s">
        <v>2022</v>
      </c>
      <c r="B1602" s="491" t="s">
        <v>163</v>
      </c>
      <c r="C1602" s="491" t="s">
        <v>75</v>
      </c>
      <c r="D1602" s="491" t="s">
        <v>2018</v>
      </c>
      <c r="E1602" s="492" t="s">
        <v>371</v>
      </c>
      <c r="F1602" s="493">
        <v>46546.0</v>
      </c>
      <c r="G1602" s="493">
        <v>45999.0</v>
      </c>
      <c r="H1602" s="493">
        <v>98.82</v>
      </c>
      <c r="I1602" s="493">
        <v>45.13</v>
      </c>
      <c r="J1602" s="493">
        <v>40.62</v>
      </c>
      <c r="K1602" s="493">
        <v>2.6849135E7</v>
      </c>
      <c r="L1602" s="493">
        <v>5.9498958E7</v>
      </c>
      <c r="M1602" s="493">
        <v>576.8301</v>
      </c>
      <c r="N1602" s="6">
        <v>583.6895</v>
      </c>
    </row>
    <row r="1603">
      <c r="A1603" s="491" t="s">
        <v>2022</v>
      </c>
      <c r="B1603" s="491" t="s">
        <v>163</v>
      </c>
      <c r="C1603" s="491" t="s">
        <v>75</v>
      </c>
      <c r="D1603" s="491" t="s">
        <v>2018</v>
      </c>
      <c r="E1603" s="492" t="s">
        <v>49</v>
      </c>
      <c r="F1603" s="493">
        <v>46546.0</v>
      </c>
      <c r="G1603" s="493">
        <v>33835.0</v>
      </c>
      <c r="H1603" s="493">
        <v>72.69</v>
      </c>
      <c r="I1603" s="493">
        <v>11.26</v>
      </c>
      <c r="J1603" s="493">
        <v>12.37</v>
      </c>
      <c r="K1603" s="493">
        <v>6696820.0</v>
      </c>
      <c r="L1603" s="493">
        <v>5.9498958E7</v>
      </c>
      <c r="M1603" s="493">
        <v>143.8753</v>
      </c>
      <c r="N1603" s="6">
        <v>197.9258</v>
      </c>
    </row>
    <row r="1604">
      <c r="A1604" s="491" t="s">
        <v>2022</v>
      </c>
      <c r="B1604" s="491" t="s">
        <v>163</v>
      </c>
      <c r="C1604" s="491" t="s">
        <v>75</v>
      </c>
      <c r="D1604" s="491" t="s">
        <v>2018</v>
      </c>
      <c r="E1604" s="492" t="s">
        <v>366</v>
      </c>
      <c r="F1604" s="493">
        <v>46546.0</v>
      </c>
      <c r="G1604" s="493">
        <v>36508.0</v>
      </c>
      <c r="H1604" s="493">
        <v>78.43</v>
      </c>
      <c r="I1604" s="493">
        <v>9.45</v>
      </c>
      <c r="J1604" s="493">
        <v>10.49</v>
      </c>
      <c r="K1604" s="493">
        <v>5621220.0</v>
      </c>
      <c r="L1604" s="493">
        <v>5.9498958E7</v>
      </c>
      <c r="M1604" s="493">
        <v>120.767</v>
      </c>
      <c r="N1604" s="6">
        <v>153.9723</v>
      </c>
    </row>
    <row r="1605">
      <c r="A1605" s="491" t="s">
        <v>2022</v>
      </c>
      <c r="B1605" s="491" t="s">
        <v>163</v>
      </c>
      <c r="C1605" s="491" t="s">
        <v>75</v>
      </c>
      <c r="D1605" s="491" t="s">
        <v>2018</v>
      </c>
      <c r="E1605" s="492" t="s">
        <v>367</v>
      </c>
      <c r="F1605" s="493">
        <v>46546.0</v>
      </c>
      <c r="G1605" s="493">
        <v>32453.0</v>
      </c>
      <c r="H1605" s="493">
        <v>69.72</v>
      </c>
      <c r="I1605" s="493">
        <v>7.21</v>
      </c>
      <c r="J1605" s="493">
        <v>6.53</v>
      </c>
      <c r="K1605" s="493">
        <v>4291175.0</v>
      </c>
      <c r="L1605" s="493">
        <v>5.9498958E7</v>
      </c>
      <c r="M1605" s="493">
        <v>92.1921</v>
      </c>
      <c r="N1605" s="6">
        <v>132.2274</v>
      </c>
    </row>
    <row r="1606">
      <c r="A1606" s="491" t="s">
        <v>2022</v>
      </c>
      <c r="B1606" s="491" t="s">
        <v>163</v>
      </c>
      <c r="C1606" s="491" t="s">
        <v>75</v>
      </c>
      <c r="D1606" s="491" t="s">
        <v>2018</v>
      </c>
      <c r="E1606" s="492" t="s">
        <v>44</v>
      </c>
      <c r="F1606" s="493">
        <v>46546.0</v>
      </c>
      <c r="G1606" s="493">
        <v>27964.0</v>
      </c>
      <c r="H1606" s="493">
        <v>60.08</v>
      </c>
      <c r="I1606" s="493">
        <v>6.24</v>
      </c>
      <c r="J1606" s="493">
        <v>7.36</v>
      </c>
      <c r="K1606" s="493">
        <v>3711900.0</v>
      </c>
      <c r="L1606" s="493">
        <v>5.9498958E7</v>
      </c>
      <c r="M1606" s="493">
        <v>79.7469</v>
      </c>
      <c r="N1606" s="6">
        <v>132.7385</v>
      </c>
    </row>
    <row r="1607">
      <c r="A1607" s="491" t="s">
        <v>2022</v>
      </c>
      <c r="B1607" s="491" t="s">
        <v>163</v>
      </c>
      <c r="C1607" s="491" t="s">
        <v>75</v>
      </c>
      <c r="D1607" s="491" t="s">
        <v>2018</v>
      </c>
      <c r="E1607" s="492" t="s">
        <v>372</v>
      </c>
      <c r="F1607" s="493">
        <v>46546.0</v>
      </c>
      <c r="G1607" s="493">
        <v>27759.0</v>
      </c>
      <c r="H1607" s="493">
        <v>59.64</v>
      </c>
      <c r="I1607" s="493">
        <v>5.77</v>
      </c>
      <c r="J1607" s="493">
        <v>8.53</v>
      </c>
      <c r="K1607" s="493">
        <v>3435465.0</v>
      </c>
      <c r="L1607" s="493">
        <v>5.9498958E7</v>
      </c>
      <c r="M1607" s="493">
        <v>73.808</v>
      </c>
      <c r="N1607" s="6">
        <v>123.7604</v>
      </c>
    </row>
    <row r="1608">
      <c r="A1608" s="491" t="s">
        <v>2022</v>
      </c>
      <c r="B1608" s="491" t="s">
        <v>163</v>
      </c>
      <c r="C1608" s="491" t="s">
        <v>75</v>
      </c>
      <c r="D1608" s="491" t="s">
        <v>2018</v>
      </c>
      <c r="E1608" s="492" t="s">
        <v>369</v>
      </c>
      <c r="F1608" s="493">
        <v>46546.0</v>
      </c>
      <c r="G1608" s="493">
        <v>19231.0</v>
      </c>
      <c r="H1608" s="493">
        <v>41.32</v>
      </c>
      <c r="I1608" s="493">
        <v>3.5</v>
      </c>
      <c r="J1608" s="493">
        <v>3.34</v>
      </c>
      <c r="K1608" s="493">
        <v>2083970.0</v>
      </c>
      <c r="L1608" s="493">
        <v>5.9498958E7</v>
      </c>
      <c r="M1608" s="493">
        <v>44.7723</v>
      </c>
      <c r="N1608" s="6">
        <v>108.3651</v>
      </c>
    </row>
    <row r="1609">
      <c r="A1609" s="491" t="s">
        <v>2022</v>
      </c>
      <c r="B1609" s="491" t="s">
        <v>163</v>
      </c>
      <c r="C1609" s="491" t="s">
        <v>75</v>
      </c>
      <c r="D1609" s="491" t="s">
        <v>2018</v>
      </c>
      <c r="E1609" s="492" t="s">
        <v>368</v>
      </c>
      <c r="F1609" s="493">
        <v>46546.0</v>
      </c>
      <c r="G1609" s="493">
        <v>20305.0</v>
      </c>
      <c r="H1609" s="493">
        <v>43.62</v>
      </c>
      <c r="I1609" s="493">
        <v>3.49</v>
      </c>
      <c r="J1609" s="493">
        <v>3.2</v>
      </c>
      <c r="K1609" s="493">
        <v>2073670.0</v>
      </c>
      <c r="L1609" s="493">
        <v>5.9498958E7</v>
      </c>
      <c r="M1609" s="493">
        <v>44.551</v>
      </c>
      <c r="N1609" s="6">
        <v>102.1261</v>
      </c>
    </row>
    <row r="1610">
      <c r="A1610" s="491" t="s">
        <v>2022</v>
      </c>
      <c r="B1610" s="491" t="s">
        <v>163</v>
      </c>
      <c r="C1610" s="491" t="s">
        <v>75</v>
      </c>
      <c r="D1610" s="491" t="s">
        <v>2018</v>
      </c>
      <c r="E1610" s="492" t="s">
        <v>35</v>
      </c>
      <c r="F1610" s="493">
        <v>46546.0</v>
      </c>
      <c r="G1610" s="493">
        <v>13488.0</v>
      </c>
      <c r="H1610" s="493">
        <v>28.98</v>
      </c>
      <c r="I1610" s="493">
        <v>2.9</v>
      </c>
      <c r="J1610" s="493">
        <v>2.43</v>
      </c>
      <c r="K1610" s="493">
        <v>1723350.0</v>
      </c>
      <c r="L1610" s="493">
        <v>5.9498958E7</v>
      </c>
      <c r="M1610" s="493">
        <v>37.0247</v>
      </c>
      <c r="N1610" s="6">
        <v>127.7691</v>
      </c>
    </row>
    <row r="1611">
      <c r="A1611" s="491" t="s">
        <v>2022</v>
      </c>
      <c r="B1611" s="491" t="s">
        <v>163</v>
      </c>
      <c r="C1611" s="491" t="s">
        <v>75</v>
      </c>
      <c r="D1611" s="491" t="s">
        <v>2018</v>
      </c>
      <c r="E1611" s="492" t="s">
        <v>189</v>
      </c>
      <c r="F1611" s="493">
        <v>46546.0</v>
      </c>
      <c r="G1611" s="493">
        <v>9880.0</v>
      </c>
      <c r="H1611" s="493">
        <v>21.23</v>
      </c>
      <c r="I1611" s="493">
        <v>1.32</v>
      </c>
      <c r="J1611" s="493">
        <v>1.19</v>
      </c>
      <c r="K1611" s="493">
        <v>786030.0</v>
      </c>
      <c r="L1611" s="493">
        <v>5.9498958E7</v>
      </c>
      <c r="M1611" s="493">
        <v>16.8872</v>
      </c>
      <c r="N1611" s="6">
        <v>79.5577</v>
      </c>
    </row>
    <row r="1612">
      <c r="A1612" s="491" t="s">
        <v>2022</v>
      </c>
      <c r="B1612" s="491" t="s">
        <v>163</v>
      </c>
      <c r="C1612" s="491" t="s">
        <v>75</v>
      </c>
      <c r="D1612" s="491" t="s">
        <v>2018</v>
      </c>
      <c r="E1612" s="492" t="s">
        <v>32</v>
      </c>
      <c r="F1612" s="493">
        <v>46546.0</v>
      </c>
      <c r="G1612" s="493">
        <v>13486.0</v>
      </c>
      <c r="H1612" s="493">
        <v>28.97</v>
      </c>
      <c r="I1612" s="493">
        <v>0.97</v>
      </c>
      <c r="J1612" s="493">
        <v>1.14</v>
      </c>
      <c r="K1612" s="493">
        <v>579480.0</v>
      </c>
      <c r="L1612" s="493">
        <v>5.9498958E7</v>
      </c>
      <c r="M1612" s="493">
        <v>12.4496</v>
      </c>
      <c r="N1612" s="6">
        <v>42.969</v>
      </c>
    </row>
    <row r="1613">
      <c r="A1613" s="491" t="s">
        <v>2022</v>
      </c>
      <c r="B1613" s="491" t="s">
        <v>163</v>
      </c>
      <c r="C1613" s="491" t="s">
        <v>75</v>
      </c>
      <c r="D1613" s="491" t="s">
        <v>2018</v>
      </c>
      <c r="E1613" s="492" t="s">
        <v>43</v>
      </c>
      <c r="F1613" s="493">
        <v>46546.0</v>
      </c>
      <c r="G1613" s="493">
        <v>13433.0</v>
      </c>
      <c r="H1613" s="493">
        <v>28.86</v>
      </c>
      <c r="I1613" s="493">
        <v>0.89</v>
      </c>
      <c r="J1613" s="493">
        <v>1.08</v>
      </c>
      <c r="K1613" s="493">
        <v>529090.0</v>
      </c>
      <c r="L1613" s="493">
        <v>5.9498958E7</v>
      </c>
      <c r="M1613" s="493">
        <v>11.367</v>
      </c>
      <c r="N1613" s="6">
        <v>39.3873</v>
      </c>
    </row>
    <row r="1614">
      <c r="A1614" s="491" t="s">
        <v>2022</v>
      </c>
      <c r="B1614" s="491" t="s">
        <v>163</v>
      </c>
      <c r="C1614" s="491" t="s">
        <v>75</v>
      </c>
      <c r="D1614" s="491" t="s">
        <v>2018</v>
      </c>
      <c r="E1614" s="492" t="s">
        <v>365</v>
      </c>
      <c r="F1614" s="493">
        <v>46546.0</v>
      </c>
      <c r="G1614" s="493">
        <v>10386.0</v>
      </c>
      <c r="H1614" s="493">
        <v>22.31</v>
      </c>
      <c r="I1614" s="493">
        <v>0.77</v>
      </c>
      <c r="J1614" s="493">
        <v>0.62</v>
      </c>
      <c r="K1614" s="493">
        <v>456480.0</v>
      </c>
      <c r="L1614" s="493">
        <v>5.9498958E7</v>
      </c>
      <c r="M1614" s="493">
        <v>9.8071</v>
      </c>
      <c r="N1614" s="6">
        <v>43.9515</v>
      </c>
    </row>
    <row r="1615">
      <c r="A1615" s="491" t="s">
        <v>2022</v>
      </c>
      <c r="B1615" s="491" t="s">
        <v>163</v>
      </c>
      <c r="C1615" s="491" t="s">
        <v>75</v>
      </c>
      <c r="D1615" s="491" t="s">
        <v>2018</v>
      </c>
      <c r="E1615" s="492" t="s">
        <v>370</v>
      </c>
      <c r="F1615" s="493">
        <v>46546.0</v>
      </c>
      <c r="G1615" s="493">
        <v>10541.0</v>
      </c>
      <c r="H1615" s="493">
        <v>22.65</v>
      </c>
      <c r="I1615" s="493">
        <v>0.7</v>
      </c>
      <c r="J1615" s="493">
        <v>0.73</v>
      </c>
      <c r="K1615" s="493">
        <v>415953.0</v>
      </c>
      <c r="L1615" s="493">
        <v>5.9498958E7</v>
      </c>
      <c r="M1615" s="493">
        <v>8.9364</v>
      </c>
      <c r="N1615" s="6">
        <v>39.4605</v>
      </c>
    </row>
    <row r="1616">
      <c r="A1616" s="491" t="s">
        <v>2022</v>
      </c>
      <c r="B1616" s="491" t="s">
        <v>163</v>
      </c>
      <c r="C1616" s="491" t="s">
        <v>75</v>
      </c>
      <c r="D1616" s="491" t="s">
        <v>2018</v>
      </c>
      <c r="E1616" s="492" t="s">
        <v>134</v>
      </c>
      <c r="F1616" s="493">
        <v>46546.0</v>
      </c>
      <c r="G1616" s="493">
        <v>4891.0</v>
      </c>
      <c r="H1616" s="493">
        <v>10.51</v>
      </c>
      <c r="I1616" s="493">
        <v>0.34</v>
      </c>
      <c r="J1616" s="493">
        <v>0.27</v>
      </c>
      <c r="K1616" s="493">
        <v>204560.0</v>
      </c>
      <c r="L1616" s="493">
        <v>5.9498958E7</v>
      </c>
      <c r="M1616" s="493">
        <v>4.3948</v>
      </c>
      <c r="N1616" s="6">
        <v>41.8238</v>
      </c>
    </row>
    <row r="1617">
      <c r="A1617" s="491" t="s">
        <v>2022</v>
      </c>
      <c r="B1617" s="491" t="s">
        <v>163</v>
      </c>
      <c r="C1617" s="491" t="s">
        <v>75</v>
      </c>
      <c r="D1617" s="491" t="s">
        <v>2018</v>
      </c>
      <c r="E1617" s="492" t="s">
        <v>50</v>
      </c>
      <c r="F1617" s="493">
        <v>46546.0</v>
      </c>
      <c r="G1617" s="493">
        <v>786.0</v>
      </c>
      <c r="H1617" s="493">
        <v>1.69</v>
      </c>
      <c r="I1617" s="493">
        <v>0.07</v>
      </c>
      <c r="J1617" s="493">
        <v>0.11</v>
      </c>
      <c r="K1617" s="493">
        <v>40525.0</v>
      </c>
      <c r="L1617" s="493">
        <v>5.9498958E7</v>
      </c>
      <c r="M1617" s="493">
        <v>0.8706</v>
      </c>
      <c r="N1617" s="6">
        <v>51.5585</v>
      </c>
    </row>
    <row r="1618">
      <c r="A1618" s="491" t="s">
        <v>2022</v>
      </c>
      <c r="B1618" s="491" t="s">
        <v>163</v>
      </c>
      <c r="C1618" s="491" t="s">
        <v>75</v>
      </c>
      <c r="D1618" s="491" t="s">
        <v>2018</v>
      </c>
      <c r="E1618" s="492" t="s">
        <v>42</v>
      </c>
      <c r="F1618" s="493">
        <v>46546.0</v>
      </c>
      <c r="G1618" s="493">
        <v>1.0</v>
      </c>
      <c r="H1618" s="493">
        <v>0.0</v>
      </c>
      <c r="I1618" s="493">
        <v>0.0</v>
      </c>
      <c r="J1618" s="493">
        <v>0.0</v>
      </c>
      <c r="K1618" s="493">
        <v>40.0</v>
      </c>
      <c r="L1618" s="493">
        <v>5.9498958E7</v>
      </c>
      <c r="M1618" s="493">
        <v>9.0E-4</v>
      </c>
      <c r="N1618" s="6">
        <v>40.0</v>
      </c>
    </row>
    <row r="1619">
      <c r="A1619" s="491" t="s">
        <v>2022</v>
      </c>
      <c r="B1619" s="491" t="s">
        <v>163</v>
      </c>
      <c r="C1619" s="491" t="s">
        <v>75</v>
      </c>
      <c r="D1619" s="491" t="s">
        <v>2018</v>
      </c>
      <c r="E1619" s="492" t="s">
        <v>373</v>
      </c>
      <c r="F1619" s="493">
        <v>46546.0</v>
      </c>
      <c r="G1619" s="493">
        <v>2.0</v>
      </c>
      <c r="H1619" s="493">
        <v>0.0</v>
      </c>
      <c r="I1619" s="493">
        <v>0.0</v>
      </c>
      <c r="J1619" s="493">
        <v>0.0</v>
      </c>
      <c r="K1619" s="493">
        <v>30.0</v>
      </c>
      <c r="L1619" s="493">
        <v>5.9498958E7</v>
      </c>
      <c r="M1619" s="493">
        <v>6.0E-4</v>
      </c>
      <c r="N1619" s="6">
        <v>15.0</v>
      </c>
    </row>
    <row r="1620">
      <c r="A1620" s="491" t="s">
        <v>2022</v>
      </c>
      <c r="B1620" s="491" t="s">
        <v>163</v>
      </c>
      <c r="C1620" s="491" t="s">
        <v>75</v>
      </c>
      <c r="D1620" s="491" t="s">
        <v>2018</v>
      </c>
      <c r="E1620" s="492" t="s">
        <v>40</v>
      </c>
      <c r="F1620" s="493">
        <v>46546.0</v>
      </c>
      <c r="G1620" s="493">
        <v>1.0</v>
      </c>
      <c r="H1620" s="493">
        <v>0.0</v>
      </c>
      <c r="I1620" s="493">
        <v>0.0</v>
      </c>
      <c r="J1620" s="493">
        <v>0.0</v>
      </c>
      <c r="K1620" s="493">
        <v>65.0</v>
      </c>
      <c r="L1620" s="493">
        <v>5.9498958E7</v>
      </c>
      <c r="M1620" s="493">
        <v>0.0014</v>
      </c>
      <c r="N1620" s="6">
        <v>65.0</v>
      </c>
    </row>
    <row r="1621">
      <c r="A1621" s="491" t="s">
        <v>2022</v>
      </c>
      <c r="B1621" s="491" t="s">
        <v>1857</v>
      </c>
      <c r="C1621" s="491" t="s">
        <v>71</v>
      </c>
      <c r="D1621" s="491" t="s">
        <v>565</v>
      </c>
      <c r="E1621" s="492" t="s">
        <v>371</v>
      </c>
      <c r="F1621" s="493">
        <v>24583.0</v>
      </c>
      <c r="G1621" s="493">
        <v>22127.0</v>
      </c>
      <c r="H1621" s="493">
        <v>90.01</v>
      </c>
      <c r="I1621" s="493">
        <v>42.18</v>
      </c>
      <c r="J1621" s="493">
        <v>39.21</v>
      </c>
      <c r="K1621" s="493">
        <v>127638.0</v>
      </c>
      <c r="L1621" s="493">
        <v>302624.0</v>
      </c>
      <c r="M1621" s="493">
        <v>5.1921</v>
      </c>
      <c r="N1621" s="6">
        <v>5.7684</v>
      </c>
    </row>
    <row r="1622">
      <c r="A1622" s="491" t="s">
        <v>2022</v>
      </c>
      <c r="B1622" s="491" t="s">
        <v>1857</v>
      </c>
      <c r="C1622" s="491" t="s">
        <v>71</v>
      </c>
      <c r="D1622" s="491" t="s">
        <v>565</v>
      </c>
      <c r="E1622" s="492" t="s">
        <v>370</v>
      </c>
      <c r="F1622" s="493">
        <v>24583.0</v>
      </c>
      <c r="G1622" s="493">
        <v>18422.0</v>
      </c>
      <c r="H1622" s="493">
        <v>74.94</v>
      </c>
      <c r="I1622" s="493">
        <v>14.62</v>
      </c>
      <c r="J1622" s="493">
        <v>18.22</v>
      </c>
      <c r="K1622" s="493">
        <v>44241.0</v>
      </c>
      <c r="L1622" s="493">
        <v>302624.0</v>
      </c>
      <c r="M1622" s="493">
        <v>1.7997</v>
      </c>
      <c r="N1622" s="6">
        <v>2.4015</v>
      </c>
    </row>
    <row r="1623">
      <c r="A1623" s="491" t="s">
        <v>2022</v>
      </c>
      <c r="B1623" s="491" t="s">
        <v>1857</v>
      </c>
      <c r="C1623" s="491" t="s">
        <v>71</v>
      </c>
      <c r="D1623" s="491" t="s">
        <v>565</v>
      </c>
      <c r="E1623" s="492" t="s">
        <v>372</v>
      </c>
      <c r="F1623" s="493">
        <v>24583.0</v>
      </c>
      <c r="G1623" s="493">
        <v>12986.0</v>
      </c>
      <c r="H1623" s="493">
        <v>52.83</v>
      </c>
      <c r="I1623" s="493">
        <v>14.37</v>
      </c>
      <c r="J1623" s="493">
        <v>13.13</v>
      </c>
      <c r="K1623" s="493">
        <v>43481.0</v>
      </c>
      <c r="L1623" s="493">
        <v>302624.0</v>
      </c>
      <c r="M1623" s="493">
        <v>1.7687</v>
      </c>
      <c r="N1623" s="6">
        <v>3.3483</v>
      </c>
    </row>
    <row r="1624">
      <c r="A1624" s="491" t="s">
        <v>2022</v>
      </c>
      <c r="B1624" s="491" t="s">
        <v>1857</v>
      </c>
      <c r="C1624" s="491" t="s">
        <v>71</v>
      </c>
      <c r="D1624" s="491" t="s">
        <v>565</v>
      </c>
      <c r="E1624" s="492" t="s">
        <v>49</v>
      </c>
      <c r="F1624" s="493">
        <v>24583.0</v>
      </c>
      <c r="G1624" s="493">
        <v>12776.0</v>
      </c>
      <c r="H1624" s="493">
        <v>51.97</v>
      </c>
      <c r="I1624" s="493">
        <v>8.9</v>
      </c>
      <c r="J1624" s="493">
        <v>9.42</v>
      </c>
      <c r="K1624" s="493">
        <v>26923.0</v>
      </c>
      <c r="L1624" s="493">
        <v>302624.0</v>
      </c>
      <c r="M1624" s="493">
        <v>1.0952</v>
      </c>
      <c r="N1624" s="6">
        <v>2.1073</v>
      </c>
    </row>
    <row r="1625">
      <c r="A1625" s="491" t="s">
        <v>2022</v>
      </c>
      <c r="B1625" s="491" t="s">
        <v>1857</v>
      </c>
      <c r="C1625" s="491" t="s">
        <v>71</v>
      </c>
      <c r="D1625" s="491" t="s">
        <v>565</v>
      </c>
      <c r="E1625" s="492" t="s">
        <v>44</v>
      </c>
      <c r="F1625" s="493">
        <v>24583.0</v>
      </c>
      <c r="G1625" s="493">
        <v>12600.0</v>
      </c>
      <c r="H1625" s="493">
        <v>51.25</v>
      </c>
      <c r="I1625" s="493">
        <v>6.32</v>
      </c>
      <c r="J1625" s="493">
        <v>6.65</v>
      </c>
      <c r="K1625" s="493">
        <v>19113.0</v>
      </c>
      <c r="L1625" s="493">
        <v>302624.0</v>
      </c>
      <c r="M1625" s="493">
        <v>0.7775</v>
      </c>
      <c r="N1625" s="6">
        <v>1.5169</v>
      </c>
    </row>
    <row r="1626">
      <c r="A1626" s="491" t="s">
        <v>2022</v>
      </c>
      <c r="B1626" s="491" t="s">
        <v>1857</v>
      </c>
      <c r="C1626" s="491" t="s">
        <v>71</v>
      </c>
      <c r="D1626" s="491" t="s">
        <v>565</v>
      </c>
      <c r="E1626" s="492" t="s">
        <v>366</v>
      </c>
      <c r="F1626" s="493">
        <v>24583.0</v>
      </c>
      <c r="G1626" s="493">
        <v>9207.0</v>
      </c>
      <c r="H1626" s="493">
        <v>37.45</v>
      </c>
      <c r="I1626" s="493">
        <v>4.18</v>
      </c>
      <c r="J1626" s="493">
        <v>4.64</v>
      </c>
      <c r="K1626" s="493">
        <v>12664.0</v>
      </c>
      <c r="L1626" s="493">
        <v>302624.0</v>
      </c>
      <c r="M1626" s="493">
        <v>0.5152</v>
      </c>
      <c r="N1626" s="6">
        <v>1.3755</v>
      </c>
    </row>
    <row r="1627">
      <c r="A1627" s="491" t="s">
        <v>2022</v>
      </c>
      <c r="B1627" s="491" t="s">
        <v>1857</v>
      </c>
      <c r="C1627" s="491" t="s">
        <v>71</v>
      </c>
      <c r="D1627" s="491" t="s">
        <v>565</v>
      </c>
      <c r="E1627" s="492" t="s">
        <v>42</v>
      </c>
      <c r="F1627" s="493">
        <v>24583.0</v>
      </c>
      <c r="G1627" s="493">
        <v>7092.0</v>
      </c>
      <c r="H1627" s="493">
        <v>28.85</v>
      </c>
      <c r="I1627" s="493">
        <v>3.44</v>
      </c>
      <c r="J1627" s="493">
        <v>4.1</v>
      </c>
      <c r="K1627" s="493">
        <v>10410.0</v>
      </c>
      <c r="L1627" s="493">
        <v>302624.0</v>
      </c>
      <c r="M1627" s="493">
        <v>0.4235</v>
      </c>
      <c r="N1627" s="6">
        <v>1.4679</v>
      </c>
    </row>
    <row r="1628">
      <c r="A1628" s="491" t="s">
        <v>2022</v>
      </c>
      <c r="B1628" s="491" t="s">
        <v>1857</v>
      </c>
      <c r="C1628" s="491" t="s">
        <v>71</v>
      </c>
      <c r="D1628" s="491" t="s">
        <v>565</v>
      </c>
      <c r="E1628" s="492" t="s">
        <v>134</v>
      </c>
      <c r="F1628" s="493">
        <v>24583.0</v>
      </c>
      <c r="G1628" s="493">
        <v>4250.0</v>
      </c>
      <c r="H1628" s="493">
        <v>17.29</v>
      </c>
      <c r="I1628" s="493">
        <v>2.58</v>
      </c>
      <c r="J1628" s="493">
        <v>2.02</v>
      </c>
      <c r="K1628" s="493">
        <v>7802.0</v>
      </c>
      <c r="L1628" s="493">
        <v>302624.0</v>
      </c>
      <c r="M1628" s="493">
        <v>0.3174</v>
      </c>
      <c r="N1628" s="6">
        <v>1.8358</v>
      </c>
    </row>
    <row r="1629">
      <c r="A1629" s="491" t="s">
        <v>2022</v>
      </c>
      <c r="B1629" s="491" t="s">
        <v>1857</v>
      </c>
      <c r="C1629" s="491" t="s">
        <v>71</v>
      </c>
      <c r="D1629" s="491" t="s">
        <v>565</v>
      </c>
      <c r="E1629" s="492" t="s">
        <v>50</v>
      </c>
      <c r="F1629" s="493">
        <v>24583.0</v>
      </c>
      <c r="G1629" s="493">
        <v>3448.0</v>
      </c>
      <c r="H1629" s="493">
        <v>14.03</v>
      </c>
      <c r="I1629" s="493">
        <v>1.46</v>
      </c>
      <c r="J1629" s="493">
        <v>1.37</v>
      </c>
      <c r="K1629" s="493">
        <v>4421.0</v>
      </c>
      <c r="L1629" s="493">
        <v>302624.0</v>
      </c>
      <c r="M1629" s="493">
        <v>0.1798</v>
      </c>
      <c r="N1629" s="6">
        <v>1.2822</v>
      </c>
    </row>
    <row r="1630">
      <c r="A1630" s="491" t="s">
        <v>2022</v>
      </c>
      <c r="B1630" s="491" t="s">
        <v>1857</v>
      </c>
      <c r="C1630" s="491" t="s">
        <v>71</v>
      </c>
      <c r="D1630" s="491" t="s">
        <v>565</v>
      </c>
      <c r="E1630" s="492" t="s">
        <v>369</v>
      </c>
      <c r="F1630" s="493">
        <v>24583.0</v>
      </c>
      <c r="G1630" s="493">
        <v>2359.0</v>
      </c>
      <c r="H1630" s="493">
        <v>9.6</v>
      </c>
      <c r="I1630" s="493">
        <v>0.88</v>
      </c>
      <c r="J1630" s="493">
        <v>0.46</v>
      </c>
      <c r="K1630" s="493">
        <v>2676.0</v>
      </c>
      <c r="L1630" s="493">
        <v>302624.0</v>
      </c>
      <c r="M1630" s="493">
        <v>0.1089</v>
      </c>
      <c r="N1630" s="6">
        <v>1.1344</v>
      </c>
    </row>
    <row r="1631">
      <c r="A1631" s="491" t="s">
        <v>2022</v>
      </c>
      <c r="B1631" s="491" t="s">
        <v>1857</v>
      </c>
      <c r="C1631" s="491" t="s">
        <v>71</v>
      </c>
      <c r="D1631" s="491" t="s">
        <v>565</v>
      </c>
      <c r="E1631" s="492" t="s">
        <v>35</v>
      </c>
      <c r="F1631" s="493">
        <v>24583.0</v>
      </c>
      <c r="G1631" s="493">
        <v>1863.0</v>
      </c>
      <c r="H1631" s="493">
        <v>7.58</v>
      </c>
      <c r="I1631" s="493">
        <v>0.67</v>
      </c>
      <c r="J1631" s="493">
        <v>0.44</v>
      </c>
      <c r="K1631" s="493">
        <v>2023.0</v>
      </c>
      <c r="L1631" s="493">
        <v>302624.0</v>
      </c>
      <c r="M1631" s="493">
        <v>0.0823</v>
      </c>
      <c r="N1631" s="6">
        <v>1.0859</v>
      </c>
    </row>
    <row r="1632">
      <c r="A1632" s="491" t="s">
        <v>2022</v>
      </c>
      <c r="B1632" s="491" t="s">
        <v>1857</v>
      </c>
      <c r="C1632" s="491" t="s">
        <v>71</v>
      </c>
      <c r="D1632" s="491" t="s">
        <v>565</v>
      </c>
      <c r="E1632" s="492" t="s">
        <v>43</v>
      </c>
      <c r="F1632" s="493">
        <v>24583.0</v>
      </c>
      <c r="G1632" s="493">
        <v>583.0</v>
      </c>
      <c r="H1632" s="493">
        <v>2.37</v>
      </c>
      <c r="I1632" s="493">
        <v>0.2</v>
      </c>
      <c r="J1632" s="493">
        <v>0.25</v>
      </c>
      <c r="K1632" s="493">
        <v>608.0</v>
      </c>
      <c r="L1632" s="493">
        <v>302624.0</v>
      </c>
      <c r="M1632" s="493">
        <v>0.0247</v>
      </c>
      <c r="N1632" s="6">
        <v>1.0429</v>
      </c>
    </row>
    <row r="1633">
      <c r="A1633" s="491" t="s">
        <v>2022</v>
      </c>
      <c r="B1633" s="491" t="s">
        <v>1857</v>
      </c>
      <c r="C1633" s="491" t="s">
        <v>71</v>
      </c>
      <c r="D1633" s="491" t="s">
        <v>565</v>
      </c>
      <c r="E1633" s="492" t="s">
        <v>189</v>
      </c>
      <c r="F1633" s="493">
        <v>24583.0</v>
      </c>
      <c r="G1633" s="493">
        <v>597.0</v>
      </c>
      <c r="H1633" s="493">
        <v>2.43</v>
      </c>
      <c r="I1633" s="493">
        <v>0.2</v>
      </c>
      <c r="J1633" s="493">
        <v>0.09</v>
      </c>
      <c r="K1633" s="493">
        <v>618.0</v>
      </c>
      <c r="L1633" s="493">
        <v>302624.0</v>
      </c>
      <c r="M1633" s="493">
        <v>0.0251</v>
      </c>
      <c r="N1633" s="6">
        <v>1.0352</v>
      </c>
    </row>
    <row r="1634">
      <c r="A1634" s="491" t="s">
        <v>2022</v>
      </c>
      <c r="B1634" s="491" t="s">
        <v>1857</v>
      </c>
      <c r="C1634" s="491" t="s">
        <v>71</v>
      </c>
      <c r="D1634" s="491" t="s">
        <v>565</v>
      </c>
      <c r="E1634" s="492" t="s">
        <v>32</v>
      </c>
      <c r="F1634" s="493">
        <v>24583.0</v>
      </c>
      <c r="G1634" s="493">
        <v>3.0</v>
      </c>
      <c r="H1634" s="493">
        <v>0.01</v>
      </c>
      <c r="I1634" s="493">
        <v>0.0</v>
      </c>
      <c r="J1634" s="493">
        <v>0.0</v>
      </c>
      <c r="K1634" s="493">
        <v>4.0</v>
      </c>
      <c r="L1634" s="493">
        <v>302624.0</v>
      </c>
      <c r="M1634" s="493">
        <v>2.0E-4</v>
      </c>
      <c r="N1634" s="6">
        <v>1.3333</v>
      </c>
    </row>
    <row r="1635">
      <c r="A1635" s="491" t="s">
        <v>2022</v>
      </c>
      <c r="B1635" s="491" t="s">
        <v>1857</v>
      </c>
      <c r="C1635" s="491" t="s">
        <v>71</v>
      </c>
      <c r="D1635" s="491" t="s">
        <v>565</v>
      </c>
      <c r="E1635" s="492" t="s">
        <v>373</v>
      </c>
      <c r="F1635" s="493">
        <v>24583.0</v>
      </c>
      <c r="G1635" s="493">
        <v>1.0</v>
      </c>
      <c r="H1635" s="493">
        <v>0.0</v>
      </c>
      <c r="I1635" s="493">
        <v>0.0</v>
      </c>
      <c r="J1635" s="493">
        <v>0.0</v>
      </c>
      <c r="K1635" s="493">
        <v>2.0</v>
      </c>
      <c r="L1635" s="493">
        <v>302624.0</v>
      </c>
      <c r="M1635" s="493">
        <v>1.0E-4</v>
      </c>
      <c r="N1635" s="6">
        <v>2.0</v>
      </c>
    </row>
    <row r="1636">
      <c r="A1636" s="491" t="s">
        <v>2022</v>
      </c>
      <c r="B1636" s="491" t="s">
        <v>1857</v>
      </c>
      <c r="C1636" s="491" t="s">
        <v>70</v>
      </c>
      <c r="D1636" s="491" t="s">
        <v>565</v>
      </c>
      <c r="E1636" s="492" t="s">
        <v>371</v>
      </c>
      <c r="F1636" s="493">
        <v>24997.0</v>
      </c>
      <c r="G1636" s="493">
        <v>24306.0</v>
      </c>
      <c r="H1636" s="493">
        <v>97.24</v>
      </c>
      <c r="I1636" s="493">
        <v>47.97</v>
      </c>
      <c r="J1636" s="493">
        <v>43.53</v>
      </c>
      <c r="K1636" s="493">
        <v>222007.0</v>
      </c>
      <c r="L1636" s="493">
        <v>462774.0</v>
      </c>
      <c r="M1636" s="493">
        <v>8.8813</v>
      </c>
      <c r="N1636" s="6">
        <v>9.1338</v>
      </c>
    </row>
    <row r="1637">
      <c r="A1637" s="491" t="s">
        <v>2022</v>
      </c>
      <c r="B1637" s="491" t="s">
        <v>1857</v>
      </c>
      <c r="C1637" s="491" t="s">
        <v>70</v>
      </c>
      <c r="D1637" s="491" t="s">
        <v>565</v>
      </c>
      <c r="E1637" s="492" t="s">
        <v>372</v>
      </c>
      <c r="F1637" s="493">
        <v>24997.0</v>
      </c>
      <c r="G1637" s="493">
        <v>17815.0</v>
      </c>
      <c r="H1637" s="493">
        <v>71.27</v>
      </c>
      <c r="I1637" s="493">
        <v>15.94</v>
      </c>
      <c r="J1637" s="493">
        <v>18.33</v>
      </c>
      <c r="K1637" s="493">
        <v>73762.0</v>
      </c>
      <c r="L1637" s="493">
        <v>462774.0</v>
      </c>
      <c r="M1637" s="493">
        <v>2.9508</v>
      </c>
      <c r="N1637" s="6">
        <v>4.1404</v>
      </c>
    </row>
    <row r="1638">
      <c r="A1638" s="491" t="s">
        <v>2022</v>
      </c>
      <c r="B1638" s="491" t="s">
        <v>1857</v>
      </c>
      <c r="C1638" s="491" t="s">
        <v>70</v>
      </c>
      <c r="D1638" s="491" t="s">
        <v>565</v>
      </c>
      <c r="E1638" s="492" t="s">
        <v>370</v>
      </c>
      <c r="F1638" s="493">
        <v>24997.0</v>
      </c>
      <c r="G1638" s="493">
        <v>18457.0</v>
      </c>
      <c r="H1638" s="493">
        <v>73.84</v>
      </c>
      <c r="I1638" s="493">
        <v>9.6</v>
      </c>
      <c r="J1638" s="493">
        <v>10.02</v>
      </c>
      <c r="K1638" s="493">
        <v>44405.0</v>
      </c>
      <c r="L1638" s="493">
        <v>462774.0</v>
      </c>
      <c r="M1638" s="493">
        <v>1.7764</v>
      </c>
      <c r="N1638" s="6">
        <v>2.4059</v>
      </c>
    </row>
    <row r="1639">
      <c r="A1639" s="491" t="s">
        <v>2022</v>
      </c>
      <c r="B1639" s="491" t="s">
        <v>1857</v>
      </c>
      <c r="C1639" s="491" t="s">
        <v>70</v>
      </c>
      <c r="D1639" s="491" t="s">
        <v>565</v>
      </c>
      <c r="E1639" s="492" t="s">
        <v>49</v>
      </c>
      <c r="F1639" s="493">
        <v>24997.0</v>
      </c>
      <c r="G1639" s="493">
        <v>12776.0</v>
      </c>
      <c r="H1639" s="493">
        <v>51.11</v>
      </c>
      <c r="I1639" s="493">
        <v>5.82</v>
      </c>
      <c r="J1639" s="493">
        <v>5.52</v>
      </c>
      <c r="K1639" s="493">
        <v>26923.0</v>
      </c>
      <c r="L1639" s="493">
        <v>462774.0</v>
      </c>
      <c r="M1639" s="493">
        <v>1.077</v>
      </c>
      <c r="N1639" s="6">
        <v>2.1073</v>
      </c>
    </row>
    <row r="1640">
      <c r="A1640" s="491" t="s">
        <v>2022</v>
      </c>
      <c r="B1640" s="491" t="s">
        <v>1857</v>
      </c>
      <c r="C1640" s="491" t="s">
        <v>70</v>
      </c>
      <c r="D1640" s="491" t="s">
        <v>565</v>
      </c>
      <c r="E1640" s="492" t="s">
        <v>368</v>
      </c>
      <c r="F1640" s="493">
        <v>24997.0</v>
      </c>
      <c r="G1640" s="493">
        <v>9120.0</v>
      </c>
      <c r="H1640" s="493">
        <v>36.48</v>
      </c>
      <c r="I1640" s="493">
        <v>4.98</v>
      </c>
      <c r="J1640" s="493">
        <v>5.88</v>
      </c>
      <c r="K1640" s="493">
        <v>23027.0</v>
      </c>
      <c r="L1640" s="493">
        <v>462774.0</v>
      </c>
      <c r="M1640" s="493">
        <v>0.9212</v>
      </c>
      <c r="N1640" s="6">
        <v>2.5249</v>
      </c>
    </row>
    <row r="1641">
      <c r="A1641" s="491" t="s">
        <v>2022</v>
      </c>
      <c r="B1641" s="491" t="s">
        <v>1857</v>
      </c>
      <c r="C1641" s="491" t="s">
        <v>70</v>
      </c>
      <c r="D1641" s="491" t="s">
        <v>565</v>
      </c>
      <c r="E1641" s="492" t="s">
        <v>44</v>
      </c>
      <c r="F1641" s="493">
        <v>24997.0</v>
      </c>
      <c r="G1641" s="493">
        <v>14103.0</v>
      </c>
      <c r="H1641" s="493">
        <v>56.42</v>
      </c>
      <c r="I1641" s="493">
        <v>4.63</v>
      </c>
      <c r="J1641" s="493">
        <v>4.98</v>
      </c>
      <c r="K1641" s="493">
        <v>21431.0</v>
      </c>
      <c r="L1641" s="493">
        <v>462774.0</v>
      </c>
      <c r="M1641" s="493">
        <v>0.8573</v>
      </c>
      <c r="N1641" s="6">
        <v>1.5196</v>
      </c>
    </row>
    <row r="1642">
      <c r="A1642" s="491" t="s">
        <v>2022</v>
      </c>
      <c r="B1642" s="491" t="s">
        <v>1857</v>
      </c>
      <c r="C1642" s="491" t="s">
        <v>70</v>
      </c>
      <c r="D1642" s="491" t="s">
        <v>565</v>
      </c>
      <c r="E1642" s="492" t="s">
        <v>366</v>
      </c>
      <c r="F1642" s="493">
        <v>24997.0</v>
      </c>
      <c r="G1642" s="493">
        <v>8992.0</v>
      </c>
      <c r="H1642" s="493">
        <v>35.97</v>
      </c>
      <c r="I1642" s="493">
        <v>3.31</v>
      </c>
      <c r="J1642" s="493">
        <v>2.78</v>
      </c>
      <c r="K1642" s="493">
        <v>15340.0</v>
      </c>
      <c r="L1642" s="493">
        <v>462774.0</v>
      </c>
      <c r="M1642" s="493">
        <v>0.6137</v>
      </c>
      <c r="N1642" s="6">
        <v>1.706</v>
      </c>
    </row>
    <row r="1643">
      <c r="A1643" s="491" t="s">
        <v>2022</v>
      </c>
      <c r="B1643" s="491" t="s">
        <v>1857</v>
      </c>
      <c r="C1643" s="491" t="s">
        <v>70</v>
      </c>
      <c r="D1643" s="491" t="s">
        <v>565</v>
      </c>
      <c r="E1643" s="492" t="s">
        <v>369</v>
      </c>
      <c r="F1643" s="493">
        <v>24997.0</v>
      </c>
      <c r="G1643" s="493">
        <v>11093.0</v>
      </c>
      <c r="H1643" s="493">
        <v>44.38</v>
      </c>
      <c r="I1643" s="493">
        <v>3.05</v>
      </c>
      <c r="J1643" s="493">
        <v>3.83</v>
      </c>
      <c r="K1643" s="493">
        <v>14107.0</v>
      </c>
      <c r="L1643" s="493">
        <v>462774.0</v>
      </c>
      <c r="M1643" s="493">
        <v>0.5643</v>
      </c>
      <c r="N1643" s="6">
        <v>1.2717</v>
      </c>
    </row>
    <row r="1644">
      <c r="A1644" s="491" t="s">
        <v>2022</v>
      </c>
      <c r="B1644" s="491" t="s">
        <v>1857</v>
      </c>
      <c r="C1644" s="491" t="s">
        <v>70</v>
      </c>
      <c r="D1644" s="491" t="s">
        <v>565</v>
      </c>
      <c r="E1644" s="492" t="s">
        <v>35</v>
      </c>
      <c r="F1644" s="493">
        <v>24997.0</v>
      </c>
      <c r="G1644" s="493">
        <v>5869.0</v>
      </c>
      <c r="H1644" s="493">
        <v>23.48</v>
      </c>
      <c r="I1644" s="493">
        <v>1.34</v>
      </c>
      <c r="J1644" s="493">
        <v>1.6</v>
      </c>
      <c r="K1644" s="493">
        <v>6219.0</v>
      </c>
      <c r="L1644" s="493">
        <v>462774.0</v>
      </c>
      <c r="M1644" s="493">
        <v>0.2488</v>
      </c>
      <c r="N1644" s="6">
        <v>1.0596</v>
      </c>
    </row>
    <row r="1645">
      <c r="A1645" s="491" t="s">
        <v>2022</v>
      </c>
      <c r="B1645" s="491" t="s">
        <v>1857</v>
      </c>
      <c r="C1645" s="491" t="s">
        <v>70</v>
      </c>
      <c r="D1645" s="491" t="s">
        <v>565</v>
      </c>
      <c r="E1645" s="492" t="s">
        <v>189</v>
      </c>
      <c r="F1645" s="493">
        <v>24997.0</v>
      </c>
      <c r="G1645" s="493">
        <v>5114.0</v>
      </c>
      <c r="H1645" s="493">
        <v>20.46</v>
      </c>
      <c r="I1645" s="493">
        <v>1.12</v>
      </c>
      <c r="J1645" s="493">
        <v>1.48</v>
      </c>
      <c r="K1645" s="493">
        <v>5201.0</v>
      </c>
      <c r="L1645" s="493">
        <v>462774.0</v>
      </c>
      <c r="M1645" s="493">
        <v>0.2081</v>
      </c>
      <c r="N1645" s="6">
        <v>1.017</v>
      </c>
    </row>
    <row r="1646">
      <c r="A1646" s="491" t="s">
        <v>2022</v>
      </c>
      <c r="B1646" s="491" t="s">
        <v>1857</v>
      </c>
      <c r="C1646" s="491" t="s">
        <v>70</v>
      </c>
      <c r="D1646" s="491" t="s">
        <v>565</v>
      </c>
      <c r="E1646" s="492" t="s">
        <v>134</v>
      </c>
      <c r="F1646" s="493">
        <v>24997.0</v>
      </c>
      <c r="G1646" s="493">
        <v>3231.0</v>
      </c>
      <c r="H1646" s="493">
        <v>12.93</v>
      </c>
      <c r="I1646" s="493">
        <v>1.05</v>
      </c>
      <c r="J1646" s="493">
        <v>0.88</v>
      </c>
      <c r="K1646" s="493">
        <v>4872.0</v>
      </c>
      <c r="L1646" s="493">
        <v>462774.0</v>
      </c>
      <c r="M1646" s="493">
        <v>0.1949</v>
      </c>
      <c r="N1646" s="6">
        <v>1.5079</v>
      </c>
    </row>
    <row r="1647">
      <c r="A1647" s="491" t="s">
        <v>2022</v>
      </c>
      <c r="B1647" s="491" t="s">
        <v>1857</v>
      </c>
      <c r="C1647" s="491" t="s">
        <v>70</v>
      </c>
      <c r="D1647" s="491" t="s">
        <v>565</v>
      </c>
      <c r="E1647" s="492" t="s">
        <v>42</v>
      </c>
      <c r="F1647" s="493">
        <v>24997.0</v>
      </c>
      <c r="G1647" s="493">
        <v>2328.0</v>
      </c>
      <c r="H1647" s="493">
        <v>9.31</v>
      </c>
      <c r="I1647" s="493">
        <v>0.59</v>
      </c>
      <c r="J1647" s="493">
        <v>0.62</v>
      </c>
      <c r="K1647" s="493">
        <v>2724.0</v>
      </c>
      <c r="L1647" s="493">
        <v>462774.0</v>
      </c>
      <c r="M1647" s="493">
        <v>0.109</v>
      </c>
      <c r="N1647" s="6">
        <v>1.1701</v>
      </c>
    </row>
    <row r="1648">
      <c r="A1648" s="491" t="s">
        <v>2022</v>
      </c>
      <c r="B1648" s="491" t="s">
        <v>1857</v>
      </c>
      <c r="C1648" s="491" t="s">
        <v>70</v>
      </c>
      <c r="D1648" s="491" t="s">
        <v>565</v>
      </c>
      <c r="E1648" s="492" t="s">
        <v>50</v>
      </c>
      <c r="F1648" s="493">
        <v>24997.0</v>
      </c>
      <c r="G1648" s="493">
        <v>1887.0</v>
      </c>
      <c r="H1648" s="493">
        <v>7.55</v>
      </c>
      <c r="I1648" s="493">
        <v>0.48</v>
      </c>
      <c r="J1648" s="493">
        <v>0.42</v>
      </c>
      <c r="K1648" s="493">
        <v>2239.0</v>
      </c>
      <c r="L1648" s="493">
        <v>462774.0</v>
      </c>
      <c r="M1648" s="493">
        <v>0.0896</v>
      </c>
      <c r="N1648" s="6">
        <v>1.1865</v>
      </c>
    </row>
    <row r="1649">
      <c r="A1649" s="491" t="s">
        <v>2022</v>
      </c>
      <c r="B1649" s="491" t="s">
        <v>1857</v>
      </c>
      <c r="C1649" s="491" t="s">
        <v>70</v>
      </c>
      <c r="D1649" s="491" t="s">
        <v>565</v>
      </c>
      <c r="E1649" s="492" t="s">
        <v>43</v>
      </c>
      <c r="F1649" s="493">
        <v>24997.0</v>
      </c>
      <c r="G1649" s="493">
        <v>483.0</v>
      </c>
      <c r="H1649" s="493">
        <v>1.93</v>
      </c>
      <c r="I1649" s="493">
        <v>0.11</v>
      </c>
      <c r="J1649" s="493">
        <v>0.13</v>
      </c>
      <c r="K1649" s="493">
        <v>500.0</v>
      </c>
      <c r="L1649" s="493">
        <v>462774.0</v>
      </c>
      <c r="M1649" s="493">
        <v>0.02</v>
      </c>
      <c r="N1649" s="6">
        <v>1.0352</v>
      </c>
    </row>
    <row r="1650">
      <c r="A1650" s="491" t="s">
        <v>2022</v>
      </c>
      <c r="B1650" s="491" t="s">
        <v>1857</v>
      </c>
      <c r="C1650" s="491" t="s">
        <v>70</v>
      </c>
      <c r="D1650" s="491" t="s">
        <v>565</v>
      </c>
      <c r="E1650" s="492" t="s">
        <v>374</v>
      </c>
      <c r="F1650" s="493">
        <v>24997.0</v>
      </c>
      <c r="G1650" s="493">
        <v>1.0</v>
      </c>
      <c r="H1650" s="493">
        <v>0.0</v>
      </c>
      <c r="I1650" s="493">
        <v>0.0</v>
      </c>
      <c r="J1650" s="493">
        <v>0.0</v>
      </c>
      <c r="K1650" s="493">
        <v>1.0</v>
      </c>
      <c r="L1650" s="493">
        <v>462774.0</v>
      </c>
      <c r="M1650" s="493">
        <v>0.0</v>
      </c>
      <c r="N1650" s="6">
        <v>1.0</v>
      </c>
    </row>
    <row r="1651">
      <c r="A1651" s="491" t="s">
        <v>2022</v>
      </c>
      <c r="B1651" s="491" t="s">
        <v>1857</v>
      </c>
      <c r="C1651" s="491" t="s">
        <v>70</v>
      </c>
      <c r="D1651" s="491" t="s">
        <v>565</v>
      </c>
      <c r="E1651" s="492" t="s">
        <v>373</v>
      </c>
      <c r="F1651" s="493">
        <v>24997.0</v>
      </c>
      <c r="G1651" s="493">
        <v>3.0</v>
      </c>
      <c r="H1651" s="493">
        <v>0.01</v>
      </c>
      <c r="I1651" s="493">
        <v>0.0</v>
      </c>
      <c r="J1651" s="493">
        <v>0.0</v>
      </c>
      <c r="K1651" s="493">
        <v>6.0</v>
      </c>
      <c r="L1651" s="493">
        <v>462774.0</v>
      </c>
      <c r="M1651" s="493">
        <v>2.0E-4</v>
      </c>
      <c r="N1651" s="6">
        <v>2.0</v>
      </c>
    </row>
    <row r="1652">
      <c r="A1652" s="491" t="s">
        <v>2022</v>
      </c>
      <c r="B1652" s="491" t="s">
        <v>1857</v>
      </c>
      <c r="C1652" s="491" t="s">
        <v>70</v>
      </c>
      <c r="D1652" s="491" t="s">
        <v>565</v>
      </c>
      <c r="E1652" s="492" t="s">
        <v>32</v>
      </c>
      <c r="F1652" s="493">
        <v>24997.0</v>
      </c>
      <c r="G1652" s="493">
        <v>8.0</v>
      </c>
      <c r="H1652" s="493">
        <v>0.03</v>
      </c>
      <c r="I1652" s="493">
        <v>0.0</v>
      </c>
      <c r="J1652" s="493">
        <v>0.0</v>
      </c>
      <c r="K1652" s="493">
        <v>10.0</v>
      </c>
      <c r="L1652" s="493">
        <v>462774.0</v>
      </c>
      <c r="M1652" s="493">
        <v>4.0E-4</v>
      </c>
      <c r="N1652" s="6">
        <v>1.25</v>
      </c>
    </row>
    <row r="1653">
      <c r="A1653" s="491" t="s">
        <v>2022</v>
      </c>
      <c r="B1653" s="491" t="s">
        <v>1857</v>
      </c>
      <c r="C1653" s="491" t="s">
        <v>74</v>
      </c>
      <c r="D1653" s="491" t="s">
        <v>565</v>
      </c>
      <c r="E1653" s="492" t="s">
        <v>371</v>
      </c>
      <c r="F1653" s="493">
        <v>24121.0</v>
      </c>
      <c r="G1653" s="493">
        <v>22154.0</v>
      </c>
      <c r="H1653" s="493">
        <v>91.85</v>
      </c>
      <c r="I1653" s="493">
        <v>38.79</v>
      </c>
      <c r="J1653" s="493">
        <v>43.28</v>
      </c>
      <c r="K1653" s="493">
        <v>95645.0</v>
      </c>
      <c r="L1653" s="493">
        <v>246543.0</v>
      </c>
      <c r="M1653" s="493">
        <v>3.9652</v>
      </c>
      <c r="N1653" s="6">
        <v>4.3173</v>
      </c>
    </row>
    <row r="1654">
      <c r="A1654" s="491" t="s">
        <v>2022</v>
      </c>
      <c r="B1654" s="491" t="s">
        <v>1857</v>
      </c>
      <c r="C1654" s="491" t="s">
        <v>74</v>
      </c>
      <c r="D1654" s="491" t="s">
        <v>565</v>
      </c>
      <c r="E1654" s="492" t="s">
        <v>42</v>
      </c>
      <c r="F1654" s="493">
        <v>24121.0</v>
      </c>
      <c r="G1654" s="493">
        <v>10518.0</v>
      </c>
      <c r="H1654" s="493">
        <v>43.61</v>
      </c>
      <c r="I1654" s="493">
        <v>9.72</v>
      </c>
      <c r="J1654" s="493">
        <v>10.21</v>
      </c>
      <c r="K1654" s="493">
        <v>23968.0</v>
      </c>
      <c r="L1654" s="493">
        <v>246543.0</v>
      </c>
      <c r="M1654" s="493">
        <v>0.9937</v>
      </c>
      <c r="N1654" s="6">
        <v>2.2788</v>
      </c>
    </row>
    <row r="1655">
      <c r="A1655" s="491" t="s">
        <v>2022</v>
      </c>
      <c r="B1655" s="491" t="s">
        <v>1857</v>
      </c>
      <c r="C1655" s="491" t="s">
        <v>74</v>
      </c>
      <c r="D1655" s="491" t="s">
        <v>565</v>
      </c>
      <c r="E1655" s="492" t="s">
        <v>370</v>
      </c>
      <c r="F1655" s="493">
        <v>24121.0</v>
      </c>
      <c r="G1655" s="493">
        <v>8446.0</v>
      </c>
      <c r="H1655" s="493">
        <v>35.02</v>
      </c>
      <c r="I1655" s="493">
        <v>7.42</v>
      </c>
      <c r="J1655" s="493">
        <v>5.56</v>
      </c>
      <c r="K1655" s="493">
        <v>18294.0</v>
      </c>
      <c r="L1655" s="493">
        <v>246543.0</v>
      </c>
      <c r="M1655" s="493">
        <v>0.7584</v>
      </c>
      <c r="N1655" s="6">
        <v>2.166</v>
      </c>
    </row>
    <row r="1656">
      <c r="A1656" s="491" t="s">
        <v>2022</v>
      </c>
      <c r="B1656" s="491" t="s">
        <v>1857</v>
      </c>
      <c r="C1656" s="491" t="s">
        <v>74</v>
      </c>
      <c r="D1656" s="491" t="s">
        <v>565</v>
      </c>
      <c r="E1656" s="492" t="s">
        <v>372</v>
      </c>
      <c r="F1656" s="493">
        <v>24121.0</v>
      </c>
      <c r="G1656" s="493">
        <v>6357.0</v>
      </c>
      <c r="H1656" s="493">
        <v>26.35</v>
      </c>
      <c r="I1656" s="493">
        <v>7.37</v>
      </c>
      <c r="J1656" s="493">
        <v>6.57</v>
      </c>
      <c r="K1656" s="493">
        <v>18160.0</v>
      </c>
      <c r="L1656" s="493">
        <v>246543.0</v>
      </c>
      <c r="M1656" s="493">
        <v>0.7529</v>
      </c>
      <c r="N1656" s="6">
        <v>2.8567</v>
      </c>
    </row>
    <row r="1657">
      <c r="A1657" s="491" t="s">
        <v>2022</v>
      </c>
      <c r="B1657" s="491" t="s">
        <v>1857</v>
      </c>
      <c r="C1657" s="491" t="s">
        <v>74</v>
      </c>
      <c r="D1657" s="491" t="s">
        <v>565</v>
      </c>
      <c r="E1657" s="492" t="s">
        <v>134</v>
      </c>
      <c r="F1657" s="493">
        <v>24121.0</v>
      </c>
      <c r="G1657" s="493">
        <v>8218.0</v>
      </c>
      <c r="H1657" s="493">
        <v>34.07</v>
      </c>
      <c r="I1657" s="493">
        <v>7.06</v>
      </c>
      <c r="J1657" s="493">
        <v>7.64</v>
      </c>
      <c r="K1657" s="493">
        <v>17413.0</v>
      </c>
      <c r="L1657" s="493">
        <v>246543.0</v>
      </c>
      <c r="M1657" s="493">
        <v>0.7219</v>
      </c>
      <c r="N1657" s="6">
        <v>2.1189</v>
      </c>
    </row>
    <row r="1658">
      <c r="A1658" s="491" t="s">
        <v>2022</v>
      </c>
      <c r="B1658" s="491" t="s">
        <v>1857</v>
      </c>
      <c r="C1658" s="491" t="s">
        <v>74</v>
      </c>
      <c r="D1658" s="491" t="s">
        <v>565</v>
      </c>
      <c r="E1658" s="492" t="s">
        <v>366</v>
      </c>
      <c r="F1658" s="493">
        <v>24121.0</v>
      </c>
      <c r="G1658" s="493">
        <v>10547.0</v>
      </c>
      <c r="H1658" s="493">
        <v>43.73</v>
      </c>
      <c r="I1658" s="493">
        <v>6.85</v>
      </c>
      <c r="J1658" s="493">
        <v>7.49</v>
      </c>
      <c r="K1658" s="493">
        <v>16888.0</v>
      </c>
      <c r="L1658" s="493">
        <v>246543.0</v>
      </c>
      <c r="M1658" s="493">
        <v>0.7001</v>
      </c>
      <c r="N1658" s="6">
        <v>1.6012</v>
      </c>
    </row>
    <row r="1659">
      <c r="A1659" s="491" t="s">
        <v>2022</v>
      </c>
      <c r="B1659" s="491" t="s">
        <v>1857</v>
      </c>
      <c r="C1659" s="491" t="s">
        <v>74</v>
      </c>
      <c r="D1659" s="491" t="s">
        <v>565</v>
      </c>
      <c r="E1659" s="492" t="s">
        <v>50</v>
      </c>
      <c r="F1659" s="493">
        <v>24121.0</v>
      </c>
      <c r="G1659" s="493">
        <v>8333.0</v>
      </c>
      <c r="H1659" s="493">
        <v>34.55</v>
      </c>
      <c r="I1659" s="493">
        <v>5.58</v>
      </c>
      <c r="J1659" s="493">
        <v>5.93</v>
      </c>
      <c r="K1659" s="493">
        <v>13753.0</v>
      </c>
      <c r="L1659" s="493">
        <v>246543.0</v>
      </c>
      <c r="M1659" s="493">
        <v>0.5702</v>
      </c>
      <c r="N1659" s="6">
        <v>1.6504</v>
      </c>
    </row>
    <row r="1660">
      <c r="A1660" s="491" t="s">
        <v>2022</v>
      </c>
      <c r="B1660" s="491" t="s">
        <v>1857</v>
      </c>
      <c r="C1660" s="491" t="s">
        <v>74</v>
      </c>
      <c r="D1660" s="491" t="s">
        <v>565</v>
      </c>
      <c r="E1660" s="492" t="s">
        <v>44</v>
      </c>
      <c r="F1660" s="493">
        <v>24121.0</v>
      </c>
      <c r="G1660" s="493">
        <v>8330.0</v>
      </c>
      <c r="H1660" s="493">
        <v>34.53</v>
      </c>
      <c r="I1660" s="493">
        <v>5.11</v>
      </c>
      <c r="J1660" s="493">
        <v>3.89</v>
      </c>
      <c r="K1660" s="493">
        <v>12609.0</v>
      </c>
      <c r="L1660" s="493">
        <v>246543.0</v>
      </c>
      <c r="M1660" s="493">
        <v>0.5227</v>
      </c>
      <c r="N1660" s="6">
        <v>1.5137</v>
      </c>
    </row>
    <row r="1661">
      <c r="A1661" s="491" t="s">
        <v>2022</v>
      </c>
      <c r="B1661" s="491" t="s">
        <v>1857</v>
      </c>
      <c r="C1661" s="491" t="s">
        <v>74</v>
      </c>
      <c r="D1661" s="491" t="s">
        <v>565</v>
      </c>
      <c r="E1661" s="492" t="s">
        <v>365</v>
      </c>
      <c r="F1661" s="493">
        <v>24121.0</v>
      </c>
      <c r="G1661" s="493">
        <v>3693.0</v>
      </c>
      <c r="H1661" s="493">
        <v>15.31</v>
      </c>
      <c r="I1661" s="493">
        <v>2.78</v>
      </c>
      <c r="J1661" s="493">
        <v>2.24</v>
      </c>
      <c r="K1661" s="493">
        <v>6855.0</v>
      </c>
      <c r="L1661" s="493">
        <v>246543.0</v>
      </c>
      <c r="M1661" s="493">
        <v>0.2842</v>
      </c>
      <c r="N1661" s="6">
        <v>1.8562</v>
      </c>
    </row>
    <row r="1662">
      <c r="A1662" s="491" t="s">
        <v>2022</v>
      </c>
      <c r="B1662" s="491" t="s">
        <v>1857</v>
      </c>
      <c r="C1662" s="491" t="s">
        <v>74</v>
      </c>
      <c r="D1662" s="491" t="s">
        <v>565</v>
      </c>
      <c r="E1662" s="492" t="s">
        <v>40</v>
      </c>
      <c r="F1662" s="493">
        <v>24121.0</v>
      </c>
      <c r="G1662" s="493">
        <v>2238.0</v>
      </c>
      <c r="H1662" s="493">
        <v>9.28</v>
      </c>
      <c r="I1662" s="493">
        <v>1.46</v>
      </c>
      <c r="J1662" s="493">
        <v>1.27</v>
      </c>
      <c r="K1662" s="493">
        <v>3596.0</v>
      </c>
      <c r="L1662" s="493">
        <v>246543.0</v>
      </c>
      <c r="M1662" s="493">
        <v>0.1491</v>
      </c>
      <c r="N1662" s="6">
        <v>1.6068</v>
      </c>
    </row>
    <row r="1663">
      <c r="A1663" s="491" t="s">
        <v>2022</v>
      </c>
      <c r="B1663" s="491" t="s">
        <v>1857</v>
      </c>
      <c r="C1663" s="491" t="s">
        <v>74</v>
      </c>
      <c r="D1663" s="491" t="s">
        <v>565</v>
      </c>
      <c r="E1663" s="492" t="s">
        <v>310</v>
      </c>
      <c r="F1663" s="493">
        <v>24121.0</v>
      </c>
      <c r="G1663" s="493">
        <v>3049.0</v>
      </c>
      <c r="H1663" s="493">
        <v>12.64</v>
      </c>
      <c r="I1663" s="493">
        <v>1.44</v>
      </c>
      <c r="J1663" s="493">
        <v>1.37</v>
      </c>
      <c r="K1663" s="493">
        <v>3559.0</v>
      </c>
      <c r="L1663" s="493">
        <v>246543.0</v>
      </c>
      <c r="M1663" s="493">
        <v>0.1475</v>
      </c>
      <c r="N1663" s="6">
        <v>1.1673</v>
      </c>
    </row>
    <row r="1664">
      <c r="A1664" s="491" t="s">
        <v>2022</v>
      </c>
      <c r="B1664" s="491" t="s">
        <v>1857</v>
      </c>
      <c r="C1664" s="491" t="s">
        <v>74</v>
      </c>
      <c r="D1664" s="491" t="s">
        <v>565</v>
      </c>
      <c r="E1664" s="492" t="s">
        <v>32</v>
      </c>
      <c r="F1664" s="493">
        <v>24121.0</v>
      </c>
      <c r="G1664" s="493">
        <v>2971.0</v>
      </c>
      <c r="H1664" s="493">
        <v>12.32</v>
      </c>
      <c r="I1664" s="493">
        <v>1.38</v>
      </c>
      <c r="J1664" s="493">
        <v>1.35</v>
      </c>
      <c r="K1664" s="493">
        <v>3408.0</v>
      </c>
      <c r="L1664" s="493">
        <v>246543.0</v>
      </c>
      <c r="M1664" s="493">
        <v>0.1413</v>
      </c>
      <c r="N1664" s="6">
        <v>1.1471</v>
      </c>
    </row>
    <row r="1665">
      <c r="A1665" s="491" t="s">
        <v>2022</v>
      </c>
      <c r="B1665" s="491" t="s">
        <v>1857</v>
      </c>
      <c r="C1665" s="491" t="s">
        <v>74</v>
      </c>
      <c r="D1665" s="491" t="s">
        <v>565</v>
      </c>
      <c r="E1665" s="492" t="s">
        <v>312</v>
      </c>
      <c r="F1665" s="493">
        <v>24121.0</v>
      </c>
      <c r="G1665" s="493">
        <v>2794.0</v>
      </c>
      <c r="H1665" s="493">
        <v>11.58</v>
      </c>
      <c r="I1665" s="493">
        <v>1.37</v>
      </c>
      <c r="J1665" s="493">
        <v>1.16</v>
      </c>
      <c r="K1665" s="493">
        <v>3369.0</v>
      </c>
      <c r="L1665" s="493">
        <v>246543.0</v>
      </c>
      <c r="M1665" s="493">
        <v>0.1397</v>
      </c>
      <c r="N1665" s="6">
        <v>1.2058</v>
      </c>
    </row>
    <row r="1666">
      <c r="A1666" s="491" t="s">
        <v>2022</v>
      </c>
      <c r="B1666" s="491" t="s">
        <v>1857</v>
      </c>
      <c r="C1666" s="491" t="s">
        <v>74</v>
      </c>
      <c r="D1666" s="491" t="s">
        <v>565</v>
      </c>
      <c r="E1666" s="492" t="s">
        <v>369</v>
      </c>
      <c r="F1666" s="493">
        <v>24121.0</v>
      </c>
      <c r="G1666" s="493">
        <v>2359.0</v>
      </c>
      <c r="H1666" s="493">
        <v>9.78</v>
      </c>
      <c r="I1666" s="493">
        <v>1.09</v>
      </c>
      <c r="J1666" s="493">
        <v>0.53</v>
      </c>
      <c r="K1666" s="493">
        <v>2676.0</v>
      </c>
      <c r="L1666" s="493">
        <v>246543.0</v>
      </c>
      <c r="M1666" s="493">
        <v>0.1109</v>
      </c>
      <c r="N1666" s="6">
        <v>1.1344</v>
      </c>
    </row>
    <row r="1667">
      <c r="A1667" s="491" t="s">
        <v>2022</v>
      </c>
      <c r="B1667" s="491" t="s">
        <v>1857</v>
      </c>
      <c r="C1667" s="491" t="s">
        <v>74</v>
      </c>
      <c r="D1667" s="491" t="s">
        <v>565</v>
      </c>
      <c r="E1667" s="492" t="s">
        <v>367</v>
      </c>
      <c r="F1667" s="493">
        <v>24121.0</v>
      </c>
      <c r="G1667" s="493">
        <v>1868.0</v>
      </c>
      <c r="H1667" s="493">
        <v>7.74</v>
      </c>
      <c r="I1667" s="493">
        <v>0.78</v>
      </c>
      <c r="J1667" s="493">
        <v>0.5</v>
      </c>
      <c r="K1667" s="493">
        <v>1926.0</v>
      </c>
      <c r="L1667" s="493">
        <v>246543.0</v>
      </c>
      <c r="M1667" s="493">
        <v>0.0798</v>
      </c>
      <c r="N1667" s="6">
        <v>1.031</v>
      </c>
    </row>
    <row r="1668">
      <c r="A1668" s="491" t="s">
        <v>2022</v>
      </c>
      <c r="B1668" s="491" t="s">
        <v>1857</v>
      </c>
      <c r="C1668" s="491" t="s">
        <v>74</v>
      </c>
      <c r="D1668" s="491" t="s">
        <v>565</v>
      </c>
      <c r="E1668" s="492" t="s">
        <v>368</v>
      </c>
      <c r="F1668" s="493">
        <v>24121.0</v>
      </c>
      <c r="G1668" s="493">
        <v>839.0</v>
      </c>
      <c r="H1668" s="493">
        <v>3.48</v>
      </c>
      <c r="I1668" s="493">
        <v>0.77</v>
      </c>
      <c r="J1668" s="493">
        <v>0.25</v>
      </c>
      <c r="K1668" s="493">
        <v>1891.0</v>
      </c>
      <c r="L1668" s="493">
        <v>246543.0</v>
      </c>
      <c r="M1668" s="493">
        <v>0.0784</v>
      </c>
      <c r="N1668" s="6">
        <v>2.2539</v>
      </c>
    </row>
    <row r="1669">
      <c r="A1669" s="491" t="s">
        <v>2022</v>
      </c>
      <c r="B1669" s="491" t="s">
        <v>1857</v>
      </c>
      <c r="C1669" s="491" t="s">
        <v>74</v>
      </c>
      <c r="D1669" s="491" t="s">
        <v>565</v>
      </c>
      <c r="E1669" s="492" t="s">
        <v>43</v>
      </c>
      <c r="F1669" s="493">
        <v>24121.0</v>
      </c>
      <c r="G1669" s="493">
        <v>918.0</v>
      </c>
      <c r="H1669" s="493">
        <v>3.81</v>
      </c>
      <c r="I1669" s="493">
        <v>0.4</v>
      </c>
      <c r="J1669" s="493">
        <v>0.33</v>
      </c>
      <c r="K1669" s="493">
        <v>992.0</v>
      </c>
      <c r="L1669" s="493">
        <v>246543.0</v>
      </c>
      <c r="M1669" s="493">
        <v>0.0411</v>
      </c>
      <c r="N1669" s="6">
        <v>1.0806</v>
      </c>
    </row>
    <row r="1670">
      <c r="A1670" s="491" t="s">
        <v>2022</v>
      </c>
      <c r="B1670" s="491" t="s">
        <v>1857</v>
      </c>
      <c r="C1670" s="491" t="s">
        <v>74</v>
      </c>
      <c r="D1670" s="491" t="s">
        <v>565</v>
      </c>
      <c r="E1670" s="492" t="s">
        <v>311</v>
      </c>
      <c r="F1670" s="493">
        <v>24121.0</v>
      </c>
      <c r="G1670" s="493">
        <v>902.0</v>
      </c>
      <c r="H1670" s="493">
        <v>3.74</v>
      </c>
      <c r="I1670" s="493">
        <v>0.37</v>
      </c>
      <c r="J1670" s="493">
        <v>0.33</v>
      </c>
      <c r="K1670" s="493">
        <v>916.0</v>
      </c>
      <c r="L1670" s="493">
        <v>246543.0</v>
      </c>
      <c r="M1670" s="493">
        <v>0.038</v>
      </c>
      <c r="N1670" s="6">
        <v>1.0155</v>
      </c>
    </row>
    <row r="1671">
      <c r="A1671" s="491" t="s">
        <v>2022</v>
      </c>
      <c r="B1671" s="491" t="s">
        <v>1857</v>
      </c>
      <c r="C1671" s="491" t="s">
        <v>74</v>
      </c>
      <c r="D1671" s="491" t="s">
        <v>565</v>
      </c>
      <c r="E1671" s="492" t="s">
        <v>189</v>
      </c>
      <c r="F1671" s="493">
        <v>24121.0</v>
      </c>
      <c r="G1671" s="493">
        <v>597.0</v>
      </c>
      <c r="H1671" s="493">
        <v>2.48</v>
      </c>
      <c r="I1671" s="493">
        <v>0.25</v>
      </c>
      <c r="J1671" s="493">
        <v>0.1</v>
      </c>
      <c r="K1671" s="493">
        <v>618.0</v>
      </c>
      <c r="L1671" s="493">
        <v>246543.0</v>
      </c>
      <c r="M1671" s="493">
        <v>0.0256</v>
      </c>
      <c r="N1671" s="6">
        <v>1.0352</v>
      </c>
    </row>
    <row r="1672">
      <c r="A1672" s="491" t="s">
        <v>2022</v>
      </c>
      <c r="B1672" s="491" t="s">
        <v>1857</v>
      </c>
      <c r="C1672" s="491" t="s">
        <v>74</v>
      </c>
      <c r="D1672" s="491" t="s">
        <v>565</v>
      </c>
      <c r="E1672" s="492" t="s">
        <v>373</v>
      </c>
      <c r="F1672" s="493">
        <v>24121.0</v>
      </c>
      <c r="G1672" s="493">
        <v>3.0</v>
      </c>
      <c r="H1672" s="493">
        <v>0.01</v>
      </c>
      <c r="I1672" s="493">
        <v>0.0</v>
      </c>
      <c r="J1672" s="493">
        <v>0.01</v>
      </c>
      <c r="K1672" s="493">
        <v>6.0</v>
      </c>
      <c r="L1672" s="493">
        <v>246543.0</v>
      </c>
      <c r="M1672" s="493">
        <v>2.0E-4</v>
      </c>
      <c r="N1672" s="6">
        <v>2.0</v>
      </c>
    </row>
    <row r="1673">
      <c r="A1673" s="491" t="s">
        <v>2022</v>
      </c>
      <c r="B1673" s="491" t="s">
        <v>1857</v>
      </c>
      <c r="C1673" s="491" t="s">
        <v>74</v>
      </c>
      <c r="D1673" s="491" t="s">
        <v>565</v>
      </c>
      <c r="E1673" s="492" t="s">
        <v>374</v>
      </c>
      <c r="F1673" s="493">
        <v>24121.0</v>
      </c>
      <c r="G1673" s="493">
        <v>1.0</v>
      </c>
      <c r="H1673" s="493">
        <v>0.0</v>
      </c>
      <c r="I1673" s="493">
        <v>0.0</v>
      </c>
      <c r="J1673" s="493">
        <v>0.0</v>
      </c>
      <c r="K1673" s="493">
        <v>1.0</v>
      </c>
      <c r="L1673" s="493">
        <v>246543.0</v>
      </c>
      <c r="M1673" s="493">
        <v>0.0</v>
      </c>
      <c r="N1673" s="6">
        <v>1.0</v>
      </c>
    </row>
    <row r="1674">
      <c r="A1674" s="491" t="s">
        <v>2022</v>
      </c>
      <c r="B1674" s="491" t="s">
        <v>1857</v>
      </c>
      <c r="C1674" s="491" t="s">
        <v>1872</v>
      </c>
      <c r="D1674" s="491" t="s">
        <v>1872</v>
      </c>
      <c r="E1674" s="492" t="s">
        <v>371</v>
      </c>
      <c r="F1674" s="493">
        <v>25298.0</v>
      </c>
      <c r="G1674" s="493">
        <v>25127.0</v>
      </c>
      <c r="H1674" s="493">
        <v>99.32</v>
      </c>
      <c r="I1674" s="493">
        <v>23.63</v>
      </c>
      <c r="J1674" s="493">
        <v>25.37</v>
      </c>
      <c r="K1674" s="493">
        <v>9041760.0</v>
      </c>
      <c r="L1674" s="493">
        <v>3.8264666E7</v>
      </c>
      <c r="M1674" s="493">
        <v>357.4101</v>
      </c>
      <c r="N1674" s="6">
        <v>359.8424</v>
      </c>
    </row>
    <row r="1675">
      <c r="A1675" s="491" t="s">
        <v>2022</v>
      </c>
      <c r="B1675" s="491" t="s">
        <v>1857</v>
      </c>
      <c r="C1675" s="491" t="s">
        <v>1872</v>
      </c>
      <c r="D1675" s="491" t="s">
        <v>1872</v>
      </c>
      <c r="E1675" s="492" t="s">
        <v>368</v>
      </c>
      <c r="F1675" s="493">
        <v>25298.0</v>
      </c>
      <c r="G1675" s="493">
        <v>11800.0</v>
      </c>
      <c r="H1675" s="493">
        <v>46.64</v>
      </c>
      <c r="I1675" s="493">
        <v>10.46</v>
      </c>
      <c r="J1675" s="493">
        <v>9.98</v>
      </c>
      <c r="K1675" s="493">
        <v>4003705.0</v>
      </c>
      <c r="L1675" s="493">
        <v>3.8264666E7</v>
      </c>
      <c r="M1675" s="493">
        <v>158.2617</v>
      </c>
      <c r="N1675" s="6">
        <v>339.297</v>
      </c>
    </row>
    <row r="1676">
      <c r="A1676" s="491" t="s">
        <v>2022</v>
      </c>
      <c r="B1676" s="491" t="s">
        <v>1857</v>
      </c>
      <c r="C1676" s="491" t="s">
        <v>1872</v>
      </c>
      <c r="D1676" s="491" t="s">
        <v>1872</v>
      </c>
      <c r="E1676" s="492" t="s">
        <v>366</v>
      </c>
      <c r="F1676" s="493">
        <v>25298.0</v>
      </c>
      <c r="G1676" s="493">
        <v>21763.0</v>
      </c>
      <c r="H1676" s="493">
        <v>86.03</v>
      </c>
      <c r="I1676" s="493">
        <v>9.82</v>
      </c>
      <c r="J1676" s="493">
        <v>10.62</v>
      </c>
      <c r="K1676" s="493">
        <v>3759175.0</v>
      </c>
      <c r="L1676" s="493">
        <v>3.8264666E7</v>
      </c>
      <c r="M1676" s="493">
        <v>148.5957</v>
      </c>
      <c r="N1676" s="6">
        <v>172.7324</v>
      </c>
    </row>
    <row r="1677">
      <c r="A1677" s="491" t="s">
        <v>2022</v>
      </c>
      <c r="B1677" s="491" t="s">
        <v>1857</v>
      </c>
      <c r="C1677" s="491" t="s">
        <v>1872</v>
      </c>
      <c r="D1677" s="491" t="s">
        <v>1872</v>
      </c>
      <c r="E1677" s="492" t="s">
        <v>372</v>
      </c>
      <c r="F1677" s="493">
        <v>25298.0</v>
      </c>
      <c r="G1677" s="493">
        <v>19330.0</v>
      </c>
      <c r="H1677" s="493">
        <v>76.41</v>
      </c>
      <c r="I1677" s="493">
        <v>8.18</v>
      </c>
      <c r="J1677" s="493">
        <v>9.46</v>
      </c>
      <c r="K1677" s="493">
        <v>3131960.0</v>
      </c>
      <c r="L1677" s="493">
        <v>3.8264666E7</v>
      </c>
      <c r="M1677" s="493">
        <v>123.8027</v>
      </c>
      <c r="N1677" s="6">
        <v>162.0259</v>
      </c>
    </row>
    <row r="1678">
      <c r="A1678" s="491" t="s">
        <v>2022</v>
      </c>
      <c r="B1678" s="491" t="s">
        <v>1857</v>
      </c>
      <c r="C1678" s="491" t="s">
        <v>1872</v>
      </c>
      <c r="D1678" s="491" t="s">
        <v>1872</v>
      </c>
      <c r="E1678" s="492" t="s">
        <v>370</v>
      </c>
      <c r="F1678" s="493">
        <v>25298.0</v>
      </c>
      <c r="G1678" s="493">
        <v>13895.0</v>
      </c>
      <c r="H1678" s="493">
        <v>54.93</v>
      </c>
      <c r="I1678" s="493">
        <v>6.84</v>
      </c>
      <c r="J1678" s="493">
        <v>5.78</v>
      </c>
      <c r="K1678" s="493">
        <v>2616326.0</v>
      </c>
      <c r="L1678" s="493">
        <v>3.8264666E7</v>
      </c>
      <c r="M1678" s="493">
        <v>103.4203</v>
      </c>
      <c r="N1678" s="6">
        <v>188.2926</v>
      </c>
    </row>
    <row r="1679">
      <c r="A1679" s="491" t="s">
        <v>2022</v>
      </c>
      <c r="B1679" s="491" t="s">
        <v>1857</v>
      </c>
      <c r="C1679" s="491" t="s">
        <v>1872</v>
      </c>
      <c r="D1679" s="491" t="s">
        <v>1872</v>
      </c>
      <c r="E1679" s="492" t="s">
        <v>367</v>
      </c>
      <c r="F1679" s="493">
        <v>25298.0</v>
      </c>
      <c r="G1679" s="493">
        <v>21092.0</v>
      </c>
      <c r="H1679" s="493">
        <v>83.37</v>
      </c>
      <c r="I1679" s="493">
        <v>5.86</v>
      </c>
      <c r="J1679" s="493">
        <v>6.43</v>
      </c>
      <c r="K1679" s="493">
        <v>2240400.0</v>
      </c>
      <c r="L1679" s="493">
        <v>3.8264666E7</v>
      </c>
      <c r="M1679" s="493">
        <v>88.5604</v>
      </c>
      <c r="N1679" s="6">
        <v>106.2204</v>
      </c>
    </row>
    <row r="1680">
      <c r="A1680" s="491" t="s">
        <v>2022</v>
      </c>
      <c r="B1680" s="491" t="s">
        <v>1857</v>
      </c>
      <c r="C1680" s="491" t="s">
        <v>1872</v>
      </c>
      <c r="D1680" s="491" t="s">
        <v>1872</v>
      </c>
      <c r="E1680" s="492" t="s">
        <v>50</v>
      </c>
      <c r="F1680" s="493">
        <v>25298.0</v>
      </c>
      <c r="G1680" s="493">
        <v>14354.0</v>
      </c>
      <c r="H1680" s="493">
        <v>56.74</v>
      </c>
      <c r="I1680" s="493">
        <v>5.41</v>
      </c>
      <c r="J1680" s="493">
        <v>5.61</v>
      </c>
      <c r="K1680" s="493">
        <v>2068350.0</v>
      </c>
      <c r="L1680" s="493">
        <v>3.8264666E7</v>
      </c>
      <c r="M1680" s="493">
        <v>81.7594</v>
      </c>
      <c r="N1680" s="6">
        <v>144.0957</v>
      </c>
    </row>
    <row r="1681">
      <c r="A1681" s="491" t="s">
        <v>2022</v>
      </c>
      <c r="B1681" s="491" t="s">
        <v>1857</v>
      </c>
      <c r="C1681" s="491" t="s">
        <v>1872</v>
      </c>
      <c r="D1681" s="491" t="s">
        <v>1872</v>
      </c>
      <c r="E1681" s="492" t="s">
        <v>42</v>
      </c>
      <c r="F1681" s="493">
        <v>25298.0</v>
      </c>
      <c r="G1681" s="493">
        <v>10691.0</v>
      </c>
      <c r="H1681" s="493">
        <v>42.26</v>
      </c>
      <c r="I1681" s="493">
        <v>4.62</v>
      </c>
      <c r="J1681" s="493">
        <v>4.9</v>
      </c>
      <c r="K1681" s="493">
        <v>1768450.0</v>
      </c>
      <c r="L1681" s="493">
        <v>3.8264666E7</v>
      </c>
      <c r="M1681" s="493">
        <v>69.9047</v>
      </c>
      <c r="N1681" s="6">
        <v>165.4148</v>
      </c>
    </row>
    <row r="1682">
      <c r="A1682" s="491" t="s">
        <v>2022</v>
      </c>
      <c r="B1682" s="491" t="s">
        <v>1857</v>
      </c>
      <c r="C1682" s="491" t="s">
        <v>1872</v>
      </c>
      <c r="D1682" s="491" t="s">
        <v>1872</v>
      </c>
      <c r="E1682" s="492" t="s">
        <v>134</v>
      </c>
      <c r="F1682" s="493">
        <v>25298.0</v>
      </c>
      <c r="G1682" s="493">
        <v>9554.0</v>
      </c>
      <c r="H1682" s="493">
        <v>37.77</v>
      </c>
      <c r="I1682" s="493">
        <v>4.03</v>
      </c>
      <c r="J1682" s="493">
        <v>3.66</v>
      </c>
      <c r="K1682" s="493">
        <v>1541140.0</v>
      </c>
      <c r="L1682" s="493">
        <v>3.8264666E7</v>
      </c>
      <c r="M1682" s="493">
        <v>60.9194</v>
      </c>
      <c r="N1682" s="6">
        <v>161.3084</v>
      </c>
    </row>
    <row r="1683">
      <c r="A1683" s="491" t="s">
        <v>2022</v>
      </c>
      <c r="B1683" s="491" t="s">
        <v>1857</v>
      </c>
      <c r="C1683" s="491" t="s">
        <v>1872</v>
      </c>
      <c r="D1683" s="491" t="s">
        <v>1872</v>
      </c>
      <c r="E1683" s="492" t="s">
        <v>40</v>
      </c>
      <c r="F1683" s="493">
        <v>25298.0</v>
      </c>
      <c r="G1683" s="493">
        <v>9355.0</v>
      </c>
      <c r="H1683" s="493">
        <v>36.98</v>
      </c>
      <c r="I1683" s="493">
        <v>3.26</v>
      </c>
      <c r="J1683" s="493">
        <v>2.84</v>
      </c>
      <c r="K1683" s="493">
        <v>1246540.0</v>
      </c>
      <c r="L1683" s="493">
        <v>3.8264666E7</v>
      </c>
      <c r="M1683" s="493">
        <v>49.2743</v>
      </c>
      <c r="N1683" s="6">
        <v>133.2485</v>
      </c>
    </row>
    <row r="1684">
      <c r="A1684" s="491" t="s">
        <v>2022</v>
      </c>
      <c r="B1684" s="491" t="s">
        <v>1857</v>
      </c>
      <c r="C1684" s="491" t="s">
        <v>1872</v>
      </c>
      <c r="D1684" s="491" t="s">
        <v>1872</v>
      </c>
      <c r="E1684" s="492" t="s">
        <v>310</v>
      </c>
      <c r="F1684" s="493">
        <v>25298.0</v>
      </c>
      <c r="G1684" s="493">
        <v>6009.0</v>
      </c>
      <c r="H1684" s="493">
        <v>23.75</v>
      </c>
      <c r="I1684" s="493">
        <v>2.75</v>
      </c>
      <c r="J1684" s="493">
        <v>2.24</v>
      </c>
      <c r="K1684" s="493">
        <v>1053350.0</v>
      </c>
      <c r="L1684" s="493">
        <v>3.8264666E7</v>
      </c>
      <c r="M1684" s="493">
        <v>41.6377</v>
      </c>
      <c r="N1684" s="6">
        <v>175.2954</v>
      </c>
    </row>
    <row r="1685">
      <c r="A1685" s="491" t="s">
        <v>2022</v>
      </c>
      <c r="B1685" s="491" t="s">
        <v>1857</v>
      </c>
      <c r="C1685" s="491" t="s">
        <v>1872</v>
      </c>
      <c r="D1685" s="491" t="s">
        <v>1872</v>
      </c>
      <c r="E1685" s="492" t="s">
        <v>312</v>
      </c>
      <c r="F1685" s="493">
        <v>25298.0</v>
      </c>
      <c r="G1685" s="493">
        <v>5818.0</v>
      </c>
      <c r="H1685" s="493">
        <v>23.0</v>
      </c>
      <c r="I1685" s="493">
        <v>2.67</v>
      </c>
      <c r="J1685" s="493">
        <v>2.11</v>
      </c>
      <c r="K1685" s="493">
        <v>1021150.0</v>
      </c>
      <c r="L1685" s="493">
        <v>3.8264666E7</v>
      </c>
      <c r="M1685" s="493">
        <v>40.3649</v>
      </c>
      <c r="N1685" s="6">
        <v>175.5156</v>
      </c>
    </row>
    <row r="1686">
      <c r="A1686" s="491" t="s">
        <v>2022</v>
      </c>
      <c r="B1686" s="491" t="s">
        <v>1857</v>
      </c>
      <c r="C1686" s="491" t="s">
        <v>1872</v>
      </c>
      <c r="D1686" s="491" t="s">
        <v>1872</v>
      </c>
      <c r="E1686" s="492" t="s">
        <v>32</v>
      </c>
      <c r="F1686" s="493">
        <v>25298.0</v>
      </c>
      <c r="G1686" s="493">
        <v>5695.0</v>
      </c>
      <c r="H1686" s="493">
        <v>22.51</v>
      </c>
      <c r="I1686" s="493">
        <v>2.56</v>
      </c>
      <c r="J1686" s="493">
        <v>2.12</v>
      </c>
      <c r="K1686" s="493">
        <v>980220.0</v>
      </c>
      <c r="L1686" s="493">
        <v>3.8264666E7</v>
      </c>
      <c r="M1686" s="493">
        <v>38.7469</v>
      </c>
      <c r="N1686" s="6">
        <v>172.1194</v>
      </c>
    </row>
    <row r="1687">
      <c r="A1687" s="491" t="s">
        <v>2022</v>
      </c>
      <c r="B1687" s="491" t="s">
        <v>1857</v>
      </c>
      <c r="C1687" s="491" t="s">
        <v>1872</v>
      </c>
      <c r="D1687" s="491" t="s">
        <v>1872</v>
      </c>
      <c r="E1687" s="492" t="s">
        <v>44</v>
      </c>
      <c r="F1687" s="493">
        <v>25298.0</v>
      </c>
      <c r="G1687" s="493">
        <v>15338.0</v>
      </c>
      <c r="H1687" s="493">
        <v>60.63</v>
      </c>
      <c r="I1687" s="493">
        <v>2.5</v>
      </c>
      <c r="J1687" s="493">
        <v>2.39</v>
      </c>
      <c r="K1687" s="493">
        <v>958220.0</v>
      </c>
      <c r="L1687" s="493">
        <v>3.8264666E7</v>
      </c>
      <c r="M1687" s="493">
        <v>37.8773</v>
      </c>
      <c r="N1687" s="6">
        <v>62.4736</v>
      </c>
    </row>
    <row r="1688">
      <c r="A1688" s="491" t="s">
        <v>2022</v>
      </c>
      <c r="B1688" s="491" t="s">
        <v>1857</v>
      </c>
      <c r="C1688" s="491" t="s">
        <v>1872</v>
      </c>
      <c r="D1688" s="491" t="s">
        <v>1872</v>
      </c>
      <c r="E1688" s="492" t="s">
        <v>43</v>
      </c>
      <c r="F1688" s="493">
        <v>25298.0</v>
      </c>
      <c r="G1688" s="493">
        <v>3749.0</v>
      </c>
      <c r="H1688" s="493">
        <v>14.82</v>
      </c>
      <c r="I1688" s="493">
        <v>2.12</v>
      </c>
      <c r="J1688" s="493">
        <v>1.58</v>
      </c>
      <c r="K1688" s="493">
        <v>811875.0</v>
      </c>
      <c r="L1688" s="493">
        <v>3.8264666E7</v>
      </c>
      <c r="M1688" s="493">
        <v>32.0925</v>
      </c>
      <c r="N1688" s="6">
        <v>216.5577</v>
      </c>
    </row>
    <row r="1689">
      <c r="A1689" s="491" t="s">
        <v>2022</v>
      </c>
      <c r="B1689" s="491" t="s">
        <v>1857</v>
      </c>
      <c r="C1689" s="491" t="s">
        <v>1872</v>
      </c>
      <c r="D1689" s="491" t="s">
        <v>1872</v>
      </c>
      <c r="E1689" s="492" t="s">
        <v>365</v>
      </c>
      <c r="F1689" s="493">
        <v>25298.0</v>
      </c>
      <c r="G1689" s="493">
        <v>9247.0</v>
      </c>
      <c r="H1689" s="493">
        <v>36.55</v>
      </c>
      <c r="I1689" s="493">
        <v>1.66</v>
      </c>
      <c r="J1689" s="493">
        <v>1.5</v>
      </c>
      <c r="K1689" s="493">
        <v>633850.0</v>
      </c>
      <c r="L1689" s="493">
        <v>3.8264666E7</v>
      </c>
      <c r="M1689" s="493">
        <v>25.0553</v>
      </c>
      <c r="N1689" s="6">
        <v>68.5466</v>
      </c>
    </row>
    <row r="1690">
      <c r="A1690" s="491" t="s">
        <v>2022</v>
      </c>
      <c r="B1690" s="491" t="s">
        <v>1857</v>
      </c>
      <c r="C1690" s="491" t="s">
        <v>1872</v>
      </c>
      <c r="D1690" s="491" t="s">
        <v>1872</v>
      </c>
      <c r="E1690" s="492" t="s">
        <v>369</v>
      </c>
      <c r="F1690" s="493">
        <v>25298.0</v>
      </c>
      <c r="G1690" s="493">
        <v>9824.0</v>
      </c>
      <c r="H1690" s="493">
        <v>38.83</v>
      </c>
      <c r="I1690" s="493">
        <v>1.48</v>
      </c>
      <c r="J1690" s="493">
        <v>1.41</v>
      </c>
      <c r="K1690" s="493">
        <v>564700.0</v>
      </c>
      <c r="L1690" s="493">
        <v>3.8264666E7</v>
      </c>
      <c r="M1690" s="493">
        <v>22.3219</v>
      </c>
      <c r="N1690" s="6">
        <v>57.4817</v>
      </c>
    </row>
    <row r="1691">
      <c r="A1691" s="491" t="s">
        <v>2022</v>
      </c>
      <c r="B1691" s="491" t="s">
        <v>1857</v>
      </c>
      <c r="C1691" s="491" t="s">
        <v>1872</v>
      </c>
      <c r="D1691" s="491" t="s">
        <v>1872</v>
      </c>
      <c r="E1691" s="492" t="s">
        <v>35</v>
      </c>
      <c r="F1691" s="493">
        <v>25298.0</v>
      </c>
      <c r="G1691" s="493">
        <v>6968.0</v>
      </c>
      <c r="H1691" s="493">
        <v>27.54</v>
      </c>
      <c r="I1691" s="493">
        <v>0.91</v>
      </c>
      <c r="J1691" s="493">
        <v>0.89</v>
      </c>
      <c r="K1691" s="493">
        <v>349295.0</v>
      </c>
      <c r="L1691" s="493">
        <v>3.8264666E7</v>
      </c>
      <c r="M1691" s="493">
        <v>13.8072</v>
      </c>
      <c r="N1691" s="6">
        <v>50.1284</v>
      </c>
    </row>
    <row r="1692">
      <c r="A1692" s="491" t="s">
        <v>2022</v>
      </c>
      <c r="B1692" s="491" t="s">
        <v>1857</v>
      </c>
      <c r="C1692" s="491" t="s">
        <v>1872</v>
      </c>
      <c r="D1692" s="491" t="s">
        <v>1872</v>
      </c>
      <c r="E1692" s="492" t="s">
        <v>311</v>
      </c>
      <c r="F1692" s="493">
        <v>25298.0</v>
      </c>
      <c r="G1692" s="493">
        <v>2009.0</v>
      </c>
      <c r="H1692" s="493">
        <v>7.94</v>
      </c>
      <c r="I1692" s="493">
        <v>0.71</v>
      </c>
      <c r="J1692" s="493">
        <v>0.59</v>
      </c>
      <c r="K1692" s="493">
        <v>272600.0</v>
      </c>
      <c r="L1692" s="493">
        <v>3.8264666E7</v>
      </c>
      <c r="M1692" s="493">
        <v>10.7756</v>
      </c>
      <c r="N1692" s="6">
        <v>135.6894</v>
      </c>
    </row>
    <row r="1693">
      <c r="A1693" s="491" t="s">
        <v>2022</v>
      </c>
      <c r="B1693" s="491" t="s">
        <v>1857</v>
      </c>
      <c r="C1693" s="491" t="s">
        <v>1872</v>
      </c>
      <c r="D1693" s="491" t="s">
        <v>1872</v>
      </c>
      <c r="E1693" s="492" t="s">
        <v>189</v>
      </c>
      <c r="F1693" s="493">
        <v>25298.0</v>
      </c>
      <c r="G1693" s="493">
        <v>4916.0</v>
      </c>
      <c r="H1693" s="493">
        <v>19.43</v>
      </c>
      <c r="I1693" s="493">
        <v>0.53</v>
      </c>
      <c r="J1693" s="493">
        <v>0.52</v>
      </c>
      <c r="K1693" s="493">
        <v>201600.0</v>
      </c>
      <c r="L1693" s="493">
        <v>3.8264666E7</v>
      </c>
      <c r="M1693" s="493">
        <v>7.969</v>
      </c>
      <c r="N1693" s="6">
        <v>41.009</v>
      </c>
    </row>
    <row r="1694">
      <c r="A1694" s="491" t="s">
        <v>2022</v>
      </c>
      <c r="B1694" s="491" t="s">
        <v>1857</v>
      </c>
      <c r="C1694" s="491" t="s">
        <v>69</v>
      </c>
      <c r="D1694" s="491" t="s">
        <v>565</v>
      </c>
      <c r="E1694" s="492" t="s">
        <v>371</v>
      </c>
      <c r="F1694" s="493">
        <v>24946.0</v>
      </c>
      <c r="G1694" s="493">
        <v>23682.0</v>
      </c>
      <c r="H1694" s="493">
        <v>94.93</v>
      </c>
      <c r="I1694" s="493">
        <v>48.27</v>
      </c>
      <c r="J1694" s="493">
        <v>43.79</v>
      </c>
      <c r="K1694" s="493">
        <v>222068.0</v>
      </c>
      <c r="L1694" s="493">
        <v>460055.0</v>
      </c>
      <c r="M1694" s="493">
        <v>8.9019</v>
      </c>
      <c r="N1694" s="6">
        <v>9.3771</v>
      </c>
    </row>
    <row r="1695">
      <c r="A1695" s="491" t="s">
        <v>2022</v>
      </c>
      <c r="B1695" s="491" t="s">
        <v>1857</v>
      </c>
      <c r="C1695" s="491" t="s">
        <v>69</v>
      </c>
      <c r="D1695" s="491" t="s">
        <v>565</v>
      </c>
      <c r="E1695" s="492" t="s">
        <v>372</v>
      </c>
      <c r="F1695" s="493">
        <v>24946.0</v>
      </c>
      <c r="G1695" s="493">
        <v>16662.0</v>
      </c>
      <c r="H1695" s="493">
        <v>66.79</v>
      </c>
      <c r="I1695" s="493">
        <v>14.88</v>
      </c>
      <c r="J1695" s="493">
        <v>16.88</v>
      </c>
      <c r="K1695" s="493">
        <v>68438.0</v>
      </c>
      <c r="L1695" s="493">
        <v>460055.0</v>
      </c>
      <c r="M1695" s="493">
        <v>2.7434</v>
      </c>
      <c r="N1695" s="6">
        <v>4.1074</v>
      </c>
    </row>
    <row r="1696">
      <c r="A1696" s="491" t="s">
        <v>2022</v>
      </c>
      <c r="B1696" s="491" t="s">
        <v>1857</v>
      </c>
      <c r="C1696" s="491" t="s">
        <v>69</v>
      </c>
      <c r="D1696" s="491" t="s">
        <v>565</v>
      </c>
      <c r="E1696" s="492" t="s">
        <v>370</v>
      </c>
      <c r="F1696" s="493">
        <v>24946.0</v>
      </c>
      <c r="G1696" s="493">
        <v>18356.0</v>
      </c>
      <c r="H1696" s="493">
        <v>73.58</v>
      </c>
      <c r="I1696" s="493">
        <v>8.58</v>
      </c>
      <c r="J1696" s="493">
        <v>9.71</v>
      </c>
      <c r="K1696" s="493">
        <v>39462.0</v>
      </c>
      <c r="L1696" s="493">
        <v>460055.0</v>
      </c>
      <c r="M1696" s="493">
        <v>1.5819</v>
      </c>
      <c r="N1696" s="6">
        <v>2.1498</v>
      </c>
    </row>
    <row r="1697">
      <c r="A1697" s="491" t="s">
        <v>2022</v>
      </c>
      <c r="B1697" s="491" t="s">
        <v>1857</v>
      </c>
      <c r="C1697" s="491" t="s">
        <v>69</v>
      </c>
      <c r="D1697" s="491" t="s">
        <v>565</v>
      </c>
      <c r="E1697" s="492" t="s">
        <v>368</v>
      </c>
      <c r="F1697" s="493">
        <v>24946.0</v>
      </c>
      <c r="G1697" s="493">
        <v>11000.0</v>
      </c>
      <c r="H1697" s="493">
        <v>44.1</v>
      </c>
      <c r="I1697" s="493">
        <v>7.26</v>
      </c>
      <c r="J1697" s="493">
        <v>8.22</v>
      </c>
      <c r="K1697" s="493">
        <v>33402.0</v>
      </c>
      <c r="L1697" s="493">
        <v>460055.0</v>
      </c>
      <c r="M1697" s="493">
        <v>1.339</v>
      </c>
      <c r="N1697" s="6">
        <v>3.0365</v>
      </c>
    </row>
    <row r="1698">
      <c r="A1698" s="491" t="s">
        <v>2022</v>
      </c>
      <c r="B1698" s="491" t="s">
        <v>1857</v>
      </c>
      <c r="C1698" s="491" t="s">
        <v>69</v>
      </c>
      <c r="D1698" s="491" t="s">
        <v>565</v>
      </c>
      <c r="E1698" s="492" t="s">
        <v>49</v>
      </c>
      <c r="F1698" s="493">
        <v>24946.0</v>
      </c>
      <c r="G1698" s="493">
        <v>12776.0</v>
      </c>
      <c r="H1698" s="493">
        <v>51.21</v>
      </c>
      <c r="I1698" s="493">
        <v>5.85</v>
      </c>
      <c r="J1698" s="493">
        <v>5.66</v>
      </c>
      <c r="K1698" s="493">
        <v>26923.0</v>
      </c>
      <c r="L1698" s="493">
        <v>460055.0</v>
      </c>
      <c r="M1698" s="493">
        <v>1.0793</v>
      </c>
      <c r="N1698" s="6">
        <v>2.1073</v>
      </c>
    </row>
    <row r="1699">
      <c r="A1699" s="491" t="s">
        <v>2022</v>
      </c>
      <c r="B1699" s="491" t="s">
        <v>1857</v>
      </c>
      <c r="C1699" s="491" t="s">
        <v>69</v>
      </c>
      <c r="D1699" s="491" t="s">
        <v>565</v>
      </c>
      <c r="E1699" s="492" t="s">
        <v>44</v>
      </c>
      <c r="F1699" s="493">
        <v>24946.0</v>
      </c>
      <c r="G1699" s="493">
        <v>15477.0</v>
      </c>
      <c r="H1699" s="493">
        <v>62.04</v>
      </c>
      <c r="I1699" s="493">
        <v>5.2</v>
      </c>
      <c r="J1699" s="493">
        <v>6.23</v>
      </c>
      <c r="K1699" s="493">
        <v>23914.0</v>
      </c>
      <c r="L1699" s="493">
        <v>460055.0</v>
      </c>
      <c r="M1699" s="493">
        <v>0.9586</v>
      </c>
      <c r="N1699" s="6">
        <v>1.5451</v>
      </c>
    </row>
    <row r="1700">
      <c r="A1700" s="491" t="s">
        <v>2022</v>
      </c>
      <c r="B1700" s="491" t="s">
        <v>1857</v>
      </c>
      <c r="C1700" s="491" t="s">
        <v>69</v>
      </c>
      <c r="D1700" s="491" t="s">
        <v>565</v>
      </c>
      <c r="E1700" s="492" t="s">
        <v>366</v>
      </c>
      <c r="F1700" s="493">
        <v>24946.0</v>
      </c>
      <c r="G1700" s="493">
        <v>8915.0</v>
      </c>
      <c r="H1700" s="493">
        <v>35.74</v>
      </c>
      <c r="I1700" s="493">
        <v>2.95</v>
      </c>
      <c r="J1700" s="493">
        <v>2.85</v>
      </c>
      <c r="K1700" s="493">
        <v>13576.0</v>
      </c>
      <c r="L1700" s="493">
        <v>460055.0</v>
      </c>
      <c r="M1700" s="493">
        <v>0.5442</v>
      </c>
      <c r="N1700" s="6">
        <v>1.5228</v>
      </c>
    </row>
    <row r="1701">
      <c r="A1701" s="491" t="s">
        <v>2022</v>
      </c>
      <c r="B1701" s="491" t="s">
        <v>1857</v>
      </c>
      <c r="C1701" s="491" t="s">
        <v>69</v>
      </c>
      <c r="D1701" s="491" t="s">
        <v>565</v>
      </c>
      <c r="E1701" s="492" t="s">
        <v>134</v>
      </c>
      <c r="F1701" s="493">
        <v>24946.0</v>
      </c>
      <c r="G1701" s="493">
        <v>6883.0</v>
      </c>
      <c r="H1701" s="493">
        <v>27.59</v>
      </c>
      <c r="I1701" s="493">
        <v>2.47</v>
      </c>
      <c r="J1701" s="493">
        <v>2.29</v>
      </c>
      <c r="K1701" s="493">
        <v>11378.0</v>
      </c>
      <c r="L1701" s="493">
        <v>460055.0</v>
      </c>
      <c r="M1701" s="493">
        <v>0.4561</v>
      </c>
      <c r="N1701" s="6">
        <v>1.6531</v>
      </c>
    </row>
    <row r="1702">
      <c r="A1702" s="491" t="s">
        <v>2022</v>
      </c>
      <c r="B1702" s="491" t="s">
        <v>1857</v>
      </c>
      <c r="C1702" s="491" t="s">
        <v>69</v>
      </c>
      <c r="D1702" s="491" t="s">
        <v>565</v>
      </c>
      <c r="E1702" s="492" t="s">
        <v>369</v>
      </c>
      <c r="F1702" s="493">
        <v>24946.0</v>
      </c>
      <c r="G1702" s="493">
        <v>7632.0</v>
      </c>
      <c r="H1702" s="493">
        <v>30.59</v>
      </c>
      <c r="I1702" s="493">
        <v>2.07</v>
      </c>
      <c r="J1702" s="493">
        <v>1.96</v>
      </c>
      <c r="K1702" s="493">
        <v>9503.0</v>
      </c>
      <c r="L1702" s="493">
        <v>460055.0</v>
      </c>
      <c r="M1702" s="493">
        <v>0.3809</v>
      </c>
      <c r="N1702" s="6">
        <v>1.2452</v>
      </c>
    </row>
    <row r="1703">
      <c r="A1703" s="491" t="s">
        <v>2022</v>
      </c>
      <c r="B1703" s="491" t="s">
        <v>1857</v>
      </c>
      <c r="C1703" s="491" t="s">
        <v>69</v>
      </c>
      <c r="D1703" s="491" t="s">
        <v>565</v>
      </c>
      <c r="E1703" s="492" t="s">
        <v>35</v>
      </c>
      <c r="F1703" s="493">
        <v>24946.0</v>
      </c>
      <c r="G1703" s="493">
        <v>4598.0</v>
      </c>
      <c r="H1703" s="493">
        <v>18.43</v>
      </c>
      <c r="I1703" s="493">
        <v>1.1</v>
      </c>
      <c r="J1703" s="493">
        <v>1.06</v>
      </c>
      <c r="K1703" s="493">
        <v>5040.0</v>
      </c>
      <c r="L1703" s="493">
        <v>460055.0</v>
      </c>
      <c r="M1703" s="493">
        <v>0.202</v>
      </c>
      <c r="N1703" s="6">
        <v>1.0961</v>
      </c>
    </row>
    <row r="1704">
      <c r="A1704" s="491" t="s">
        <v>2022</v>
      </c>
      <c r="B1704" s="491" t="s">
        <v>1857</v>
      </c>
      <c r="C1704" s="491" t="s">
        <v>69</v>
      </c>
      <c r="D1704" s="491" t="s">
        <v>565</v>
      </c>
      <c r="E1704" s="492" t="s">
        <v>189</v>
      </c>
      <c r="F1704" s="493">
        <v>24946.0</v>
      </c>
      <c r="G1704" s="493">
        <v>3521.0</v>
      </c>
      <c r="H1704" s="493">
        <v>14.11</v>
      </c>
      <c r="I1704" s="493">
        <v>0.78</v>
      </c>
      <c r="J1704" s="493">
        <v>0.73</v>
      </c>
      <c r="K1704" s="493">
        <v>3592.0</v>
      </c>
      <c r="L1704" s="493">
        <v>460055.0</v>
      </c>
      <c r="M1704" s="493">
        <v>0.144</v>
      </c>
      <c r="N1704" s="6">
        <v>1.0202</v>
      </c>
    </row>
    <row r="1705">
      <c r="A1705" s="491" t="s">
        <v>2022</v>
      </c>
      <c r="B1705" s="491" t="s">
        <v>1857</v>
      </c>
      <c r="C1705" s="491" t="s">
        <v>69</v>
      </c>
      <c r="D1705" s="491" t="s">
        <v>565</v>
      </c>
      <c r="E1705" s="492" t="s">
        <v>42</v>
      </c>
      <c r="F1705" s="493">
        <v>24946.0</v>
      </c>
      <c r="G1705" s="493">
        <v>1257.0</v>
      </c>
      <c r="H1705" s="493">
        <v>5.04</v>
      </c>
      <c r="I1705" s="493">
        <v>0.3</v>
      </c>
      <c r="J1705" s="493">
        <v>0.34</v>
      </c>
      <c r="K1705" s="493">
        <v>1378.0</v>
      </c>
      <c r="L1705" s="493">
        <v>460055.0</v>
      </c>
      <c r="M1705" s="493">
        <v>0.0552</v>
      </c>
      <c r="N1705" s="6">
        <v>1.0963</v>
      </c>
    </row>
    <row r="1706">
      <c r="A1706" s="491" t="s">
        <v>2022</v>
      </c>
      <c r="B1706" s="491" t="s">
        <v>1857</v>
      </c>
      <c r="C1706" s="491" t="s">
        <v>69</v>
      </c>
      <c r="D1706" s="491" t="s">
        <v>565</v>
      </c>
      <c r="E1706" s="492" t="s">
        <v>50</v>
      </c>
      <c r="F1706" s="493">
        <v>24946.0</v>
      </c>
      <c r="G1706" s="493">
        <v>852.0</v>
      </c>
      <c r="H1706" s="493">
        <v>3.42</v>
      </c>
      <c r="I1706" s="493">
        <v>0.2</v>
      </c>
      <c r="J1706" s="493">
        <v>0.17</v>
      </c>
      <c r="K1706" s="493">
        <v>925.0</v>
      </c>
      <c r="L1706" s="493">
        <v>460055.0</v>
      </c>
      <c r="M1706" s="493">
        <v>0.0371</v>
      </c>
      <c r="N1706" s="6">
        <v>1.0857</v>
      </c>
    </row>
    <row r="1707">
      <c r="A1707" s="491" t="s">
        <v>2022</v>
      </c>
      <c r="B1707" s="491" t="s">
        <v>1857</v>
      </c>
      <c r="C1707" s="491" t="s">
        <v>69</v>
      </c>
      <c r="D1707" s="491" t="s">
        <v>565</v>
      </c>
      <c r="E1707" s="492" t="s">
        <v>43</v>
      </c>
      <c r="F1707" s="493">
        <v>24946.0</v>
      </c>
      <c r="G1707" s="493">
        <v>422.0</v>
      </c>
      <c r="H1707" s="493">
        <v>1.69</v>
      </c>
      <c r="I1707" s="493">
        <v>0.1</v>
      </c>
      <c r="J1707" s="493">
        <v>0.11</v>
      </c>
      <c r="K1707" s="493">
        <v>438.0</v>
      </c>
      <c r="L1707" s="493">
        <v>460055.0</v>
      </c>
      <c r="M1707" s="493">
        <v>0.0176</v>
      </c>
      <c r="N1707" s="6">
        <v>1.0379</v>
      </c>
    </row>
    <row r="1708">
      <c r="A1708" s="491" t="s">
        <v>2022</v>
      </c>
      <c r="B1708" s="491" t="s">
        <v>1857</v>
      </c>
      <c r="C1708" s="491" t="s">
        <v>69</v>
      </c>
      <c r="D1708" s="491" t="s">
        <v>565</v>
      </c>
      <c r="E1708" s="492" t="s">
        <v>32</v>
      </c>
      <c r="F1708" s="493">
        <v>24946.0</v>
      </c>
      <c r="G1708" s="493">
        <v>12.0</v>
      </c>
      <c r="H1708" s="493">
        <v>0.05</v>
      </c>
      <c r="I1708" s="493">
        <v>0.0</v>
      </c>
      <c r="J1708" s="493">
        <v>0.01</v>
      </c>
      <c r="K1708" s="493">
        <v>15.0</v>
      </c>
      <c r="L1708" s="493">
        <v>460055.0</v>
      </c>
      <c r="M1708" s="493">
        <v>6.0E-4</v>
      </c>
      <c r="N1708" s="6">
        <v>1.25</v>
      </c>
    </row>
    <row r="1709">
      <c r="A1709" s="491" t="s">
        <v>2022</v>
      </c>
      <c r="B1709" s="491" t="s">
        <v>1857</v>
      </c>
      <c r="C1709" s="491" t="s">
        <v>69</v>
      </c>
      <c r="D1709" s="491" t="s">
        <v>565</v>
      </c>
      <c r="E1709" s="492" t="s">
        <v>310</v>
      </c>
      <c r="F1709" s="493">
        <v>24946.0</v>
      </c>
      <c r="G1709" s="493">
        <v>1.0</v>
      </c>
      <c r="H1709" s="493">
        <v>0.0</v>
      </c>
      <c r="I1709" s="493">
        <v>0.0</v>
      </c>
      <c r="J1709" s="493">
        <v>0.0</v>
      </c>
      <c r="K1709" s="493">
        <v>3.0</v>
      </c>
      <c r="L1709" s="493">
        <v>460055.0</v>
      </c>
      <c r="M1709" s="493">
        <v>1.0E-4</v>
      </c>
      <c r="N1709" s="6">
        <v>3.0</v>
      </c>
    </row>
    <row r="1710">
      <c r="A1710" s="491" t="s">
        <v>2022</v>
      </c>
      <c r="B1710" s="491" t="s">
        <v>1857</v>
      </c>
      <c r="C1710" s="491" t="s">
        <v>73</v>
      </c>
      <c r="D1710" s="491" t="s">
        <v>565</v>
      </c>
      <c r="E1710" s="492" t="s">
        <v>371</v>
      </c>
      <c r="F1710" s="493">
        <v>24807.0</v>
      </c>
      <c r="G1710" s="493">
        <v>23098.0</v>
      </c>
      <c r="H1710" s="493">
        <v>93.11</v>
      </c>
      <c r="I1710" s="493">
        <v>35.2</v>
      </c>
      <c r="J1710" s="493">
        <v>36.85</v>
      </c>
      <c r="K1710" s="493">
        <v>126745.0</v>
      </c>
      <c r="L1710" s="493">
        <v>360116.0</v>
      </c>
      <c r="M1710" s="493">
        <v>5.1092</v>
      </c>
      <c r="N1710" s="6">
        <v>5.4873</v>
      </c>
    </row>
    <row r="1711">
      <c r="A1711" s="491" t="s">
        <v>2022</v>
      </c>
      <c r="B1711" s="491" t="s">
        <v>1857</v>
      </c>
      <c r="C1711" s="491" t="s">
        <v>73</v>
      </c>
      <c r="D1711" s="491" t="s">
        <v>565</v>
      </c>
      <c r="E1711" s="492" t="s">
        <v>366</v>
      </c>
      <c r="F1711" s="493">
        <v>24807.0</v>
      </c>
      <c r="G1711" s="493">
        <v>16269.0</v>
      </c>
      <c r="H1711" s="493">
        <v>65.58</v>
      </c>
      <c r="I1711" s="493">
        <v>11.52</v>
      </c>
      <c r="J1711" s="493">
        <v>11.8</v>
      </c>
      <c r="K1711" s="493">
        <v>41473.0</v>
      </c>
      <c r="L1711" s="493">
        <v>360116.0</v>
      </c>
      <c r="M1711" s="493">
        <v>1.6718</v>
      </c>
      <c r="N1711" s="6">
        <v>2.5492</v>
      </c>
    </row>
    <row r="1712">
      <c r="A1712" s="491" t="s">
        <v>2022</v>
      </c>
      <c r="B1712" s="491" t="s">
        <v>1857</v>
      </c>
      <c r="C1712" s="491" t="s">
        <v>73</v>
      </c>
      <c r="D1712" s="491" t="s">
        <v>565</v>
      </c>
      <c r="E1712" s="492" t="s">
        <v>372</v>
      </c>
      <c r="F1712" s="493">
        <v>24807.0</v>
      </c>
      <c r="G1712" s="493">
        <v>14629.0</v>
      </c>
      <c r="H1712" s="493">
        <v>58.97</v>
      </c>
      <c r="I1712" s="493">
        <v>11.43</v>
      </c>
      <c r="J1712" s="493">
        <v>12.45</v>
      </c>
      <c r="K1712" s="493">
        <v>41162.0</v>
      </c>
      <c r="L1712" s="493">
        <v>360116.0</v>
      </c>
      <c r="M1712" s="493">
        <v>1.6593</v>
      </c>
      <c r="N1712" s="6">
        <v>2.8137</v>
      </c>
    </row>
    <row r="1713">
      <c r="A1713" s="491" t="s">
        <v>2022</v>
      </c>
      <c r="B1713" s="491" t="s">
        <v>1857</v>
      </c>
      <c r="C1713" s="491" t="s">
        <v>73</v>
      </c>
      <c r="D1713" s="491" t="s">
        <v>565</v>
      </c>
      <c r="E1713" s="492" t="s">
        <v>370</v>
      </c>
      <c r="F1713" s="493">
        <v>24807.0</v>
      </c>
      <c r="G1713" s="493">
        <v>10484.0</v>
      </c>
      <c r="H1713" s="493">
        <v>42.26</v>
      </c>
      <c r="I1713" s="493">
        <v>8.06</v>
      </c>
      <c r="J1713" s="493">
        <v>6.29</v>
      </c>
      <c r="K1713" s="493">
        <v>29040.0</v>
      </c>
      <c r="L1713" s="493">
        <v>360116.0</v>
      </c>
      <c r="M1713" s="493">
        <v>1.1706</v>
      </c>
      <c r="N1713" s="6">
        <v>2.7699</v>
      </c>
    </row>
    <row r="1714">
      <c r="A1714" s="491" t="s">
        <v>2022</v>
      </c>
      <c r="B1714" s="491" t="s">
        <v>1857</v>
      </c>
      <c r="C1714" s="491" t="s">
        <v>73</v>
      </c>
      <c r="D1714" s="491" t="s">
        <v>565</v>
      </c>
      <c r="E1714" s="492" t="s">
        <v>44</v>
      </c>
      <c r="F1714" s="493">
        <v>24807.0</v>
      </c>
      <c r="G1714" s="493">
        <v>12600.0</v>
      </c>
      <c r="H1714" s="493">
        <v>50.79</v>
      </c>
      <c r="I1714" s="493">
        <v>5.31</v>
      </c>
      <c r="J1714" s="493">
        <v>5.66</v>
      </c>
      <c r="K1714" s="493">
        <v>19113.0</v>
      </c>
      <c r="L1714" s="493">
        <v>360116.0</v>
      </c>
      <c r="M1714" s="493">
        <v>0.7705</v>
      </c>
      <c r="N1714" s="6">
        <v>1.5169</v>
      </c>
    </row>
    <row r="1715">
      <c r="A1715" s="491" t="s">
        <v>2022</v>
      </c>
      <c r="B1715" s="491" t="s">
        <v>1857</v>
      </c>
      <c r="C1715" s="491" t="s">
        <v>73</v>
      </c>
      <c r="D1715" s="491" t="s">
        <v>565</v>
      </c>
      <c r="E1715" s="492" t="s">
        <v>367</v>
      </c>
      <c r="F1715" s="493">
        <v>24807.0</v>
      </c>
      <c r="G1715" s="493">
        <v>9573.0</v>
      </c>
      <c r="H1715" s="493">
        <v>38.59</v>
      </c>
      <c r="I1715" s="493">
        <v>4.13</v>
      </c>
      <c r="J1715" s="493">
        <v>3.58</v>
      </c>
      <c r="K1715" s="493">
        <v>14866.0</v>
      </c>
      <c r="L1715" s="493">
        <v>360116.0</v>
      </c>
      <c r="M1715" s="493">
        <v>0.5993</v>
      </c>
      <c r="N1715" s="6">
        <v>1.5529</v>
      </c>
    </row>
    <row r="1716">
      <c r="A1716" s="491" t="s">
        <v>2022</v>
      </c>
      <c r="B1716" s="491" t="s">
        <v>1857</v>
      </c>
      <c r="C1716" s="491" t="s">
        <v>73</v>
      </c>
      <c r="D1716" s="491" t="s">
        <v>565</v>
      </c>
      <c r="E1716" s="492" t="s">
        <v>42</v>
      </c>
      <c r="F1716" s="493">
        <v>24807.0</v>
      </c>
      <c r="G1716" s="493">
        <v>8629.0</v>
      </c>
      <c r="H1716" s="493">
        <v>34.78</v>
      </c>
      <c r="I1716" s="493">
        <v>3.95</v>
      </c>
      <c r="J1716" s="493">
        <v>4.42</v>
      </c>
      <c r="K1716" s="493">
        <v>14219.0</v>
      </c>
      <c r="L1716" s="493">
        <v>360116.0</v>
      </c>
      <c r="M1716" s="493">
        <v>0.5732</v>
      </c>
      <c r="N1716" s="6">
        <v>1.6478</v>
      </c>
    </row>
    <row r="1717">
      <c r="A1717" s="491" t="s">
        <v>2022</v>
      </c>
      <c r="B1717" s="491" t="s">
        <v>1857</v>
      </c>
      <c r="C1717" s="491" t="s">
        <v>73</v>
      </c>
      <c r="D1717" s="491" t="s">
        <v>565</v>
      </c>
      <c r="E1717" s="492" t="s">
        <v>365</v>
      </c>
      <c r="F1717" s="493">
        <v>24807.0</v>
      </c>
      <c r="G1717" s="493">
        <v>5602.0</v>
      </c>
      <c r="H1717" s="493">
        <v>22.58</v>
      </c>
      <c r="I1717" s="493">
        <v>3.93</v>
      </c>
      <c r="J1717" s="493">
        <v>3.0</v>
      </c>
      <c r="K1717" s="493">
        <v>14160.0</v>
      </c>
      <c r="L1717" s="493">
        <v>360116.0</v>
      </c>
      <c r="M1717" s="493">
        <v>0.5708</v>
      </c>
      <c r="N1717" s="6">
        <v>2.5277</v>
      </c>
    </row>
    <row r="1718">
      <c r="A1718" s="491" t="s">
        <v>2022</v>
      </c>
      <c r="B1718" s="491" t="s">
        <v>1857</v>
      </c>
      <c r="C1718" s="491" t="s">
        <v>73</v>
      </c>
      <c r="D1718" s="491" t="s">
        <v>565</v>
      </c>
      <c r="E1718" s="492" t="s">
        <v>134</v>
      </c>
      <c r="F1718" s="493">
        <v>24807.0</v>
      </c>
      <c r="G1718" s="493">
        <v>6707.0</v>
      </c>
      <c r="H1718" s="493">
        <v>27.04</v>
      </c>
      <c r="I1718" s="493">
        <v>3.84</v>
      </c>
      <c r="J1718" s="493">
        <v>4.27</v>
      </c>
      <c r="K1718" s="493">
        <v>13830.0</v>
      </c>
      <c r="L1718" s="493">
        <v>360116.0</v>
      </c>
      <c r="M1718" s="493">
        <v>0.5575</v>
      </c>
      <c r="N1718" s="6">
        <v>2.062</v>
      </c>
    </row>
    <row r="1719">
      <c r="A1719" s="491" t="s">
        <v>2022</v>
      </c>
      <c r="B1719" s="491" t="s">
        <v>1857</v>
      </c>
      <c r="C1719" s="491" t="s">
        <v>73</v>
      </c>
      <c r="D1719" s="491" t="s">
        <v>565</v>
      </c>
      <c r="E1719" s="492" t="s">
        <v>50</v>
      </c>
      <c r="F1719" s="493">
        <v>24807.0</v>
      </c>
      <c r="G1719" s="493">
        <v>7184.0</v>
      </c>
      <c r="H1719" s="493">
        <v>28.96</v>
      </c>
      <c r="I1719" s="493">
        <v>2.83</v>
      </c>
      <c r="J1719" s="493">
        <v>2.98</v>
      </c>
      <c r="K1719" s="493">
        <v>10191.0</v>
      </c>
      <c r="L1719" s="493">
        <v>360116.0</v>
      </c>
      <c r="M1719" s="493">
        <v>0.4108</v>
      </c>
      <c r="N1719" s="6">
        <v>1.4186</v>
      </c>
    </row>
    <row r="1720">
      <c r="A1720" s="491" t="s">
        <v>2022</v>
      </c>
      <c r="B1720" s="491" t="s">
        <v>1857</v>
      </c>
      <c r="C1720" s="491" t="s">
        <v>73</v>
      </c>
      <c r="D1720" s="491" t="s">
        <v>565</v>
      </c>
      <c r="E1720" s="492" t="s">
        <v>40</v>
      </c>
      <c r="F1720" s="493">
        <v>24807.0</v>
      </c>
      <c r="G1720" s="493">
        <v>2547.0</v>
      </c>
      <c r="H1720" s="493">
        <v>10.27</v>
      </c>
      <c r="I1720" s="493">
        <v>2.06</v>
      </c>
      <c r="J1720" s="493">
        <v>1.51</v>
      </c>
      <c r="K1720" s="493">
        <v>7404.0</v>
      </c>
      <c r="L1720" s="493">
        <v>360116.0</v>
      </c>
      <c r="M1720" s="493">
        <v>0.2985</v>
      </c>
      <c r="N1720" s="6">
        <v>2.9069</v>
      </c>
    </row>
    <row r="1721">
      <c r="A1721" s="491" t="s">
        <v>2022</v>
      </c>
      <c r="B1721" s="491" t="s">
        <v>1857</v>
      </c>
      <c r="C1721" s="491" t="s">
        <v>73</v>
      </c>
      <c r="D1721" s="491" t="s">
        <v>565</v>
      </c>
      <c r="E1721" s="492" t="s">
        <v>312</v>
      </c>
      <c r="F1721" s="493">
        <v>24807.0</v>
      </c>
      <c r="G1721" s="493">
        <v>5547.0</v>
      </c>
      <c r="H1721" s="493">
        <v>22.36</v>
      </c>
      <c r="I1721" s="493">
        <v>1.95</v>
      </c>
      <c r="J1721" s="493">
        <v>1.78</v>
      </c>
      <c r="K1721" s="493">
        <v>7028.0</v>
      </c>
      <c r="L1721" s="493">
        <v>360116.0</v>
      </c>
      <c r="M1721" s="493">
        <v>0.2833</v>
      </c>
      <c r="N1721" s="6">
        <v>1.267</v>
      </c>
    </row>
    <row r="1722">
      <c r="A1722" s="491" t="s">
        <v>2022</v>
      </c>
      <c r="B1722" s="491" t="s">
        <v>1857</v>
      </c>
      <c r="C1722" s="491" t="s">
        <v>73</v>
      </c>
      <c r="D1722" s="491" t="s">
        <v>565</v>
      </c>
      <c r="E1722" s="492" t="s">
        <v>310</v>
      </c>
      <c r="F1722" s="493">
        <v>24807.0</v>
      </c>
      <c r="G1722" s="493">
        <v>5238.0</v>
      </c>
      <c r="H1722" s="493">
        <v>21.12</v>
      </c>
      <c r="I1722" s="493">
        <v>1.8</v>
      </c>
      <c r="J1722" s="493">
        <v>1.76</v>
      </c>
      <c r="K1722" s="493">
        <v>6497.0</v>
      </c>
      <c r="L1722" s="493">
        <v>360116.0</v>
      </c>
      <c r="M1722" s="493">
        <v>0.2619</v>
      </c>
      <c r="N1722" s="6">
        <v>1.2404</v>
      </c>
    </row>
    <row r="1723">
      <c r="A1723" s="491" t="s">
        <v>2022</v>
      </c>
      <c r="B1723" s="491" t="s">
        <v>1857</v>
      </c>
      <c r="C1723" s="491" t="s">
        <v>73</v>
      </c>
      <c r="D1723" s="491" t="s">
        <v>565</v>
      </c>
      <c r="E1723" s="492" t="s">
        <v>32</v>
      </c>
      <c r="F1723" s="493">
        <v>24807.0</v>
      </c>
      <c r="G1723" s="493">
        <v>4753.0</v>
      </c>
      <c r="H1723" s="493">
        <v>19.16</v>
      </c>
      <c r="I1723" s="493">
        <v>1.58</v>
      </c>
      <c r="J1723" s="493">
        <v>1.59</v>
      </c>
      <c r="K1723" s="493">
        <v>5701.0</v>
      </c>
      <c r="L1723" s="493">
        <v>360116.0</v>
      </c>
      <c r="M1723" s="493">
        <v>0.2298</v>
      </c>
      <c r="N1723" s="6">
        <v>1.1995</v>
      </c>
    </row>
    <row r="1724">
      <c r="A1724" s="491" t="s">
        <v>2022</v>
      </c>
      <c r="B1724" s="491" t="s">
        <v>1857</v>
      </c>
      <c r="C1724" s="491" t="s">
        <v>73</v>
      </c>
      <c r="D1724" s="491" t="s">
        <v>565</v>
      </c>
      <c r="E1724" s="492" t="s">
        <v>43</v>
      </c>
      <c r="F1724" s="493">
        <v>24807.0</v>
      </c>
      <c r="G1724" s="493">
        <v>3179.0</v>
      </c>
      <c r="H1724" s="493">
        <v>12.81</v>
      </c>
      <c r="I1724" s="493">
        <v>1.01</v>
      </c>
      <c r="J1724" s="493">
        <v>0.99</v>
      </c>
      <c r="K1724" s="493">
        <v>3626.0</v>
      </c>
      <c r="L1724" s="493">
        <v>360116.0</v>
      </c>
      <c r="M1724" s="493">
        <v>0.1462</v>
      </c>
      <c r="N1724" s="6">
        <v>1.1406</v>
      </c>
    </row>
    <row r="1725">
      <c r="A1725" s="491" t="s">
        <v>2022</v>
      </c>
      <c r="B1725" s="491" t="s">
        <v>1857</v>
      </c>
      <c r="C1725" s="491" t="s">
        <v>73</v>
      </c>
      <c r="D1725" s="491" t="s">
        <v>565</v>
      </c>
      <c r="E1725" s="492" t="s">
        <v>35</v>
      </c>
      <c r="F1725" s="493">
        <v>24807.0</v>
      </c>
      <c r="G1725" s="493">
        <v>2544.0</v>
      </c>
      <c r="H1725" s="493">
        <v>10.26</v>
      </c>
      <c r="I1725" s="493">
        <v>0.77</v>
      </c>
      <c r="J1725" s="493">
        <v>0.49</v>
      </c>
      <c r="K1725" s="493">
        <v>2756.0</v>
      </c>
      <c r="L1725" s="493">
        <v>360116.0</v>
      </c>
      <c r="M1725" s="493">
        <v>0.1111</v>
      </c>
      <c r="N1725" s="6">
        <v>1.0833</v>
      </c>
    </row>
    <row r="1726">
      <c r="A1726" s="491" t="s">
        <v>2022</v>
      </c>
      <c r="B1726" s="491" t="s">
        <v>1857</v>
      </c>
      <c r="C1726" s="491" t="s">
        <v>73</v>
      </c>
      <c r="D1726" s="491" t="s">
        <v>565</v>
      </c>
      <c r="E1726" s="492" t="s">
        <v>311</v>
      </c>
      <c r="F1726" s="493">
        <v>24807.0</v>
      </c>
      <c r="G1726" s="493">
        <v>1665.0</v>
      </c>
      <c r="H1726" s="493">
        <v>6.71</v>
      </c>
      <c r="I1726" s="493">
        <v>0.47</v>
      </c>
      <c r="J1726" s="493">
        <v>0.51</v>
      </c>
      <c r="K1726" s="493">
        <v>1689.0</v>
      </c>
      <c r="L1726" s="493">
        <v>360116.0</v>
      </c>
      <c r="M1726" s="493">
        <v>0.0681</v>
      </c>
      <c r="N1726" s="6">
        <v>1.0144</v>
      </c>
    </row>
    <row r="1727">
      <c r="A1727" s="491" t="s">
        <v>2022</v>
      </c>
      <c r="B1727" s="491" t="s">
        <v>1857</v>
      </c>
      <c r="C1727" s="491" t="s">
        <v>73</v>
      </c>
      <c r="D1727" s="491" t="s">
        <v>565</v>
      </c>
      <c r="E1727" s="492" t="s">
        <v>189</v>
      </c>
      <c r="F1727" s="493">
        <v>24807.0</v>
      </c>
      <c r="G1727" s="493">
        <v>597.0</v>
      </c>
      <c r="H1727" s="493">
        <v>2.41</v>
      </c>
      <c r="I1727" s="493">
        <v>0.17</v>
      </c>
      <c r="J1727" s="493">
        <v>0.07</v>
      </c>
      <c r="K1727" s="493">
        <v>616.0</v>
      </c>
      <c r="L1727" s="493">
        <v>360116.0</v>
      </c>
      <c r="M1727" s="493">
        <v>0.0248</v>
      </c>
      <c r="N1727" s="6">
        <v>1.0318</v>
      </c>
    </row>
    <row r="1728">
      <c r="A1728" s="491" t="s">
        <v>2022</v>
      </c>
      <c r="B1728" s="491" t="s">
        <v>1857</v>
      </c>
      <c r="C1728" s="491" t="s">
        <v>72</v>
      </c>
      <c r="D1728" s="491" t="s">
        <v>565</v>
      </c>
      <c r="E1728" s="492" t="s">
        <v>371</v>
      </c>
      <c r="F1728" s="493">
        <v>24647.0</v>
      </c>
      <c r="G1728" s="493">
        <v>21195.0</v>
      </c>
      <c r="H1728" s="493">
        <v>85.99</v>
      </c>
      <c r="I1728" s="493">
        <v>27.87</v>
      </c>
      <c r="J1728" s="493">
        <v>29.29</v>
      </c>
      <c r="K1728" s="493">
        <v>94512.0</v>
      </c>
      <c r="L1728" s="493">
        <v>339166.0</v>
      </c>
      <c r="M1728" s="493">
        <v>3.8346</v>
      </c>
      <c r="N1728" s="6">
        <v>4.4592</v>
      </c>
    </row>
    <row r="1729">
      <c r="A1729" s="491" t="s">
        <v>2022</v>
      </c>
      <c r="B1729" s="491" t="s">
        <v>1857</v>
      </c>
      <c r="C1729" s="491" t="s">
        <v>72</v>
      </c>
      <c r="D1729" s="491" t="s">
        <v>565</v>
      </c>
      <c r="E1729" s="492" t="s">
        <v>370</v>
      </c>
      <c r="F1729" s="493">
        <v>24647.0</v>
      </c>
      <c r="G1729" s="493">
        <v>9159.0</v>
      </c>
      <c r="H1729" s="493">
        <v>37.16</v>
      </c>
      <c r="I1729" s="493">
        <v>8.47</v>
      </c>
      <c r="J1729" s="493">
        <v>5.95</v>
      </c>
      <c r="K1729" s="493">
        <v>28725.0</v>
      </c>
      <c r="L1729" s="493">
        <v>339166.0</v>
      </c>
      <c r="M1729" s="493">
        <v>1.1655</v>
      </c>
      <c r="N1729" s="6">
        <v>3.1363</v>
      </c>
    </row>
    <row r="1730">
      <c r="A1730" s="491" t="s">
        <v>2022</v>
      </c>
      <c r="B1730" s="491" t="s">
        <v>1857</v>
      </c>
      <c r="C1730" s="491" t="s">
        <v>72</v>
      </c>
      <c r="D1730" s="491" t="s">
        <v>565</v>
      </c>
      <c r="E1730" s="492" t="s">
        <v>372</v>
      </c>
      <c r="F1730" s="493">
        <v>24647.0</v>
      </c>
      <c r="G1730" s="493">
        <v>10263.0</v>
      </c>
      <c r="H1730" s="493">
        <v>41.64</v>
      </c>
      <c r="I1730" s="493">
        <v>8.36</v>
      </c>
      <c r="J1730" s="493">
        <v>7.62</v>
      </c>
      <c r="K1730" s="493">
        <v>28361.0</v>
      </c>
      <c r="L1730" s="493">
        <v>339166.0</v>
      </c>
      <c r="M1730" s="493">
        <v>1.1507</v>
      </c>
      <c r="N1730" s="6">
        <v>2.7634</v>
      </c>
    </row>
    <row r="1731">
      <c r="A1731" s="491" t="s">
        <v>2022</v>
      </c>
      <c r="B1731" s="491" t="s">
        <v>1857</v>
      </c>
      <c r="C1731" s="491" t="s">
        <v>72</v>
      </c>
      <c r="D1731" s="491" t="s">
        <v>565</v>
      </c>
      <c r="E1731" s="492" t="s">
        <v>366</v>
      </c>
      <c r="F1731" s="493">
        <v>24647.0</v>
      </c>
      <c r="G1731" s="493">
        <v>13458.0</v>
      </c>
      <c r="H1731" s="493">
        <v>54.6</v>
      </c>
      <c r="I1731" s="493">
        <v>8.16</v>
      </c>
      <c r="J1731" s="493">
        <v>8.4</v>
      </c>
      <c r="K1731" s="493">
        <v>27685.0</v>
      </c>
      <c r="L1731" s="493">
        <v>339166.0</v>
      </c>
      <c r="M1731" s="493">
        <v>1.1233</v>
      </c>
      <c r="N1731" s="6">
        <v>2.0571</v>
      </c>
    </row>
    <row r="1732">
      <c r="A1732" s="491" t="s">
        <v>2022</v>
      </c>
      <c r="B1732" s="491" t="s">
        <v>1857</v>
      </c>
      <c r="C1732" s="491" t="s">
        <v>72</v>
      </c>
      <c r="D1732" s="491" t="s">
        <v>565</v>
      </c>
      <c r="E1732" s="492" t="s">
        <v>49</v>
      </c>
      <c r="F1732" s="493">
        <v>24647.0</v>
      </c>
      <c r="G1732" s="493">
        <v>12776.0</v>
      </c>
      <c r="H1732" s="493">
        <v>51.84</v>
      </c>
      <c r="I1732" s="493">
        <v>7.94</v>
      </c>
      <c r="J1732" s="493">
        <v>8.92</v>
      </c>
      <c r="K1732" s="493">
        <v>26923.0</v>
      </c>
      <c r="L1732" s="493">
        <v>339166.0</v>
      </c>
      <c r="M1732" s="493">
        <v>1.0923</v>
      </c>
      <c r="N1732" s="6">
        <v>2.1073</v>
      </c>
    </row>
    <row r="1733">
      <c r="A1733" s="491" t="s">
        <v>2022</v>
      </c>
      <c r="B1733" s="491" t="s">
        <v>1857</v>
      </c>
      <c r="C1733" s="491" t="s">
        <v>72</v>
      </c>
      <c r="D1733" s="491" t="s">
        <v>565</v>
      </c>
      <c r="E1733" s="492" t="s">
        <v>368</v>
      </c>
      <c r="F1733" s="493">
        <v>24647.0</v>
      </c>
      <c r="G1733" s="493">
        <v>9784.0</v>
      </c>
      <c r="H1733" s="493">
        <v>39.7</v>
      </c>
      <c r="I1733" s="493">
        <v>7.35</v>
      </c>
      <c r="J1733" s="493">
        <v>11.01</v>
      </c>
      <c r="K1733" s="493">
        <v>24918.0</v>
      </c>
      <c r="L1733" s="493">
        <v>339166.0</v>
      </c>
      <c r="M1733" s="493">
        <v>1.011</v>
      </c>
      <c r="N1733" s="6">
        <v>2.5468</v>
      </c>
    </row>
    <row r="1734">
      <c r="A1734" s="491" t="s">
        <v>2022</v>
      </c>
      <c r="B1734" s="491" t="s">
        <v>1857</v>
      </c>
      <c r="C1734" s="491" t="s">
        <v>72</v>
      </c>
      <c r="D1734" s="491" t="s">
        <v>565</v>
      </c>
      <c r="E1734" s="492" t="s">
        <v>367</v>
      </c>
      <c r="F1734" s="493">
        <v>24647.0</v>
      </c>
      <c r="G1734" s="493">
        <v>11264.0</v>
      </c>
      <c r="H1734" s="493">
        <v>45.7</v>
      </c>
      <c r="I1734" s="493">
        <v>6.16</v>
      </c>
      <c r="J1734" s="493">
        <v>5.5</v>
      </c>
      <c r="K1734" s="493">
        <v>20894.0</v>
      </c>
      <c r="L1734" s="493">
        <v>339166.0</v>
      </c>
      <c r="M1734" s="493">
        <v>0.8477</v>
      </c>
      <c r="N1734" s="6">
        <v>1.8549</v>
      </c>
    </row>
    <row r="1735">
      <c r="A1735" s="491" t="s">
        <v>2022</v>
      </c>
      <c r="B1735" s="491" t="s">
        <v>1857</v>
      </c>
      <c r="C1735" s="491" t="s">
        <v>72</v>
      </c>
      <c r="D1735" s="491" t="s">
        <v>565</v>
      </c>
      <c r="E1735" s="492" t="s">
        <v>44</v>
      </c>
      <c r="F1735" s="493">
        <v>24647.0</v>
      </c>
      <c r="G1735" s="493">
        <v>10477.0</v>
      </c>
      <c r="H1735" s="493">
        <v>42.51</v>
      </c>
      <c r="I1735" s="493">
        <v>4.71</v>
      </c>
      <c r="J1735" s="493">
        <v>4.23</v>
      </c>
      <c r="K1735" s="493">
        <v>15970.0</v>
      </c>
      <c r="L1735" s="493">
        <v>339166.0</v>
      </c>
      <c r="M1735" s="493">
        <v>0.6479</v>
      </c>
      <c r="N1735" s="6">
        <v>1.5243</v>
      </c>
    </row>
    <row r="1736">
      <c r="A1736" s="491" t="s">
        <v>2022</v>
      </c>
      <c r="B1736" s="491" t="s">
        <v>1857</v>
      </c>
      <c r="C1736" s="491" t="s">
        <v>72</v>
      </c>
      <c r="D1736" s="491" t="s">
        <v>565</v>
      </c>
      <c r="E1736" s="492" t="s">
        <v>40</v>
      </c>
      <c r="F1736" s="493">
        <v>24647.0</v>
      </c>
      <c r="G1736" s="493">
        <v>7614.0</v>
      </c>
      <c r="H1736" s="493">
        <v>30.89</v>
      </c>
      <c r="I1736" s="493">
        <v>4.39</v>
      </c>
      <c r="J1736" s="493">
        <v>4.31</v>
      </c>
      <c r="K1736" s="493">
        <v>14894.0</v>
      </c>
      <c r="L1736" s="493">
        <v>339166.0</v>
      </c>
      <c r="M1736" s="493">
        <v>0.6043</v>
      </c>
      <c r="N1736" s="6">
        <v>1.9561</v>
      </c>
    </row>
    <row r="1737">
      <c r="A1737" s="491" t="s">
        <v>2022</v>
      </c>
      <c r="B1737" s="491" t="s">
        <v>1857</v>
      </c>
      <c r="C1737" s="491" t="s">
        <v>72</v>
      </c>
      <c r="D1737" s="491" t="s">
        <v>565</v>
      </c>
      <c r="E1737" s="492" t="s">
        <v>365</v>
      </c>
      <c r="F1737" s="493">
        <v>24647.0</v>
      </c>
      <c r="G1737" s="493">
        <v>5657.0</v>
      </c>
      <c r="H1737" s="493">
        <v>22.95</v>
      </c>
      <c r="I1737" s="493">
        <v>4.2</v>
      </c>
      <c r="J1737" s="493">
        <v>3.29</v>
      </c>
      <c r="K1737" s="493">
        <v>14259.0</v>
      </c>
      <c r="L1737" s="493">
        <v>339166.0</v>
      </c>
      <c r="M1737" s="493">
        <v>0.5785</v>
      </c>
      <c r="N1737" s="6">
        <v>2.5206</v>
      </c>
    </row>
    <row r="1738">
      <c r="A1738" s="491" t="s">
        <v>2022</v>
      </c>
      <c r="B1738" s="491" t="s">
        <v>1857</v>
      </c>
      <c r="C1738" s="491" t="s">
        <v>72</v>
      </c>
      <c r="D1738" s="491" t="s">
        <v>565</v>
      </c>
      <c r="E1738" s="492" t="s">
        <v>134</v>
      </c>
      <c r="F1738" s="493">
        <v>24647.0</v>
      </c>
      <c r="G1738" s="493">
        <v>4343.0</v>
      </c>
      <c r="H1738" s="493">
        <v>17.62</v>
      </c>
      <c r="I1738" s="493">
        <v>3.15</v>
      </c>
      <c r="J1738" s="493">
        <v>2.01</v>
      </c>
      <c r="K1738" s="493">
        <v>10670.0</v>
      </c>
      <c r="L1738" s="493">
        <v>339166.0</v>
      </c>
      <c r="M1738" s="493">
        <v>0.4329</v>
      </c>
      <c r="N1738" s="6">
        <v>2.4568</v>
      </c>
    </row>
    <row r="1739">
      <c r="A1739" s="491" t="s">
        <v>2022</v>
      </c>
      <c r="B1739" s="491" t="s">
        <v>1857</v>
      </c>
      <c r="C1739" s="491" t="s">
        <v>72</v>
      </c>
      <c r="D1739" s="491" t="s">
        <v>565</v>
      </c>
      <c r="E1739" s="492" t="s">
        <v>42</v>
      </c>
      <c r="F1739" s="493">
        <v>24647.0</v>
      </c>
      <c r="G1739" s="493">
        <v>5643.0</v>
      </c>
      <c r="H1739" s="493">
        <v>22.9</v>
      </c>
      <c r="I1739" s="493">
        <v>2.23</v>
      </c>
      <c r="J1739" s="493">
        <v>2.61</v>
      </c>
      <c r="K1739" s="493">
        <v>7565.0</v>
      </c>
      <c r="L1739" s="493">
        <v>339166.0</v>
      </c>
      <c r="M1739" s="493">
        <v>0.3069</v>
      </c>
      <c r="N1739" s="6">
        <v>1.3406</v>
      </c>
    </row>
    <row r="1740">
      <c r="A1740" s="491" t="s">
        <v>2022</v>
      </c>
      <c r="B1740" s="491" t="s">
        <v>1857</v>
      </c>
      <c r="C1740" s="491" t="s">
        <v>72</v>
      </c>
      <c r="D1740" s="491" t="s">
        <v>565</v>
      </c>
      <c r="E1740" s="492" t="s">
        <v>50</v>
      </c>
      <c r="F1740" s="493">
        <v>24647.0</v>
      </c>
      <c r="G1740" s="493">
        <v>5371.0</v>
      </c>
      <c r="H1740" s="493">
        <v>21.79</v>
      </c>
      <c r="I1740" s="493">
        <v>2.16</v>
      </c>
      <c r="J1740" s="493">
        <v>2.12</v>
      </c>
      <c r="K1740" s="493">
        <v>7340.0</v>
      </c>
      <c r="L1740" s="493">
        <v>339166.0</v>
      </c>
      <c r="M1740" s="493">
        <v>0.2978</v>
      </c>
      <c r="N1740" s="6">
        <v>1.3666</v>
      </c>
    </row>
    <row r="1741">
      <c r="A1741" s="491" t="s">
        <v>2022</v>
      </c>
      <c r="B1741" s="491" t="s">
        <v>1857</v>
      </c>
      <c r="C1741" s="491" t="s">
        <v>72</v>
      </c>
      <c r="D1741" s="491" t="s">
        <v>565</v>
      </c>
      <c r="E1741" s="492" t="s">
        <v>369</v>
      </c>
      <c r="F1741" s="493">
        <v>24647.0</v>
      </c>
      <c r="G1741" s="493">
        <v>3242.0</v>
      </c>
      <c r="H1741" s="493">
        <v>13.15</v>
      </c>
      <c r="I1741" s="493">
        <v>1.14</v>
      </c>
      <c r="J1741" s="493">
        <v>0.63</v>
      </c>
      <c r="K1741" s="493">
        <v>3871.0</v>
      </c>
      <c r="L1741" s="493">
        <v>339166.0</v>
      </c>
      <c r="M1741" s="493">
        <v>0.1571</v>
      </c>
      <c r="N1741" s="6">
        <v>1.194</v>
      </c>
    </row>
    <row r="1742">
      <c r="A1742" s="491" t="s">
        <v>2022</v>
      </c>
      <c r="B1742" s="491" t="s">
        <v>1857</v>
      </c>
      <c r="C1742" s="491" t="s">
        <v>72</v>
      </c>
      <c r="D1742" s="491" t="s">
        <v>565</v>
      </c>
      <c r="E1742" s="492" t="s">
        <v>312</v>
      </c>
      <c r="F1742" s="493">
        <v>24647.0</v>
      </c>
      <c r="G1742" s="493">
        <v>3055.0</v>
      </c>
      <c r="H1742" s="493">
        <v>12.4</v>
      </c>
      <c r="I1742" s="493">
        <v>1.05</v>
      </c>
      <c r="J1742" s="493">
        <v>1.15</v>
      </c>
      <c r="K1742" s="493">
        <v>3549.0</v>
      </c>
      <c r="L1742" s="493">
        <v>339166.0</v>
      </c>
      <c r="M1742" s="493">
        <v>0.144</v>
      </c>
      <c r="N1742" s="6">
        <v>1.1617</v>
      </c>
    </row>
    <row r="1743">
      <c r="A1743" s="491" t="s">
        <v>2022</v>
      </c>
      <c r="B1743" s="491" t="s">
        <v>1857</v>
      </c>
      <c r="C1743" s="491" t="s">
        <v>72</v>
      </c>
      <c r="D1743" s="491" t="s">
        <v>565</v>
      </c>
      <c r="E1743" s="492" t="s">
        <v>310</v>
      </c>
      <c r="F1743" s="493">
        <v>24647.0</v>
      </c>
      <c r="G1743" s="493">
        <v>2343.0</v>
      </c>
      <c r="H1743" s="493">
        <v>9.51</v>
      </c>
      <c r="I1743" s="493">
        <v>0.75</v>
      </c>
      <c r="J1743" s="493">
        <v>0.91</v>
      </c>
      <c r="K1743" s="493">
        <v>2529.0</v>
      </c>
      <c r="L1743" s="493">
        <v>339166.0</v>
      </c>
      <c r="M1743" s="493">
        <v>0.1026</v>
      </c>
      <c r="N1743" s="6">
        <v>1.0794</v>
      </c>
    </row>
    <row r="1744">
      <c r="A1744" s="491" t="s">
        <v>2022</v>
      </c>
      <c r="B1744" s="491" t="s">
        <v>1857</v>
      </c>
      <c r="C1744" s="491" t="s">
        <v>72</v>
      </c>
      <c r="D1744" s="491" t="s">
        <v>565</v>
      </c>
      <c r="E1744" s="492" t="s">
        <v>43</v>
      </c>
      <c r="F1744" s="493">
        <v>24647.0</v>
      </c>
      <c r="G1744" s="493">
        <v>2147.0</v>
      </c>
      <c r="H1744" s="493">
        <v>8.71</v>
      </c>
      <c r="I1744" s="493">
        <v>0.68</v>
      </c>
      <c r="J1744" s="493">
        <v>0.82</v>
      </c>
      <c r="K1744" s="493">
        <v>2318.0</v>
      </c>
      <c r="L1744" s="493">
        <v>339166.0</v>
      </c>
      <c r="M1744" s="493">
        <v>0.094</v>
      </c>
      <c r="N1744" s="6">
        <v>1.0796</v>
      </c>
    </row>
    <row r="1745">
      <c r="A1745" s="491" t="s">
        <v>2022</v>
      </c>
      <c r="B1745" s="491" t="s">
        <v>1857</v>
      </c>
      <c r="C1745" s="491" t="s">
        <v>72</v>
      </c>
      <c r="D1745" s="491" t="s">
        <v>565</v>
      </c>
      <c r="E1745" s="492" t="s">
        <v>32</v>
      </c>
      <c r="F1745" s="493">
        <v>24647.0</v>
      </c>
      <c r="G1745" s="493">
        <v>2006.0</v>
      </c>
      <c r="H1745" s="493">
        <v>8.14</v>
      </c>
      <c r="I1745" s="493">
        <v>0.66</v>
      </c>
      <c r="J1745" s="493">
        <v>0.77</v>
      </c>
      <c r="K1745" s="493">
        <v>2234.0</v>
      </c>
      <c r="L1745" s="493">
        <v>339166.0</v>
      </c>
      <c r="M1745" s="493">
        <v>0.0906</v>
      </c>
      <c r="N1745" s="6">
        <v>1.1137</v>
      </c>
    </row>
    <row r="1746">
      <c r="A1746" s="491" t="s">
        <v>2022</v>
      </c>
      <c r="B1746" s="491" t="s">
        <v>1857</v>
      </c>
      <c r="C1746" s="491" t="s">
        <v>72</v>
      </c>
      <c r="D1746" s="491" t="s">
        <v>565</v>
      </c>
      <c r="E1746" s="492" t="s">
        <v>189</v>
      </c>
      <c r="F1746" s="493">
        <v>24647.0</v>
      </c>
      <c r="G1746" s="493">
        <v>1227.0</v>
      </c>
      <c r="H1746" s="493">
        <v>4.98</v>
      </c>
      <c r="I1746" s="493">
        <v>0.37</v>
      </c>
      <c r="J1746" s="493">
        <v>0.19</v>
      </c>
      <c r="K1746" s="493">
        <v>1256.0</v>
      </c>
      <c r="L1746" s="493">
        <v>339166.0</v>
      </c>
      <c r="M1746" s="493">
        <v>0.051</v>
      </c>
      <c r="N1746" s="6">
        <v>1.0236</v>
      </c>
    </row>
    <row r="1747">
      <c r="A1747" s="491" t="s">
        <v>2022</v>
      </c>
      <c r="B1747" s="491" t="s">
        <v>1857</v>
      </c>
      <c r="C1747" s="491" t="s">
        <v>72</v>
      </c>
      <c r="D1747" s="491" t="s">
        <v>565</v>
      </c>
      <c r="E1747" s="492" t="s">
        <v>311</v>
      </c>
      <c r="F1747" s="493">
        <v>24647.0</v>
      </c>
      <c r="G1747" s="493">
        <v>676.0</v>
      </c>
      <c r="H1747" s="493">
        <v>2.74</v>
      </c>
      <c r="I1747" s="493">
        <v>0.2</v>
      </c>
      <c r="J1747" s="493">
        <v>0.27</v>
      </c>
      <c r="K1747" s="493">
        <v>693.0</v>
      </c>
      <c r="L1747" s="493">
        <v>339166.0</v>
      </c>
      <c r="M1747" s="493">
        <v>0.0281</v>
      </c>
      <c r="N1747" s="6">
        <v>1.0251</v>
      </c>
    </row>
    <row r="1748">
      <c r="A1748" s="491" t="s">
        <v>2022</v>
      </c>
      <c r="B1748" s="491" t="s">
        <v>1857</v>
      </c>
      <c r="C1748" s="491" t="s">
        <v>1873</v>
      </c>
      <c r="D1748" s="491" t="s">
        <v>2018</v>
      </c>
      <c r="E1748" s="492" t="s">
        <v>372</v>
      </c>
      <c r="F1748" s="493">
        <v>15683.0</v>
      </c>
      <c r="G1748" s="493">
        <v>6308.0</v>
      </c>
      <c r="H1748" s="493">
        <v>40.22</v>
      </c>
      <c r="I1748" s="493">
        <v>26.82</v>
      </c>
      <c r="J1748" s="493">
        <v>23.69</v>
      </c>
      <c r="K1748" s="493">
        <v>172405.0</v>
      </c>
      <c r="L1748" s="493">
        <v>642905.0</v>
      </c>
      <c r="M1748" s="493">
        <v>10.9931</v>
      </c>
      <c r="N1748" s="6">
        <v>27.3312</v>
      </c>
    </row>
    <row r="1749">
      <c r="A1749" s="491" t="s">
        <v>2022</v>
      </c>
      <c r="B1749" s="491" t="s">
        <v>1857</v>
      </c>
      <c r="C1749" s="491" t="s">
        <v>1873</v>
      </c>
      <c r="D1749" s="491" t="s">
        <v>2018</v>
      </c>
      <c r="E1749" s="492" t="s">
        <v>134</v>
      </c>
      <c r="F1749" s="493">
        <v>15683.0</v>
      </c>
      <c r="G1749" s="493">
        <v>6308.0</v>
      </c>
      <c r="H1749" s="493">
        <v>40.22</v>
      </c>
      <c r="I1749" s="493">
        <v>24.04</v>
      </c>
      <c r="J1749" s="493">
        <v>24.26</v>
      </c>
      <c r="K1749" s="493">
        <v>154530.0</v>
      </c>
      <c r="L1749" s="493">
        <v>642905.0</v>
      </c>
      <c r="M1749" s="493">
        <v>9.8533</v>
      </c>
      <c r="N1749" s="6">
        <v>24.4975</v>
      </c>
    </row>
    <row r="1750">
      <c r="A1750" s="491" t="s">
        <v>2022</v>
      </c>
      <c r="B1750" s="491" t="s">
        <v>1857</v>
      </c>
      <c r="C1750" s="491" t="s">
        <v>1873</v>
      </c>
      <c r="D1750" s="491" t="s">
        <v>2018</v>
      </c>
      <c r="E1750" s="492" t="s">
        <v>369</v>
      </c>
      <c r="F1750" s="493">
        <v>15683.0</v>
      </c>
      <c r="G1750" s="493">
        <v>8011.0</v>
      </c>
      <c r="H1750" s="493">
        <v>51.08</v>
      </c>
      <c r="I1750" s="493">
        <v>20.89</v>
      </c>
      <c r="J1750" s="493">
        <v>25.95</v>
      </c>
      <c r="K1750" s="493">
        <v>134285.0</v>
      </c>
      <c r="L1750" s="493">
        <v>642905.0</v>
      </c>
      <c r="M1750" s="493">
        <v>8.5625</v>
      </c>
      <c r="N1750" s="6">
        <v>16.7626</v>
      </c>
    </row>
    <row r="1751">
      <c r="A1751" s="491" t="s">
        <v>2022</v>
      </c>
      <c r="B1751" s="491" t="s">
        <v>1857</v>
      </c>
      <c r="C1751" s="491" t="s">
        <v>1873</v>
      </c>
      <c r="D1751" s="491" t="s">
        <v>2018</v>
      </c>
      <c r="E1751" s="492" t="s">
        <v>189</v>
      </c>
      <c r="F1751" s="493">
        <v>15683.0</v>
      </c>
      <c r="G1751" s="493">
        <v>4264.0</v>
      </c>
      <c r="H1751" s="493">
        <v>27.19</v>
      </c>
      <c r="I1751" s="493">
        <v>9.76</v>
      </c>
      <c r="J1751" s="493">
        <v>12.11</v>
      </c>
      <c r="K1751" s="493">
        <v>62765.0</v>
      </c>
      <c r="L1751" s="493">
        <v>642905.0</v>
      </c>
      <c r="M1751" s="493">
        <v>4.0021</v>
      </c>
      <c r="N1751" s="6">
        <v>14.7197</v>
      </c>
    </row>
    <row r="1752">
      <c r="A1752" s="491" t="s">
        <v>2022</v>
      </c>
      <c r="B1752" s="491" t="s">
        <v>1857</v>
      </c>
      <c r="C1752" s="491" t="s">
        <v>1873</v>
      </c>
      <c r="D1752" s="491" t="s">
        <v>2018</v>
      </c>
      <c r="E1752" s="492" t="s">
        <v>367</v>
      </c>
      <c r="F1752" s="493">
        <v>15683.0</v>
      </c>
      <c r="G1752" s="493">
        <v>2005.0</v>
      </c>
      <c r="H1752" s="493">
        <v>12.78</v>
      </c>
      <c r="I1752" s="493">
        <v>9.52</v>
      </c>
      <c r="J1752" s="493">
        <v>5.38</v>
      </c>
      <c r="K1752" s="493">
        <v>61200.0</v>
      </c>
      <c r="L1752" s="493">
        <v>642905.0</v>
      </c>
      <c r="M1752" s="493">
        <v>3.9023</v>
      </c>
      <c r="N1752" s="6">
        <v>30.5237</v>
      </c>
    </row>
    <row r="1753">
      <c r="A1753" s="491" t="s">
        <v>2022</v>
      </c>
      <c r="B1753" s="491" t="s">
        <v>1857</v>
      </c>
      <c r="C1753" s="491" t="s">
        <v>1873</v>
      </c>
      <c r="D1753" s="491" t="s">
        <v>2018</v>
      </c>
      <c r="E1753" s="492" t="s">
        <v>35</v>
      </c>
      <c r="F1753" s="493">
        <v>15683.0</v>
      </c>
      <c r="G1753" s="493">
        <v>3129.0</v>
      </c>
      <c r="H1753" s="493">
        <v>19.95</v>
      </c>
      <c r="I1753" s="493">
        <v>7.99</v>
      </c>
      <c r="J1753" s="493">
        <v>7.59</v>
      </c>
      <c r="K1753" s="493">
        <v>51375.0</v>
      </c>
      <c r="L1753" s="493">
        <v>642905.0</v>
      </c>
      <c r="M1753" s="493">
        <v>3.2758</v>
      </c>
      <c r="N1753" s="6">
        <v>16.419</v>
      </c>
    </row>
    <row r="1754">
      <c r="A1754" s="491" t="s">
        <v>2022</v>
      </c>
      <c r="B1754" s="491" t="s">
        <v>1857</v>
      </c>
      <c r="C1754" s="491" t="s">
        <v>1873</v>
      </c>
      <c r="D1754" s="491" t="s">
        <v>2018</v>
      </c>
      <c r="E1754" s="492" t="s">
        <v>370</v>
      </c>
      <c r="F1754" s="493">
        <v>15683.0</v>
      </c>
      <c r="G1754" s="493">
        <v>198.0</v>
      </c>
      <c r="H1754" s="493">
        <v>1.26</v>
      </c>
      <c r="I1754" s="493">
        <v>0.99</v>
      </c>
      <c r="J1754" s="493">
        <v>1.02</v>
      </c>
      <c r="K1754" s="493">
        <v>6345.0</v>
      </c>
      <c r="L1754" s="493">
        <v>642905.0</v>
      </c>
      <c r="M1754" s="493">
        <v>0.4046</v>
      </c>
      <c r="N1754" s="6">
        <v>32.0455</v>
      </c>
    </row>
    <row r="1755">
      <c r="A1755" s="491" t="s">
        <v>2022</v>
      </c>
      <c r="B1755" s="491" t="s">
        <v>1857</v>
      </c>
      <c r="C1755" s="491" t="s">
        <v>1874</v>
      </c>
      <c r="D1755" s="491" t="s">
        <v>2018</v>
      </c>
      <c r="E1755" s="492" t="s">
        <v>372</v>
      </c>
      <c r="F1755" s="493">
        <v>21613.0</v>
      </c>
      <c r="G1755" s="493">
        <v>14353.0</v>
      </c>
      <c r="H1755" s="493">
        <v>66.41</v>
      </c>
      <c r="I1755" s="493">
        <v>36.96</v>
      </c>
      <c r="J1755" s="493">
        <v>39.74</v>
      </c>
      <c r="K1755" s="493">
        <v>494415.0</v>
      </c>
      <c r="L1755" s="493">
        <v>1337735.0</v>
      </c>
      <c r="M1755" s="493">
        <v>22.8758</v>
      </c>
      <c r="N1755" s="6">
        <v>34.4468</v>
      </c>
    </row>
    <row r="1756">
      <c r="A1756" s="491" t="s">
        <v>2022</v>
      </c>
      <c r="B1756" s="491" t="s">
        <v>1857</v>
      </c>
      <c r="C1756" s="491" t="s">
        <v>1874</v>
      </c>
      <c r="D1756" s="491" t="s">
        <v>2018</v>
      </c>
      <c r="E1756" s="492" t="s">
        <v>134</v>
      </c>
      <c r="F1756" s="493">
        <v>21613.0</v>
      </c>
      <c r="G1756" s="493">
        <v>7312.0</v>
      </c>
      <c r="H1756" s="493">
        <v>33.83</v>
      </c>
      <c r="I1756" s="493">
        <v>16.78</v>
      </c>
      <c r="J1756" s="493">
        <v>13.03</v>
      </c>
      <c r="K1756" s="493">
        <v>224520.0</v>
      </c>
      <c r="L1756" s="493">
        <v>1337735.0</v>
      </c>
      <c r="M1756" s="493">
        <v>10.3882</v>
      </c>
      <c r="N1756" s="6">
        <v>30.7057</v>
      </c>
    </row>
    <row r="1757">
      <c r="A1757" s="491" t="s">
        <v>2022</v>
      </c>
      <c r="B1757" s="491" t="s">
        <v>1857</v>
      </c>
      <c r="C1757" s="491" t="s">
        <v>1874</v>
      </c>
      <c r="D1757" s="491" t="s">
        <v>2018</v>
      </c>
      <c r="E1757" s="492" t="s">
        <v>369</v>
      </c>
      <c r="F1757" s="493">
        <v>21613.0</v>
      </c>
      <c r="G1757" s="493">
        <v>11099.0</v>
      </c>
      <c r="H1757" s="493">
        <v>51.35</v>
      </c>
      <c r="I1757" s="493">
        <v>15.04</v>
      </c>
      <c r="J1757" s="493">
        <v>18.05</v>
      </c>
      <c r="K1757" s="493">
        <v>201220.0</v>
      </c>
      <c r="L1757" s="493">
        <v>1337735.0</v>
      </c>
      <c r="M1757" s="493">
        <v>9.3101</v>
      </c>
      <c r="N1757" s="6">
        <v>18.1296</v>
      </c>
    </row>
    <row r="1758">
      <c r="A1758" s="491" t="s">
        <v>2022</v>
      </c>
      <c r="B1758" s="491" t="s">
        <v>1857</v>
      </c>
      <c r="C1758" s="491" t="s">
        <v>1874</v>
      </c>
      <c r="D1758" s="491" t="s">
        <v>2018</v>
      </c>
      <c r="E1758" s="492" t="s">
        <v>367</v>
      </c>
      <c r="F1758" s="493">
        <v>21613.0</v>
      </c>
      <c r="G1758" s="493">
        <v>2287.0</v>
      </c>
      <c r="H1758" s="493">
        <v>10.58</v>
      </c>
      <c r="I1758" s="493">
        <v>10.4</v>
      </c>
      <c r="J1758" s="493">
        <v>4.55</v>
      </c>
      <c r="K1758" s="493">
        <v>139110.0</v>
      </c>
      <c r="L1758" s="493">
        <v>1337735.0</v>
      </c>
      <c r="M1758" s="493">
        <v>6.4364</v>
      </c>
      <c r="N1758" s="6">
        <v>60.8264</v>
      </c>
    </row>
    <row r="1759">
      <c r="A1759" s="491" t="s">
        <v>2022</v>
      </c>
      <c r="B1759" s="491" t="s">
        <v>1857</v>
      </c>
      <c r="C1759" s="491" t="s">
        <v>1874</v>
      </c>
      <c r="D1759" s="491" t="s">
        <v>2018</v>
      </c>
      <c r="E1759" s="492" t="s">
        <v>44</v>
      </c>
      <c r="F1759" s="493">
        <v>21613.0</v>
      </c>
      <c r="G1759" s="493">
        <v>8330.0</v>
      </c>
      <c r="H1759" s="493">
        <v>38.54</v>
      </c>
      <c r="I1759" s="493">
        <v>9.33</v>
      </c>
      <c r="J1759" s="493">
        <v>10.77</v>
      </c>
      <c r="K1759" s="493">
        <v>124830.0</v>
      </c>
      <c r="L1759" s="493">
        <v>1337735.0</v>
      </c>
      <c r="M1759" s="493">
        <v>5.7757</v>
      </c>
      <c r="N1759" s="6">
        <v>14.9856</v>
      </c>
    </row>
    <row r="1760">
      <c r="A1760" s="491" t="s">
        <v>2022</v>
      </c>
      <c r="B1760" s="491" t="s">
        <v>1857</v>
      </c>
      <c r="C1760" s="491" t="s">
        <v>1874</v>
      </c>
      <c r="D1760" s="491" t="s">
        <v>2018</v>
      </c>
      <c r="E1760" s="492" t="s">
        <v>189</v>
      </c>
      <c r="F1760" s="493">
        <v>21613.0</v>
      </c>
      <c r="G1760" s="493">
        <v>5349.0</v>
      </c>
      <c r="H1760" s="493">
        <v>24.75</v>
      </c>
      <c r="I1760" s="493">
        <v>5.81</v>
      </c>
      <c r="J1760" s="493">
        <v>7.69</v>
      </c>
      <c r="K1760" s="493">
        <v>77735.0</v>
      </c>
      <c r="L1760" s="493">
        <v>1337735.0</v>
      </c>
      <c r="M1760" s="493">
        <v>3.5967</v>
      </c>
      <c r="N1760" s="6">
        <v>14.5326</v>
      </c>
    </row>
    <row r="1761">
      <c r="A1761" s="491" t="s">
        <v>2022</v>
      </c>
      <c r="B1761" s="491" t="s">
        <v>1857</v>
      </c>
      <c r="C1761" s="491" t="s">
        <v>1874</v>
      </c>
      <c r="D1761" s="491" t="s">
        <v>2018</v>
      </c>
      <c r="E1761" s="492" t="s">
        <v>35</v>
      </c>
      <c r="F1761" s="493">
        <v>21613.0</v>
      </c>
      <c r="G1761" s="493">
        <v>4226.0</v>
      </c>
      <c r="H1761" s="493">
        <v>19.55</v>
      </c>
      <c r="I1761" s="493">
        <v>5.19</v>
      </c>
      <c r="J1761" s="493">
        <v>5.66</v>
      </c>
      <c r="K1761" s="493">
        <v>69405.0</v>
      </c>
      <c r="L1761" s="493">
        <v>1337735.0</v>
      </c>
      <c r="M1761" s="493">
        <v>3.2113</v>
      </c>
      <c r="N1761" s="6">
        <v>16.4233</v>
      </c>
    </row>
    <row r="1762">
      <c r="A1762" s="491" t="s">
        <v>2022</v>
      </c>
      <c r="B1762" s="491" t="s">
        <v>1857</v>
      </c>
      <c r="C1762" s="491" t="s">
        <v>1874</v>
      </c>
      <c r="D1762" s="491" t="s">
        <v>2018</v>
      </c>
      <c r="E1762" s="492" t="s">
        <v>370</v>
      </c>
      <c r="F1762" s="493">
        <v>21613.0</v>
      </c>
      <c r="G1762" s="493">
        <v>206.0</v>
      </c>
      <c r="H1762" s="493">
        <v>0.95</v>
      </c>
      <c r="I1762" s="493">
        <v>0.48</v>
      </c>
      <c r="J1762" s="493">
        <v>0.51</v>
      </c>
      <c r="K1762" s="493">
        <v>6460.0</v>
      </c>
      <c r="L1762" s="493">
        <v>1337735.0</v>
      </c>
      <c r="M1762" s="493">
        <v>0.2989</v>
      </c>
      <c r="N1762" s="6">
        <v>31.3592</v>
      </c>
    </row>
    <row r="1763">
      <c r="A1763" s="491" t="s">
        <v>2022</v>
      </c>
      <c r="B1763" s="491" t="s">
        <v>1857</v>
      </c>
      <c r="C1763" s="491" t="s">
        <v>1874</v>
      </c>
      <c r="D1763" s="491" t="s">
        <v>2018</v>
      </c>
      <c r="E1763" s="492" t="s">
        <v>40</v>
      </c>
      <c r="F1763" s="493">
        <v>21613.0</v>
      </c>
      <c r="G1763" s="493">
        <v>2.0</v>
      </c>
      <c r="H1763" s="493">
        <v>0.01</v>
      </c>
      <c r="I1763" s="493">
        <v>0.0</v>
      </c>
      <c r="J1763" s="493">
        <v>0.0</v>
      </c>
      <c r="K1763" s="493">
        <v>30.0</v>
      </c>
      <c r="L1763" s="493">
        <v>1337735.0</v>
      </c>
      <c r="M1763" s="493">
        <v>0.0014</v>
      </c>
      <c r="N1763" s="6">
        <v>15.0</v>
      </c>
    </row>
    <row r="1764">
      <c r="A1764" s="491" t="s">
        <v>2022</v>
      </c>
      <c r="B1764" s="491" t="s">
        <v>1857</v>
      </c>
      <c r="C1764" s="491" t="s">
        <v>1874</v>
      </c>
      <c r="D1764" s="491" t="s">
        <v>2018</v>
      </c>
      <c r="E1764" s="492" t="s">
        <v>368</v>
      </c>
      <c r="F1764" s="493">
        <v>21613.0</v>
      </c>
      <c r="G1764" s="493">
        <v>1.0</v>
      </c>
      <c r="H1764" s="493">
        <v>0.0</v>
      </c>
      <c r="I1764" s="493">
        <v>0.0</v>
      </c>
      <c r="J1764" s="493">
        <v>0.0</v>
      </c>
      <c r="K1764" s="493">
        <v>10.0</v>
      </c>
      <c r="L1764" s="493">
        <v>1337735.0</v>
      </c>
      <c r="M1764" s="493">
        <v>5.0E-4</v>
      </c>
      <c r="N1764" s="6">
        <v>10.0</v>
      </c>
    </row>
    <row r="1765">
      <c r="A1765" s="491" t="s">
        <v>2022</v>
      </c>
      <c r="B1765" s="491" t="s">
        <v>1857</v>
      </c>
      <c r="C1765" s="491" t="s">
        <v>1875</v>
      </c>
      <c r="D1765" s="491" t="s">
        <v>2018</v>
      </c>
      <c r="E1765" s="492" t="s">
        <v>372</v>
      </c>
      <c r="F1765" s="493">
        <v>22792.0</v>
      </c>
      <c r="G1765" s="493">
        <v>17551.0</v>
      </c>
      <c r="H1765" s="493">
        <v>77.01</v>
      </c>
      <c r="I1765" s="493">
        <v>37.67</v>
      </c>
      <c r="J1765" s="493">
        <v>44.16</v>
      </c>
      <c r="K1765" s="493">
        <v>617850.0</v>
      </c>
      <c r="L1765" s="493">
        <v>1640245.0</v>
      </c>
      <c r="M1765" s="493">
        <v>27.1082</v>
      </c>
      <c r="N1765" s="6">
        <v>35.2031</v>
      </c>
    </row>
    <row r="1766">
      <c r="A1766" s="491" t="s">
        <v>2022</v>
      </c>
      <c r="B1766" s="491" t="s">
        <v>1857</v>
      </c>
      <c r="C1766" s="491" t="s">
        <v>1875</v>
      </c>
      <c r="D1766" s="491" t="s">
        <v>2018</v>
      </c>
      <c r="E1766" s="492" t="s">
        <v>134</v>
      </c>
      <c r="F1766" s="493">
        <v>22792.0</v>
      </c>
      <c r="G1766" s="493">
        <v>6173.0</v>
      </c>
      <c r="H1766" s="493">
        <v>27.08</v>
      </c>
      <c r="I1766" s="493">
        <v>16.01</v>
      </c>
      <c r="J1766" s="493">
        <v>10.04</v>
      </c>
      <c r="K1766" s="493">
        <v>262555.0</v>
      </c>
      <c r="L1766" s="493">
        <v>1640245.0</v>
      </c>
      <c r="M1766" s="493">
        <v>11.5196</v>
      </c>
      <c r="N1766" s="6">
        <v>42.5328</v>
      </c>
    </row>
    <row r="1767">
      <c r="A1767" s="491" t="s">
        <v>2022</v>
      </c>
      <c r="B1767" s="491" t="s">
        <v>1857</v>
      </c>
      <c r="C1767" s="491" t="s">
        <v>1875</v>
      </c>
      <c r="D1767" s="491" t="s">
        <v>2018</v>
      </c>
      <c r="E1767" s="492" t="s">
        <v>369</v>
      </c>
      <c r="F1767" s="493">
        <v>22792.0</v>
      </c>
      <c r="G1767" s="493">
        <v>11588.0</v>
      </c>
      <c r="H1767" s="493">
        <v>50.84</v>
      </c>
      <c r="I1767" s="493">
        <v>14.58</v>
      </c>
      <c r="J1767" s="493">
        <v>16.08</v>
      </c>
      <c r="K1767" s="493">
        <v>239125.0</v>
      </c>
      <c r="L1767" s="493">
        <v>1640245.0</v>
      </c>
      <c r="M1767" s="493">
        <v>10.4916</v>
      </c>
      <c r="N1767" s="6">
        <v>20.6356</v>
      </c>
    </row>
    <row r="1768">
      <c r="A1768" s="491" t="s">
        <v>2022</v>
      </c>
      <c r="B1768" s="491" t="s">
        <v>1857</v>
      </c>
      <c r="C1768" s="491" t="s">
        <v>1875</v>
      </c>
      <c r="D1768" s="491" t="s">
        <v>2018</v>
      </c>
      <c r="E1768" s="492" t="s">
        <v>367</v>
      </c>
      <c r="F1768" s="493">
        <v>22792.0</v>
      </c>
      <c r="G1768" s="493">
        <v>3050.0</v>
      </c>
      <c r="H1768" s="493">
        <v>13.38</v>
      </c>
      <c r="I1768" s="493">
        <v>11.28</v>
      </c>
      <c r="J1768" s="493">
        <v>6.27</v>
      </c>
      <c r="K1768" s="493">
        <v>185025.0</v>
      </c>
      <c r="L1768" s="493">
        <v>1640245.0</v>
      </c>
      <c r="M1768" s="493">
        <v>8.118</v>
      </c>
      <c r="N1768" s="6">
        <v>60.6639</v>
      </c>
    </row>
    <row r="1769">
      <c r="A1769" s="491" t="s">
        <v>2022</v>
      </c>
      <c r="B1769" s="491" t="s">
        <v>1857</v>
      </c>
      <c r="C1769" s="491" t="s">
        <v>1875</v>
      </c>
      <c r="D1769" s="491" t="s">
        <v>2018</v>
      </c>
      <c r="E1769" s="492" t="s">
        <v>44</v>
      </c>
      <c r="F1769" s="493">
        <v>22792.0</v>
      </c>
      <c r="G1769" s="493">
        <v>10477.0</v>
      </c>
      <c r="H1769" s="493">
        <v>45.97</v>
      </c>
      <c r="I1769" s="493">
        <v>9.67</v>
      </c>
      <c r="J1769" s="493">
        <v>10.93</v>
      </c>
      <c r="K1769" s="493">
        <v>158660.0</v>
      </c>
      <c r="L1769" s="493">
        <v>1640245.0</v>
      </c>
      <c r="M1769" s="493">
        <v>6.9612</v>
      </c>
      <c r="N1769" s="6">
        <v>15.1436</v>
      </c>
    </row>
    <row r="1770">
      <c r="A1770" s="491" t="s">
        <v>2022</v>
      </c>
      <c r="B1770" s="491" t="s">
        <v>1857</v>
      </c>
      <c r="C1770" s="491" t="s">
        <v>1875</v>
      </c>
      <c r="D1770" s="491" t="s">
        <v>2018</v>
      </c>
      <c r="E1770" s="492" t="s">
        <v>189</v>
      </c>
      <c r="F1770" s="493">
        <v>22792.0</v>
      </c>
      <c r="G1770" s="493">
        <v>5498.0</v>
      </c>
      <c r="H1770" s="493">
        <v>24.12</v>
      </c>
      <c r="I1770" s="493">
        <v>5.46</v>
      </c>
      <c r="J1770" s="493">
        <v>6.58</v>
      </c>
      <c r="K1770" s="493">
        <v>89615.0</v>
      </c>
      <c r="L1770" s="493">
        <v>1640245.0</v>
      </c>
      <c r="M1770" s="493">
        <v>3.9319</v>
      </c>
      <c r="N1770" s="6">
        <v>16.2996</v>
      </c>
    </row>
    <row r="1771">
      <c r="A1771" s="491" t="s">
        <v>2022</v>
      </c>
      <c r="B1771" s="491" t="s">
        <v>1857</v>
      </c>
      <c r="C1771" s="491" t="s">
        <v>1875</v>
      </c>
      <c r="D1771" s="491" t="s">
        <v>2018</v>
      </c>
      <c r="E1771" s="492" t="s">
        <v>35</v>
      </c>
      <c r="F1771" s="493">
        <v>22792.0</v>
      </c>
      <c r="G1771" s="493">
        <v>4982.0</v>
      </c>
      <c r="H1771" s="493">
        <v>21.86</v>
      </c>
      <c r="I1771" s="493">
        <v>4.92</v>
      </c>
      <c r="J1771" s="493">
        <v>5.46</v>
      </c>
      <c r="K1771" s="493">
        <v>80625.0</v>
      </c>
      <c r="L1771" s="493">
        <v>1640245.0</v>
      </c>
      <c r="M1771" s="493">
        <v>3.5374</v>
      </c>
      <c r="N1771" s="6">
        <v>16.1833</v>
      </c>
    </row>
    <row r="1772">
      <c r="A1772" s="491" t="s">
        <v>2022</v>
      </c>
      <c r="B1772" s="491" t="s">
        <v>1857</v>
      </c>
      <c r="C1772" s="491" t="s">
        <v>1875</v>
      </c>
      <c r="D1772" s="491" t="s">
        <v>2018</v>
      </c>
      <c r="E1772" s="492" t="s">
        <v>370</v>
      </c>
      <c r="F1772" s="493">
        <v>22792.0</v>
      </c>
      <c r="G1772" s="493">
        <v>224.0</v>
      </c>
      <c r="H1772" s="493">
        <v>0.98</v>
      </c>
      <c r="I1772" s="493">
        <v>0.41</v>
      </c>
      <c r="J1772" s="493">
        <v>0.48</v>
      </c>
      <c r="K1772" s="493">
        <v>6750.0</v>
      </c>
      <c r="L1772" s="493">
        <v>1640245.0</v>
      </c>
      <c r="M1772" s="493">
        <v>0.2962</v>
      </c>
      <c r="N1772" s="6">
        <v>30.1339</v>
      </c>
    </row>
    <row r="1773">
      <c r="A1773" s="491" t="s">
        <v>2022</v>
      </c>
      <c r="B1773" s="491" t="s">
        <v>1857</v>
      </c>
      <c r="C1773" s="491" t="s">
        <v>1875</v>
      </c>
      <c r="D1773" s="491" t="s">
        <v>2018</v>
      </c>
      <c r="E1773" s="492" t="s">
        <v>40</v>
      </c>
      <c r="F1773" s="493">
        <v>22792.0</v>
      </c>
      <c r="G1773" s="493">
        <v>2.0</v>
      </c>
      <c r="H1773" s="493">
        <v>0.01</v>
      </c>
      <c r="I1773" s="493">
        <v>0.0</v>
      </c>
      <c r="J1773" s="493">
        <v>0.0</v>
      </c>
      <c r="K1773" s="493">
        <v>30.0</v>
      </c>
      <c r="L1773" s="493">
        <v>1640245.0</v>
      </c>
      <c r="M1773" s="493">
        <v>0.0013</v>
      </c>
      <c r="N1773" s="6">
        <v>15.0</v>
      </c>
    </row>
    <row r="1774">
      <c r="A1774" s="491" t="s">
        <v>2022</v>
      </c>
      <c r="B1774" s="491" t="s">
        <v>1857</v>
      </c>
      <c r="C1774" s="491" t="s">
        <v>1875</v>
      </c>
      <c r="D1774" s="491" t="s">
        <v>2018</v>
      </c>
      <c r="E1774" s="492" t="s">
        <v>373</v>
      </c>
      <c r="F1774" s="493">
        <v>22792.0</v>
      </c>
      <c r="G1774" s="493">
        <v>1.0</v>
      </c>
      <c r="H1774" s="493">
        <v>0.0</v>
      </c>
      <c r="I1774" s="493">
        <v>0.0</v>
      </c>
      <c r="J1774" s="493">
        <v>0.0</v>
      </c>
      <c r="K1774" s="493">
        <v>10.0</v>
      </c>
      <c r="L1774" s="493">
        <v>1640245.0</v>
      </c>
      <c r="M1774" s="493">
        <v>4.0E-4</v>
      </c>
      <c r="N1774" s="6">
        <v>10.0</v>
      </c>
    </row>
    <row r="1775">
      <c r="A1775" s="491" t="s">
        <v>2022</v>
      </c>
      <c r="B1775" s="491" t="s">
        <v>1857</v>
      </c>
      <c r="C1775" s="491" t="s">
        <v>75</v>
      </c>
      <c r="D1775" s="491" t="s">
        <v>2018</v>
      </c>
      <c r="E1775" s="492" t="s">
        <v>371</v>
      </c>
      <c r="F1775" s="493">
        <v>25290.0</v>
      </c>
      <c r="G1775" s="493">
        <v>25080.0</v>
      </c>
      <c r="H1775" s="493">
        <v>99.17</v>
      </c>
      <c r="I1775" s="493">
        <v>39.04</v>
      </c>
      <c r="J1775" s="493">
        <v>37.51</v>
      </c>
      <c r="K1775" s="493">
        <v>1.3202075E7</v>
      </c>
      <c r="L1775" s="493">
        <v>3.3818944E7</v>
      </c>
      <c r="M1775" s="493">
        <v>522.0275</v>
      </c>
      <c r="N1775" s="6">
        <v>526.3985</v>
      </c>
    </row>
    <row r="1776">
      <c r="A1776" s="491" t="s">
        <v>2022</v>
      </c>
      <c r="B1776" s="491" t="s">
        <v>1857</v>
      </c>
      <c r="C1776" s="491" t="s">
        <v>75</v>
      </c>
      <c r="D1776" s="491" t="s">
        <v>2018</v>
      </c>
      <c r="E1776" s="492" t="s">
        <v>372</v>
      </c>
      <c r="F1776" s="493">
        <v>25290.0</v>
      </c>
      <c r="G1776" s="493">
        <v>17939.0</v>
      </c>
      <c r="H1776" s="493">
        <v>70.93</v>
      </c>
      <c r="I1776" s="493">
        <v>13.96</v>
      </c>
      <c r="J1776" s="493">
        <v>15.29</v>
      </c>
      <c r="K1776" s="493">
        <v>4719935.0</v>
      </c>
      <c r="L1776" s="493">
        <v>3.3818944E7</v>
      </c>
      <c r="M1776" s="493">
        <v>186.6325</v>
      </c>
      <c r="N1776" s="6">
        <v>263.1103</v>
      </c>
    </row>
    <row r="1777">
      <c r="A1777" s="491" t="s">
        <v>2022</v>
      </c>
      <c r="B1777" s="491" t="s">
        <v>1857</v>
      </c>
      <c r="C1777" s="491" t="s">
        <v>75</v>
      </c>
      <c r="D1777" s="491" t="s">
        <v>2018</v>
      </c>
      <c r="E1777" s="492" t="s">
        <v>49</v>
      </c>
      <c r="F1777" s="493">
        <v>25290.0</v>
      </c>
      <c r="G1777" s="493">
        <v>18668.0</v>
      </c>
      <c r="H1777" s="493">
        <v>73.82</v>
      </c>
      <c r="I1777" s="493">
        <v>10.09</v>
      </c>
      <c r="J1777" s="493">
        <v>11.17</v>
      </c>
      <c r="K1777" s="493">
        <v>3413360.0</v>
      </c>
      <c r="L1777" s="493">
        <v>3.3818944E7</v>
      </c>
      <c r="M1777" s="493">
        <v>134.9688</v>
      </c>
      <c r="N1777" s="6">
        <v>182.8455</v>
      </c>
    </row>
    <row r="1778">
      <c r="A1778" s="491" t="s">
        <v>2022</v>
      </c>
      <c r="B1778" s="491" t="s">
        <v>1857</v>
      </c>
      <c r="C1778" s="491" t="s">
        <v>75</v>
      </c>
      <c r="D1778" s="491" t="s">
        <v>2018</v>
      </c>
      <c r="E1778" s="492" t="s">
        <v>366</v>
      </c>
      <c r="F1778" s="493">
        <v>25290.0</v>
      </c>
      <c r="G1778" s="493">
        <v>17920.0</v>
      </c>
      <c r="H1778" s="493">
        <v>70.86</v>
      </c>
      <c r="I1778" s="493">
        <v>6.99</v>
      </c>
      <c r="J1778" s="493">
        <v>6.93</v>
      </c>
      <c r="K1778" s="493">
        <v>2364360.0</v>
      </c>
      <c r="L1778" s="493">
        <v>3.3818944E7</v>
      </c>
      <c r="M1778" s="493">
        <v>93.4899</v>
      </c>
      <c r="N1778" s="6">
        <v>131.9397</v>
      </c>
    </row>
    <row r="1779">
      <c r="A1779" s="491" t="s">
        <v>2022</v>
      </c>
      <c r="B1779" s="491" t="s">
        <v>1857</v>
      </c>
      <c r="C1779" s="491" t="s">
        <v>75</v>
      </c>
      <c r="D1779" s="491" t="s">
        <v>2018</v>
      </c>
      <c r="E1779" s="492" t="s">
        <v>367</v>
      </c>
      <c r="F1779" s="493">
        <v>25290.0</v>
      </c>
      <c r="G1779" s="493">
        <v>18502.0</v>
      </c>
      <c r="H1779" s="493">
        <v>73.16</v>
      </c>
      <c r="I1779" s="493">
        <v>5.98</v>
      </c>
      <c r="J1779" s="493">
        <v>5.75</v>
      </c>
      <c r="K1779" s="493">
        <v>2021340.0</v>
      </c>
      <c r="L1779" s="493">
        <v>3.3818944E7</v>
      </c>
      <c r="M1779" s="493">
        <v>79.9265</v>
      </c>
      <c r="N1779" s="6">
        <v>109.2498</v>
      </c>
    </row>
    <row r="1780">
      <c r="A1780" s="491" t="s">
        <v>2022</v>
      </c>
      <c r="B1780" s="491" t="s">
        <v>1857</v>
      </c>
      <c r="C1780" s="491" t="s">
        <v>75</v>
      </c>
      <c r="D1780" s="491" t="s">
        <v>2018</v>
      </c>
      <c r="E1780" s="492" t="s">
        <v>44</v>
      </c>
      <c r="F1780" s="493">
        <v>25290.0</v>
      </c>
      <c r="G1780" s="493">
        <v>16235.0</v>
      </c>
      <c r="H1780" s="493">
        <v>64.2</v>
      </c>
      <c r="I1780" s="493">
        <v>5.94</v>
      </c>
      <c r="J1780" s="493">
        <v>7.6</v>
      </c>
      <c r="K1780" s="493">
        <v>2008230.0</v>
      </c>
      <c r="L1780" s="493">
        <v>3.3818944E7</v>
      </c>
      <c r="M1780" s="493">
        <v>79.4081</v>
      </c>
      <c r="N1780" s="6">
        <v>123.6976</v>
      </c>
    </row>
    <row r="1781">
      <c r="A1781" s="491" t="s">
        <v>2022</v>
      </c>
      <c r="B1781" s="491" t="s">
        <v>1857</v>
      </c>
      <c r="C1781" s="491" t="s">
        <v>75</v>
      </c>
      <c r="D1781" s="491" t="s">
        <v>2018</v>
      </c>
      <c r="E1781" s="492" t="s">
        <v>370</v>
      </c>
      <c r="F1781" s="493">
        <v>25290.0</v>
      </c>
      <c r="G1781" s="493">
        <v>8427.0</v>
      </c>
      <c r="H1781" s="493">
        <v>33.32</v>
      </c>
      <c r="I1781" s="493">
        <v>5.3</v>
      </c>
      <c r="J1781" s="493">
        <v>2.74</v>
      </c>
      <c r="K1781" s="493">
        <v>1790939.0</v>
      </c>
      <c r="L1781" s="493">
        <v>3.3818944E7</v>
      </c>
      <c r="M1781" s="493">
        <v>70.8161</v>
      </c>
      <c r="N1781" s="6">
        <v>212.5239</v>
      </c>
    </row>
    <row r="1782">
      <c r="A1782" s="491" t="s">
        <v>2022</v>
      </c>
      <c r="B1782" s="491" t="s">
        <v>1857</v>
      </c>
      <c r="C1782" s="491" t="s">
        <v>75</v>
      </c>
      <c r="D1782" s="491" t="s">
        <v>2018</v>
      </c>
      <c r="E1782" s="492" t="s">
        <v>369</v>
      </c>
      <c r="F1782" s="493">
        <v>25290.0</v>
      </c>
      <c r="G1782" s="493">
        <v>10648.0</v>
      </c>
      <c r="H1782" s="493">
        <v>42.1</v>
      </c>
      <c r="I1782" s="493">
        <v>3.04</v>
      </c>
      <c r="J1782" s="493">
        <v>3.07</v>
      </c>
      <c r="K1782" s="493">
        <v>1028820.0</v>
      </c>
      <c r="L1782" s="493">
        <v>3.3818944E7</v>
      </c>
      <c r="M1782" s="493">
        <v>40.6809</v>
      </c>
      <c r="N1782" s="6">
        <v>96.621</v>
      </c>
    </row>
    <row r="1783">
      <c r="A1783" s="491" t="s">
        <v>2022</v>
      </c>
      <c r="B1783" s="491" t="s">
        <v>1857</v>
      </c>
      <c r="C1783" s="491" t="s">
        <v>75</v>
      </c>
      <c r="D1783" s="491" t="s">
        <v>2018</v>
      </c>
      <c r="E1783" s="492" t="s">
        <v>368</v>
      </c>
      <c r="F1783" s="493">
        <v>25290.0</v>
      </c>
      <c r="G1783" s="493">
        <v>11814.0</v>
      </c>
      <c r="H1783" s="493">
        <v>46.71</v>
      </c>
      <c r="I1783" s="493">
        <v>2.95</v>
      </c>
      <c r="J1783" s="493">
        <v>2.94</v>
      </c>
      <c r="K1783" s="493">
        <v>999160.0</v>
      </c>
      <c r="L1783" s="493">
        <v>3.3818944E7</v>
      </c>
      <c r="M1783" s="493">
        <v>39.5081</v>
      </c>
      <c r="N1783" s="6">
        <v>84.5742</v>
      </c>
    </row>
    <row r="1784">
      <c r="A1784" s="491" t="s">
        <v>2022</v>
      </c>
      <c r="B1784" s="491" t="s">
        <v>1857</v>
      </c>
      <c r="C1784" s="491" t="s">
        <v>75</v>
      </c>
      <c r="D1784" s="491" t="s">
        <v>2018</v>
      </c>
      <c r="E1784" s="492" t="s">
        <v>35</v>
      </c>
      <c r="F1784" s="493">
        <v>25290.0</v>
      </c>
      <c r="G1784" s="493">
        <v>7941.0</v>
      </c>
      <c r="H1784" s="493">
        <v>31.4</v>
      </c>
      <c r="I1784" s="493">
        <v>2.76</v>
      </c>
      <c r="J1784" s="493">
        <v>2.5</v>
      </c>
      <c r="K1784" s="493">
        <v>932280.0</v>
      </c>
      <c r="L1784" s="493">
        <v>3.3818944E7</v>
      </c>
      <c r="M1784" s="493">
        <v>36.8636</v>
      </c>
      <c r="N1784" s="6">
        <v>117.4008</v>
      </c>
    </row>
    <row r="1785">
      <c r="A1785" s="491" t="s">
        <v>2022</v>
      </c>
      <c r="B1785" s="491" t="s">
        <v>1857</v>
      </c>
      <c r="C1785" s="491" t="s">
        <v>75</v>
      </c>
      <c r="D1785" s="491" t="s">
        <v>2018</v>
      </c>
      <c r="E1785" s="492" t="s">
        <v>189</v>
      </c>
      <c r="F1785" s="493">
        <v>25290.0</v>
      </c>
      <c r="G1785" s="493">
        <v>5246.0</v>
      </c>
      <c r="H1785" s="493">
        <v>20.74</v>
      </c>
      <c r="I1785" s="493">
        <v>1.13</v>
      </c>
      <c r="J1785" s="493">
        <v>1.12</v>
      </c>
      <c r="K1785" s="493">
        <v>381630.0</v>
      </c>
      <c r="L1785" s="493">
        <v>3.3818944E7</v>
      </c>
      <c r="M1785" s="493">
        <v>15.0902</v>
      </c>
      <c r="N1785" s="6">
        <v>72.7469</v>
      </c>
    </row>
    <row r="1786">
      <c r="A1786" s="491" t="s">
        <v>2022</v>
      </c>
      <c r="B1786" s="491" t="s">
        <v>1857</v>
      </c>
      <c r="C1786" s="491" t="s">
        <v>75</v>
      </c>
      <c r="D1786" s="491" t="s">
        <v>2018</v>
      </c>
      <c r="E1786" s="492" t="s">
        <v>43</v>
      </c>
      <c r="F1786" s="493">
        <v>25290.0</v>
      </c>
      <c r="G1786" s="493">
        <v>8724.0</v>
      </c>
      <c r="H1786" s="493">
        <v>34.5</v>
      </c>
      <c r="I1786" s="493">
        <v>0.96</v>
      </c>
      <c r="J1786" s="493">
        <v>1.31</v>
      </c>
      <c r="K1786" s="493">
        <v>325640.0</v>
      </c>
      <c r="L1786" s="493">
        <v>3.3818944E7</v>
      </c>
      <c r="M1786" s="493">
        <v>12.8762</v>
      </c>
      <c r="N1786" s="6">
        <v>37.3269</v>
      </c>
    </row>
    <row r="1787">
      <c r="A1787" s="491" t="s">
        <v>2022</v>
      </c>
      <c r="B1787" s="491" t="s">
        <v>1857</v>
      </c>
      <c r="C1787" s="491" t="s">
        <v>75</v>
      </c>
      <c r="D1787" s="491" t="s">
        <v>2018</v>
      </c>
      <c r="E1787" s="492" t="s">
        <v>32</v>
      </c>
      <c r="F1787" s="493">
        <v>25290.0</v>
      </c>
      <c r="G1787" s="493">
        <v>7528.0</v>
      </c>
      <c r="H1787" s="493">
        <v>29.77</v>
      </c>
      <c r="I1787" s="493">
        <v>0.95</v>
      </c>
      <c r="J1787" s="493">
        <v>1.2</v>
      </c>
      <c r="K1787" s="493">
        <v>320760.0</v>
      </c>
      <c r="L1787" s="493">
        <v>3.3818944E7</v>
      </c>
      <c r="M1787" s="493">
        <v>12.6833</v>
      </c>
      <c r="N1787" s="6">
        <v>42.6089</v>
      </c>
    </row>
    <row r="1788">
      <c r="A1788" s="491" t="s">
        <v>2022</v>
      </c>
      <c r="B1788" s="491" t="s">
        <v>1857</v>
      </c>
      <c r="C1788" s="491" t="s">
        <v>75</v>
      </c>
      <c r="D1788" s="491" t="s">
        <v>2018</v>
      </c>
      <c r="E1788" s="492" t="s">
        <v>365</v>
      </c>
      <c r="F1788" s="493">
        <v>25290.0</v>
      </c>
      <c r="G1788" s="493">
        <v>6333.0</v>
      </c>
      <c r="H1788" s="493">
        <v>25.04</v>
      </c>
      <c r="I1788" s="493">
        <v>0.63</v>
      </c>
      <c r="J1788" s="493">
        <v>0.55</v>
      </c>
      <c r="K1788" s="493">
        <v>211510.0</v>
      </c>
      <c r="L1788" s="493">
        <v>3.3818944E7</v>
      </c>
      <c r="M1788" s="493">
        <v>8.3634</v>
      </c>
      <c r="N1788" s="6">
        <v>33.3981</v>
      </c>
    </row>
    <row r="1789">
      <c r="A1789" s="491" t="s">
        <v>2022</v>
      </c>
      <c r="B1789" s="491" t="s">
        <v>1857</v>
      </c>
      <c r="C1789" s="491" t="s">
        <v>75</v>
      </c>
      <c r="D1789" s="491" t="s">
        <v>2018</v>
      </c>
      <c r="E1789" s="492" t="s">
        <v>134</v>
      </c>
      <c r="F1789" s="493">
        <v>25290.0</v>
      </c>
      <c r="G1789" s="493">
        <v>2226.0</v>
      </c>
      <c r="H1789" s="493">
        <v>8.8</v>
      </c>
      <c r="I1789" s="493">
        <v>0.24</v>
      </c>
      <c r="J1789" s="493">
        <v>0.22</v>
      </c>
      <c r="K1789" s="493">
        <v>82580.0</v>
      </c>
      <c r="L1789" s="493">
        <v>3.3818944E7</v>
      </c>
      <c r="M1789" s="493">
        <v>3.2653</v>
      </c>
      <c r="N1789" s="6">
        <v>37.0979</v>
      </c>
    </row>
    <row r="1790">
      <c r="A1790" s="491" t="s">
        <v>2022</v>
      </c>
      <c r="B1790" s="491" t="s">
        <v>1857</v>
      </c>
      <c r="C1790" s="491" t="s">
        <v>75</v>
      </c>
      <c r="D1790" s="491" t="s">
        <v>2018</v>
      </c>
      <c r="E1790" s="492" t="s">
        <v>50</v>
      </c>
      <c r="F1790" s="493">
        <v>25290.0</v>
      </c>
      <c r="G1790" s="493">
        <v>319.0</v>
      </c>
      <c r="H1790" s="493">
        <v>1.26</v>
      </c>
      <c r="I1790" s="493">
        <v>0.05</v>
      </c>
      <c r="J1790" s="493">
        <v>0.09</v>
      </c>
      <c r="K1790" s="493">
        <v>16280.0</v>
      </c>
      <c r="L1790" s="493">
        <v>3.3818944E7</v>
      </c>
      <c r="M1790" s="493">
        <v>0.6437</v>
      </c>
      <c r="N1790" s="6">
        <v>51.0345</v>
      </c>
    </row>
    <row r="1791">
      <c r="A1791" s="491" t="s">
        <v>2022</v>
      </c>
      <c r="B1791" s="491" t="s">
        <v>1857</v>
      </c>
      <c r="C1791" s="491" t="s">
        <v>75</v>
      </c>
      <c r="D1791" s="491" t="s">
        <v>2018</v>
      </c>
      <c r="E1791" s="492" t="s">
        <v>373</v>
      </c>
      <c r="F1791" s="493">
        <v>25290.0</v>
      </c>
      <c r="G1791" s="493">
        <v>3.0</v>
      </c>
      <c r="H1791" s="493">
        <v>0.01</v>
      </c>
      <c r="I1791" s="493">
        <v>0.0</v>
      </c>
      <c r="J1791" s="493">
        <v>0.0</v>
      </c>
      <c r="K1791" s="493">
        <v>45.0</v>
      </c>
      <c r="L1791" s="493">
        <v>3.3818944E7</v>
      </c>
      <c r="M1791" s="493">
        <v>0.0018</v>
      </c>
      <c r="N1791" s="6">
        <v>15.0</v>
      </c>
    </row>
    <row r="1792">
      <c r="A1792" s="491" t="s">
        <v>2023</v>
      </c>
      <c r="B1792" s="491" t="s">
        <v>163</v>
      </c>
      <c r="C1792" s="491" t="s">
        <v>71</v>
      </c>
      <c r="D1792" s="491" t="s">
        <v>565</v>
      </c>
      <c r="E1792" s="492" t="s">
        <v>371</v>
      </c>
      <c r="F1792" s="493">
        <v>9072.0</v>
      </c>
      <c r="G1792" s="493">
        <v>8985.0</v>
      </c>
      <c r="H1792" s="493">
        <v>99.04</v>
      </c>
      <c r="I1792" s="493">
        <v>55.65</v>
      </c>
      <c r="J1792" s="493">
        <v>48.13</v>
      </c>
      <c r="K1792" s="493">
        <v>76379.0</v>
      </c>
      <c r="L1792" s="493">
        <v>137254.0</v>
      </c>
      <c r="M1792" s="493">
        <v>8.4192</v>
      </c>
      <c r="N1792" s="6">
        <v>8.5007</v>
      </c>
    </row>
    <row r="1793">
      <c r="A1793" s="491" t="s">
        <v>2023</v>
      </c>
      <c r="B1793" s="491" t="s">
        <v>163</v>
      </c>
      <c r="C1793" s="491" t="s">
        <v>71</v>
      </c>
      <c r="D1793" s="491" t="s">
        <v>565</v>
      </c>
      <c r="E1793" s="492" t="s">
        <v>366</v>
      </c>
      <c r="F1793" s="493">
        <v>9072.0</v>
      </c>
      <c r="G1793" s="493">
        <v>7301.0</v>
      </c>
      <c r="H1793" s="493">
        <v>80.48</v>
      </c>
      <c r="I1793" s="493">
        <v>11.73</v>
      </c>
      <c r="J1793" s="493">
        <v>17.6</v>
      </c>
      <c r="K1793" s="493">
        <v>16099.0</v>
      </c>
      <c r="L1793" s="493">
        <v>137254.0</v>
      </c>
      <c r="M1793" s="493">
        <v>1.7746</v>
      </c>
      <c r="N1793" s="6">
        <v>2.205</v>
      </c>
    </row>
    <row r="1794">
      <c r="A1794" s="491" t="s">
        <v>2023</v>
      </c>
      <c r="B1794" s="491" t="s">
        <v>163</v>
      </c>
      <c r="C1794" s="491" t="s">
        <v>71</v>
      </c>
      <c r="D1794" s="491" t="s">
        <v>565</v>
      </c>
      <c r="E1794" s="492" t="s">
        <v>370</v>
      </c>
      <c r="F1794" s="493">
        <v>9072.0</v>
      </c>
      <c r="G1794" s="493">
        <v>5184.0</v>
      </c>
      <c r="H1794" s="493">
        <v>57.14</v>
      </c>
      <c r="I1794" s="493">
        <v>6.99</v>
      </c>
      <c r="J1794" s="493">
        <v>7.29</v>
      </c>
      <c r="K1794" s="493">
        <v>9591.0</v>
      </c>
      <c r="L1794" s="493">
        <v>137254.0</v>
      </c>
      <c r="M1794" s="493">
        <v>1.0572</v>
      </c>
      <c r="N1794" s="6">
        <v>1.8501</v>
      </c>
    </row>
    <row r="1795">
      <c r="A1795" s="491" t="s">
        <v>2023</v>
      </c>
      <c r="B1795" s="491" t="s">
        <v>163</v>
      </c>
      <c r="C1795" s="491" t="s">
        <v>71</v>
      </c>
      <c r="D1795" s="491" t="s">
        <v>565</v>
      </c>
      <c r="E1795" s="492" t="s">
        <v>372</v>
      </c>
      <c r="F1795" s="493">
        <v>9072.0</v>
      </c>
      <c r="G1795" s="493">
        <v>5430.0</v>
      </c>
      <c r="H1795" s="493">
        <v>59.85</v>
      </c>
      <c r="I1795" s="493">
        <v>6.9</v>
      </c>
      <c r="J1795" s="493">
        <v>10.3</v>
      </c>
      <c r="K1795" s="493">
        <v>9475.0</v>
      </c>
      <c r="L1795" s="493">
        <v>137254.0</v>
      </c>
      <c r="M1795" s="493">
        <v>1.0444</v>
      </c>
      <c r="N1795" s="6">
        <v>1.7449</v>
      </c>
    </row>
    <row r="1796">
      <c r="A1796" s="491" t="s">
        <v>2023</v>
      </c>
      <c r="B1796" s="491" t="s">
        <v>163</v>
      </c>
      <c r="C1796" s="491" t="s">
        <v>71</v>
      </c>
      <c r="D1796" s="491" t="s">
        <v>565</v>
      </c>
      <c r="E1796" s="492" t="s">
        <v>49</v>
      </c>
      <c r="F1796" s="493">
        <v>9072.0</v>
      </c>
      <c r="G1796" s="493">
        <v>3775.0</v>
      </c>
      <c r="H1796" s="493">
        <v>41.61</v>
      </c>
      <c r="I1796" s="493">
        <v>5.89</v>
      </c>
      <c r="J1796" s="493">
        <v>5.12</v>
      </c>
      <c r="K1796" s="493">
        <v>8086.0</v>
      </c>
      <c r="L1796" s="493">
        <v>137254.0</v>
      </c>
      <c r="M1796" s="493">
        <v>0.8913</v>
      </c>
      <c r="N1796" s="6">
        <v>2.142</v>
      </c>
    </row>
    <row r="1797">
      <c r="A1797" s="491" t="s">
        <v>2023</v>
      </c>
      <c r="B1797" s="491" t="s">
        <v>163</v>
      </c>
      <c r="C1797" s="491" t="s">
        <v>71</v>
      </c>
      <c r="D1797" s="491" t="s">
        <v>565</v>
      </c>
      <c r="E1797" s="492" t="s">
        <v>44</v>
      </c>
      <c r="F1797" s="493">
        <v>9072.0</v>
      </c>
      <c r="G1797" s="493">
        <v>4407.0</v>
      </c>
      <c r="H1797" s="493">
        <v>48.58</v>
      </c>
      <c r="I1797" s="493">
        <v>4.37</v>
      </c>
      <c r="J1797" s="493">
        <v>4.92</v>
      </c>
      <c r="K1797" s="493">
        <v>5998.0</v>
      </c>
      <c r="L1797" s="493">
        <v>137254.0</v>
      </c>
      <c r="M1797" s="493">
        <v>0.6612</v>
      </c>
      <c r="N1797" s="6">
        <v>1.361</v>
      </c>
    </row>
    <row r="1798">
      <c r="A1798" s="491" t="s">
        <v>2023</v>
      </c>
      <c r="B1798" s="491" t="s">
        <v>163</v>
      </c>
      <c r="C1798" s="491" t="s">
        <v>71</v>
      </c>
      <c r="D1798" s="491" t="s">
        <v>565</v>
      </c>
      <c r="E1798" s="492" t="s">
        <v>134</v>
      </c>
      <c r="F1798" s="493">
        <v>9072.0</v>
      </c>
      <c r="G1798" s="493">
        <v>1443.0</v>
      </c>
      <c r="H1798" s="493">
        <v>15.91</v>
      </c>
      <c r="I1798" s="493">
        <v>2.97</v>
      </c>
      <c r="J1798" s="493">
        <v>1.75</v>
      </c>
      <c r="K1798" s="493">
        <v>4080.0</v>
      </c>
      <c r="L1798" s="493">
        <v>137254.0</v>
      </c>
      <c r="M1798" s="493">
        <v>0.4497</v>
      </c>
      <c r="N1798" s="6">
        <v>2.8274</v>
      </c>
    </row>
    <row r="1799">
      <c r="A1799" s="491" t="s">
        <v>2023</v>
      </c>
      <c r="B1799" s="491" t="s">
        <v>163</v>
      </c>
      <c r="C1799" s="491" t="s">
        <v>71</v>
      </c>
      <c r="D1799" s="491" t="s">
        <v>565</v>
      </c>
      <c r="E1799" s="492" t="s">
        <v>42</v>
      </c>
      <c r="F1799" s="493">
        <v>9072.0</v>
      </c>
      <c r="G1799" s="493">
        <v>1567.0</v>
      </c>
      <c r="H1799" s="493">
        <v>17.27</v>
      </c>
      <c r="I1799" s="493">
        <v>1.66</v>
      </c>
      <c r="J1799" s="493">
        <v>1.28</v>
      </c>
      <c r="K1799" s="493">
        <v>2273.0</v>
      </c>
      <c r="L1799" s="493">
        <v>137254.0</v>
      </c>
      <c r="M1799" s="493">
        <v>0.2506</v>
      </c>
      <c r="N1799" s="6">
        <v>1.4505</v>
      </c>
    </row>
    <row r="1800">
      <c r="A1800" s="491" t="s">
        <v>2023</v>
      </c>
      <c r="B1800" s="491" t="s">
        <v>163</v>
      </c>
      <c r="C1800" s="491" t="s">
        <v>71</v>
      </c>
      <c r="D1800" s="491" t="s">
        <v>565</v>
      </c>
      <c r="E1800" s="492" t="s">
        <v>369</v>
      </c>
      <c r="F1800" s="493">
        <v>9072.0</v>
      </c>
      <c r="G1800" s="493">
        <v>1894.0</v>
      </c>
      <c r="H1800" s="493">
        <v>20.88</v>
      </c>
      <c r="I1800" s="493">
        <v>1.56</v>
      </c>
      <c r="J1800" s="493">
        <v>1.52</v>
      </c>
      <c r="K1800" s="493">
        <v>2145.0</v>
      </c>
      <c r="L1800" s="493">
        <v>137254.0</v>
      </c>
      <c r="M1800" s="493">
        <v>0.2364</v>
      </c>
      <c r="N1800" s="6">
        <v>1.1325</v>
      </c>
    </row>
    <row r="1801">
      <c r="A1801" s="491" t="s">
        <v>2023</v>
      </c>
      <c r="B1801" s="491" t="s">
        <v>163</v>
      </c>
      <c r="C1801" s="491" t="s">
        <v>71</v>
      </c>
      <c r="D1801" s="491" t="s">
        <v>565</v>
      </c>
      <c r="E1801" s="492" t="s">
        <v>35</v>
      </c>
      <c r="F1801" s="493">
        <v>9072.0</v>
      </c>
      <c r="G1801" s="493">
        <v>1096.0</v>
      </c>
      <c r="H1801" s="493">
        <v>12.08</v>
      </c>
      <c r="I1801" s="493">
        <v>0.85</v>
      </c>
      <c r="J1801" s="493">
        <v>0.88</v>
      </c>
      <c r="K1801" s="493">
        <v>1167.0</v>
      </c>
      <c r="L1801" s="493">
        <v>137254.0</v>
      </c>
      <c r="M1801" s="493">
        <v>0.1286</v>
      </c>
      <c r="N1801" s="6">
        <v>1.0648</v>
      </c>
    </row>
    <row r="1802">
      <c r="A1802" s="491" t="s">
        <v>2023</v>
      </c>
      <c r="B1802" s="491" t="s">
        <v>163</v>
      </c>
      <c r="C1802" s="491" t="s">
        <v>71</v>
      </c>
      <c r="D1802" s="491" t="s">
        <v>565</v>
      </c>
      <c r="E1802" s="492" t="s">
        <v>50</v>
      </c>
      <c r="F1802" s="493">
        <v>9072.0</v>
      </c>
      <c r="G1802" s="493">
        <v>954.0</v>
      </c>
      <c r="H1802" s="493">
        <v>10.52</v>
      </c>
      <c r="I1802" s="493">
        <v>0.83</v>
      </c>
      <c r="J1802" s="493">
        <v>0.78</v>
      </c>
      <c r="K1802" s="493">
        <v>1136.0</v>
      </c>
      <c r="L1802" s="493">
        <v>137254.0</v>
      </c>
      <c r="M1802" s="493">
        <v>0.1252</v>
      </c>
      <c r="N1802" s="6">
        <v>1.1908</v>
      </c>
    </row>
    <row r="1803">
      <c r="A1803" s="491" t="s">
        <v>2023</v>
      </c>
      <c r="B1803" s="491" t="s">
        <v>163</v>
      </c>
      <c r="C1803" s="491" t="s">
        <v>71</v>
      </c>
      <c r="D1803" s="491" t="s">
        <v>565</v>
      </c>
      <c r="E1803" s="492" t="s">
        <v>189</v>
      </c>
      <c r="F1803" s="493">
        <v>9072.0</v>
      </c>
      <c r="G1803" s="493">
        <v>748.0</v>
      </c>
      <c r="H1803" s="493">
        <v>8.25</v>
      </c>
      <c r="I1803" s="493">
        <v>0.55</v>
      </c>
      <c r="J1803" s="493">
        <v>0.37</v>
      </c>
      <c r="K1803" s="493">
        <v>761.0</v>
      </c>
      <c r="L1803" s="493">
        <v>137254.0</v>
      </c>
      <c r="M1803" s="493">
        <v>0.0839</v>
      </c>
      <c r="N1803" s="6">
        <v>1.0174</v>
      </c>
    </row>
    <row r="1804">
      <c r="A1804" s="491" t="s">
        <v>2023</v>
      </c>
      <c r="B1804" s="491" t="s">
        <v>163</v>
      </c>
      <c r="C1804" s="491" t="s">
        <v>71</v>
      </c>
      <c r="D1804" s="491" t="s">
        <v>565</v>
      </c>
      <c r="E1804" s="492" t="s">
        <v>43</v>
      </c>
      <c r="F1804" s="493">
        <v>9072.0</v>
      </c>
      <c r="G1804" s="493">
        <v>46.0</v>
      </c>
      <c r="H1804" s="493">
        <v>0.51</v>
      </c>
      <c r="I1804" s="493">
        <v>0.04</v>
      </c>
      <c r="J1804" s="493">
        <v>0.04</v>
      </c>
      <c r="K1804" s="493">
        <v>49.0</v>
      </c>
      <c r="L1804" s="493">
        <v>137254.0</v>
      </c>
      <c r="M1804" s="493">
        <v>0.0054</v>
      </c>
      <c r="N1804" s="6">
        <v>1.0652</v>
      </c>
    </row>
    <row r="1805">
      <c r="A1805" s="491" t="s">
        <v>2023</v>
      </c>
      <c r="B1805" s="491" t="s">
        <v>163</v>
      </c>
      <c r="C1805" s="491" t="s">
        <v>71</v>
      </c>
      <c r="D1805" s="491" t="s">
        <v>565</v>
      </c>
      <c r="E1805" s="492" t="s">
        <v>365</v>
      </c>
      <c r="F1805" s="493">
        <v>9072.0</v>
      </c>
      <c r="G1805" s="493">
        <v>13.0</v>
      </c>
      <c r="H1805" s="493">
        <v>0.14</v>
      </c>
      <c r="I1805" s="493">
        <v>0.01</v>
      </c>
      <c r="J1805" s="493">
        <v>0.01</v>
      </c>
      <c r="K1805" s="493">
        <v>13.0</v>
      </c>
      <c r="L1805" s="493">
        <v>137254.0</v>
      </c>
      <c r="M1805" s="493">
        <v>0.0014</v>
      </c>
      <c r="N1805" s="6">
        <v>1.0</v>
      </c>
    </row>
    <row r="1806">
      <c r="A1806" s="491" t="s">
        <v>2023</v>
      </c>
      <c r="B1806" s="491" t="s">
        <v>163</v>
      </c>
      <c r="C1806" s="491" t="s">
        <v>71</v>
      </c>
      <c r="D1806" s="491" t="s">
        <v>565</v>
      </c>
      <c r="E1806" s="492" t="s">
        <v>368</v>
      </c>
      <c r="F1806" s="493">
        <v>9072.0</v>
      </c>
      <c r="G1806" s="493">
        <v>1.0</v>
      </c>
      <c r="H1806" s="493">
        <v>0.01</v>
      </c>
      <c r="I1806" s="493">
        <v>0.0</v>
      </c>
      <c r="J1806" s="493">
        <v>0.0</v>
      </c>
      <c r="K1806" s="493">
        <v>2.0</v>
      </c>
      <c r="L1806" s="493">
        <v>137254.0</v>
      </c>
      <c r="M1806" s="493">
        <v>2.0E-4</v>
      </c>
      <c r="N1806" s="6">
        <v>2.0</v>
      </c>
    </row>
    <row r="1807">
      <c r="A1807" s="491" t="s">
        <v>2023</v>
      </c>
      <c r="B1807" s="491" t="s">
        <v>163</v>
      </c>
      <c r="C1807" s="491" t="s">
        <v>70</v>
      </c>
      <c r="D1807" s="491" t="s">
        <v>565</v>
      </c>
      <c r="E1807" s="492" t="s">
        <v>371</v>
      </c>
      <c r="F1807" s="493">
        <v>9098.0</v>
      </c>
      <c r="G1807" s="493">
        <v>9073.0</v>
      </c>
      <c r="H1807" s="493">
        <v>99.73</v>
      </c>
      <c r="I1807" s="493">
        <v>62.12</v>
      </c>
      <c r="J1807" s="493">
        <v>56.67</v>
      </c>
      <c r="K1807" s="493">
        <v>143296.0</v>
      </c>
      <c r="L1807" s="493">
        <v>230666.0</v>
      </c>
      <c r="M1807" s="493">
        <v>15.7503</v>
      </c>
      <c r="N1807" s="6">
        <v>15.7937</v>
      </c>
    </row>
    <row r="1808">
      <c r="A1808" s="491" t="s">
        <v>2023</v>
      </c>
      <c r="B1808" s="491" t="s">
        <v>163</v>
      </c>
      <c r="C1808" s="491" t="s">
        <v>70</v>
      </c>
      <c r="D1808" s="491" t="s">
        <v>565</v>
      </c>
      <c r="E1808" s="492" t="s">
        <v>372</v>
      </c>
      <c r="F1808" s="493">
        <v>9098.0</v>
      </c>
      <c r="G1808" s="493">
        <v>6343.0</v>
      </c>
      <c r="H1808" s="493">
        <v>69.72</v>
      </c>
      <c r="I1808" s="493">
        <v>11.25</v>
      </c>
      <c r="J1808" s="493">
        <v>15.21</v>
      </c>
      <c r="K1808" s="493">
        <v>25944.0</v>
      </c>
      <c r="L1808" s="493">
        <v>230666.0</v>
      </c>
      <c r="M1808" s="493">
        <v>2.8516</v>
      </c>
      <c r="N1808" s="6">
        <v>4.0902</v>
      </c>
    </row>
    <row r="1809">
      <c r="A1809" s="491" t="s">
        <v>2023</v>
      </c>
      <c r="B1809" s="491" t="s">
        <v>163</v>
      </c>
      <c r="C1809" s="491" t="s">
        <v>70</v>
      </c>
      <c r="D1809" s="491" t="s">
        <v>565</v>
      </c>
      <c r="E1809" s="492" t="s">
        <v>366</v>
      </c>
      <c r="F1809" s="493">
        <v>9098.0</v>
      </c>
      <c r="G1809" s="493">
        <v>6694.0</v>
      </c>
      <c r="H1809" s="493">
        <v>73.58</v>
      </c>
      <c r="I1809" s="493">
        <v>9.08</v>
      </c>
      <c r="J1809" s="493">
        <v>10.2</v>
      </c>
      <c r="K1809" s="493">
        <v>20941.0</v>
      </c>
      <c r="L1809" s="493">
        <v>230666.0</v>
      </c>
      <c r="M1809" s="493">
        <v>2.3017</v>
      </c>
      <c r="N1809" s="6">
        <v>3.1283</v>
      </c>
    </row>
    <row r="1810">
      <c r="A1810" s="491" t="s">
        <v>2023</v>
      </c>
      <c r="B1810" s="491" t="s">
        <v>163</v>
      </c>
      <c r="C1810" s="491" t="s">
        <v>70</v>
      </c>
      <c r="D1810" s="491" t="s">
        <v>565</v>
      </c>
      <c r="E1810" s="492" t="s">
        <v>370</v>
      </c>
      <c r="F1810" s="493">
        <v>9098.0</v>
      </c>
      <c r="G1810" s="493">
        <v>5205.0</v>
      </c>
      <c r="H1810" s="493">
        <v>57.21</v>
      </c>
      <c r="I1810" s="493">
        <v>4.2</v>
      </c>
      <c r="J1810" s="493">
        <v>4.01</v>
      </c>
      <c r="K1810" s="493">
        <v>9686.0</v>
      </c>
      <c r="L1810" s="493">
        <v>230666.0</v>
      </c>
      <c r="M1810" s="493">
        <v>1.0646</v>
      </c>
      <c r="N1810" s="6">
        <v>1.8609</v>
      </c>
    </row>
    <row r="1811">
      <c r="A1811" s="491" t="s">
        <v>2023</v>
      </c>
      <c r="B1811" s="491" t="s">
        <v>163</v>
      </c>
      <c r="C1811" s="491" t="s">
        <v>70</v>
      </c>
      <c r="D1811" s="491" t="s">
        <v>565</v>
      </c>
      <c r="E1811" s="492" t="s">
        <v>49</v>
      </c>
      <c r="F1811" s="493">
        <v>9098.0</v>
      </c>
      <c r="G1811" s="493">
        <v>3775.0</v>
      </c>
      <c r="H1811" s="493">
        <v>41.49</v>
      </c>
      <c r="I1811" s="493">
        <v>3.51</v>
      </c>
      <c r="J1811" s="493">
        <v>2.93</v>
      </c>
      <c r="K1811" s="493">
        <v>8086.0</v>
      </c>
      <c r="L1811" s="493">
        <v>230666.0</v>
      </c>
      <c r="M1811" s="493">
        <v>0.8888</v>
      </c>
      <c r="N1811" s="6">
        <v>2.142</v>
      </c>
    </row>
    <row r="1812">
      <c r="A1812" s="491" t="s">
        <v>2023</v>
      </c>
      <c r="B1812" s="491" t="s">
        <v>163</v>
      </c>
      <c r="C1812" s="491" t="s">
        <v>70</v>
      </c>
      <c r="D1812" s="491" t="s">
        <v>565</v>
      </c>
      <c r="E1812" s="492" t="s">
        <v>368</v>
      </c>
      <c r="F1812" s="493">
        <v>9098.0</v>
      </c>
      <c r="G1812" s="493">
        <v>2923.0</v>
      </c>
      <c r="H1812" s="493">
        <v>32.13</v>
      </c>
      <c r="I1812" s="493">
        <v>2.93</v>
      </c>
      <c r="J1812" s="493">
        <v>4.08</v>
      </c>
      <c r="K1812" s="493">
        <v>6748.0</v>
      </c>
      <c r="L1812" s="493">
        <v>230666.0</v>
      </c>
      <c r="M1812" s="493">
        <v>0.7417</v>
      </c>
      <c r="N1812" s="6">
        <v>2.3086</v>
      </c>
    </row>
    <row r="1813">
      <c r="A1813" s="491" t="s">
        <v>2023</v>
      </c>
      <c r="B1813" s="491" t="s">
        <v>163</v>
      </c>
      <c r="C1813" s="491" t="s">
        <v>70</v>
      </c>
      <c r="D1813" s="491" t="s">
        <v>565</v>
      </c>
      <c r="E1813" s="492" t="s">
        <v>44</v>
      </c>
      <c r="F1813" s="493">
        <v>9098.0</v>
      </c>
      <c r="G1813" s="493">
        <v>4466.0</v>
      </c>
      <c r="H1813" s="493">
        <v>49.09</v>
      </c>
      <c r="I1813" s="493">
        <v>2.64</v>
      </c>
      <c r="J1813" s="493">
        <v>2.77</v>
      </c>
      <c r="K1813" s="493">
        <v>6097.0</v>
      </c>
      <c r="L1813" s="493">
        <v>230666.0</v>
      </c>
      <c r="M1813" s="493">
        <v>0.6701</v>
      </c>
      <c r="N1813" s="6">
        <v>1.3652</v>
      </c>
    </row>
    <row r="1814">
      <c r="A1814" s="491" t="s">
        <v>2023</v>
      </c>
      <c r="B1814" s="491" t="s">
        <v>163</v>
      </c>
      <c r="C1814" s="491" t="s">
        <v>70</v>
      </c>
      <c r="D1814" s="491" t="s">
        <v>565</v>
      </c>
      <c r="E1814" s="492" t="s">
        <v>369</v>
      </c>
      <c r="F1814" s="493">
        <v>9098.0</v>
      </c>
      <c r="G1814" s="493">
        <v>2962.0</v>
      </c>
      <c r="H1814" s="493">
        <v>32.56</v>
      </c>
      <c r="I1814" s="493">
        <v>1.52</v>
      </c>
      <c r="J1814" s="493">
        <v>1.71</v>
      </c>
      <c r="K1814" s="493">
        <v>3511.0</v>
      </c>
      <c r="L1814" s="493">
        <v>230666.0</v>
      </c>
      <c r="M1814" s="493">
        <v>0.3859</v>
      </c>
      <c r="N1814" s="6">
        <v>1.1853</v>
      </c>
    </row>
    <row r="1815">
      <c r="A1815" s="491" t="s">
        <v>2023</v>
      </c>
      <c r="B1815" s="491" t="s">
        <v>163</v>
      </c>
      <c r="C1815" s="491" t="s">
        <v>70</v>
      </c>
      <c r="D1815" s="491" t="s">
        <v>565</v>
      </c>
      <c r="E1815" s="492" t="s">
        <v>134</v>
      </c>
      <c r="F1815" s="493">
        <v>9098.0</v>
      </c>
      <c r="G1815" s="493">
        <v>1160.0</v>
      </c>
      <c r="H1815" s="493">
        <v>12.75</v>
      </c>
      <c r="I1815" s="493">
        <v>1.13</v>
      </c>
      <c r="J1815" s="493">
        <v>0.71</v>
      </c>
      <c r="K1815" s="493">
        <v>2607.0</v>
      </c>
      <c r="L1815" s="493">
        <v>230666.0</v>
      </c>
      <c r="M1815" s="493">
        <v>0.2865</v>
      </c>
      <c r="N1815" s="6">
        <v>2.2474</v>
      </c>
    </row>
    <row r="1816">
      <c r="A1816" s="491" t="s">
        <v>2023</v>
      </c>
      <c r="B1816" s="491" t="s">
        <v>163</v>
      </c>
      <c r="C1816" s="491" t="s">
        <v>70</v>
      </c>
      <c r="D1816" s="491" t="s">
        <v>565</v>
      </c>
      <c r="E1816" s="492" t="s">
        <v>35</v>
      </c>
      <c r="F1816" s="493">
        <v>9098.0</v>
      </c>
      <c r="G1816" s="493">
        <v>1427.0</v>
      </c>
      <c r="H1816" s="493">
        <v>15.68</v>
      </c>
      <c r="I1816" s="493">
        <v>0.64</v>
      </c>
      <c r="J1816" s="493">
        <v>0.66</v>
      </c>
      <c r="K1816" s="493">
        <v>1469.0</v>
      </c>
      <c r="L1816" s="493">
        <v>230666.0</v>
      </c>
      <c r="M1816" s="493">
        <v>0.1615</v>
      </c>
      <c r="N1816" s="6">
        <v>1.0294</v>
      </c>
    </row>
    <row r="1817">
      <c r="A1817" s="491" t="s">
        <v>2023</v>
      </c>
      <c r="B1817" s="491" t="s">
        <v>163</v>
      </c>
      <c r="C1817" s="491" t="s">
        <v>70</v>
      </c>
      <c r="D1817" s="491" t="s">
        <v>565</v>
      </c>
      <c r="E1817" s="492" t="s">
        <v>189</v>
      </c>
      <c r="F1817" s="493">
        <v>9098.0</v>
      </c>
      <c r="G1817" s="493">
        <v>1274.0</v>
      </c>
      <c r="H1817" s="493">
        <v>14.0</v>
      </c>
      <c r="I1817" s="493">
        <v>0.56</v>
      </c>
      <c r="J1817" s="493">
        <v>0.62</v>
      </c>
      <c r="K1817" s="493">
        <v>1300.0</v>
      </c>
      <c r="L1817" s="493">
        <v>230666.0</v>
      </c>
      <c r="M1817" s="493">
        <v>0.1429</v>
      </c>
      <c r="N1817" s="6">
        <v>1.0204</v>
      </c>
    </row>
    <row r="1818">
      <c r="A1818" s="491" t="s">
        <v>2023</v>
      </c>
      <c r="B1818" s="491" t="s">
        <v>163</v>
      </c>
      <c r="C1818" s="491" t="s">
        <v>70</v>
      </c>
      <c r="D1818" s="491" t="s">
        <v>565</v>
      </c>
      <c r="E1818" s="492" t="s">
        <v>50</v>
      </c>
      <c r="F1818" s="493">
        <v>9098.0</v>
      </c>
      <c r="G1818" s="493">
        <v>456.0</v>
      </c>
      <c r="H1818" s="493">
        <v>5.01</v>
      </c>
      <c r="I1818" s="493">
        <v>0.22</v>
      </c>
      <c r="J1818" s="493">
        <v>0.2</v>
      </c>
      <c r="K1818" s="493">
        <v>498.0</v>
      </c>
      <c r="L1818" s="493">
        <v>230666.0</v>
      </c>
      <c r="M1818" s="493">
        <v>0.0547</v>
      </c>
      <c r="N1818" s="6">
        <v>1.0921</v>
      </c>
    </row>
    <row r="1819">
      <c r="A1819" s="491" t="s">
        <v>2023</v>
      </c>
      <c r="B1819" s="491" t="s">
        <v>163</v>
      </c>
      <c r="C1819" s="491" t="s">
        <v>70</v>
      </c>
      <c r="D1819" s="491" t="s">
        <v>565</v>
      </c>
      <c r="E1819" s="492" t="s">
        <v>42</v>
      </c>
      <c r="F1819" s="493">
        <v>9098.0</v>
      </c>
      <c r="G1819" s="493">
        <v>373.0</v>
      </c>
      <c r="H1819" s="493">
        <v>4.1</v>
      </c>
      <c r="I1819" s="493">
        <v>0.17</v>
      </c>
      <c r="J1819" s="493">
        <v>0.19</v>
      </c>
      <c r="K1819" s="493">
        <v>402.0</v>
      </c>
      <c r="L1819" s="493">
        <v>230666.0</v>
      </c>
      <c r="M1819" s="493">
        <v>0.0442</v>
      </c>
      <c r="N1819" s="6">
        <v>1.0777</v>
      </c>
    </row>
    <row r="1820">
      <c r="A1820" s="491" t="s">
        <v>2023</v>
      </c>
      <c r="B1820" s="491" t="s">
        <v>163</v>
      </c>
      <c r="C1820" s="491" t="s">
        <v>70</v>
      </c>
      <c r="D1820" s="491" t="s">
        <v>565</v>
      </c>
      <c r="E1820" s="492" t="s">
        <v>43</v>
      </c>
      <c r="F1820" s="493">
        <v>9098.0</v>
      </c>
      <c r="G1820" s="493">
        <v>56.0</v>
      </c>
      <c r="H1820" s="493">
        <v>0.62</v>
      </c>
      <c r="I1820" s="493">
        <v>0.03</v>
      </c>
      <c r="J1820" s="493">
        <v>0.03</v>
      </c>
      <c r="K1820" s="493">
        <v>60.0</v>
      </c>
      <c r="L1820" s="493">
        <v>230666.0</v>
      </c>
      <c r="M1820" s="493">
        <v>0.0066</v>
      </c>
      <c r="N1820" s="6">
        <v>1.0714</v>
      </c>
    </row>
    <row r="1821">
      <c r="A1821" s="491" t="s">
        <v>2023</v>
      </c>
      <c r="B1821" s="491" t="s">
        <v>163</v>
      </c>
      <c r="C1821" s="491" t="s">
        <v>70</v>
      </c>
      <c r="D1821" s="491" t="s">
        <v>565</v>
      </c>
      <c r="E1821" s="492" t="s">
        <v>365</v>
      </c>
      <c r="F1821" s="493">
        <v>9098.0</v>
      </c>
      <c r="G1821" s="493">
        <v>17.0</v>
      </c>
      <c r="H1821" s="493">
        <v>0.19</v>
      </c>
      <c r="I1821" s="493">
        <v>0.01</v>
      </c>
      <c r="J1821" s="493">
        <v>0.01</v>
      </c>
      <c r="K1821" s="493">
        <v>18.0</v>
      </c>
      <c r="L1821" s="493">
        <v>230666.0</v>
      </c>
      <c r="M1821" s="493">
        <v>0.002</v>
      </c>
      <c r="N1821" s="6">
        <v>1.0588</v>
      </c>
    </row>
    <row r="1822">
      <c r="A1822" s="491" t="s">
        <v>2023</v>
      </c>
      <c r="B1822" s="491" t="s">
        <v>163</v>
      </c>
      <c r="C1822" s="491" t="s">
        <v>70</v>
      </c>
      <c r="D1822" s="491" t="s">
        <v>565</v>
      </c>
      <c r="E1822" s="492" t="s">
        <v>32</v>
      </c>
      <c r="F1822" s="493">
        <v>9098.0</v>
      </c>
      <c r="G1822" s="493">
        <v>2.0</v>
      </c>
      <c r="H1822" s="493">
        <v>0.02</v>
      </c>
      <c r="I1822" s="493">
        <v>0.0</v>
      </c>
      <c r="J1822" s="493">
        <v>0.0</v>
      </c>
      <c r="K1822" s="493">
        <v>3.0</v>
      </c>
      <c r="L1822" s="493">
        <v>230666.0</v>
      </c>
      <c r="M1822" s="493">
        <v>3.0E-4</v>
      </c>
      <c r="N1822" s="6">
        <v>1.5</v>
      </c>
    </row>
    <row r="1823">
      <c r="A1823" s="491" t="s">
        <v>2023</v>
      </c>
      <c r="B1823" s="491" t="s">
        <v>163</v>
      </c>
      <c r="C1823" s="491" t="s">
        <v>74</v>
      </c>
      <c r="D1823" s="491" t="s">
        <v>565</v>
      </c>
      <c r="E1823" s="492" t="s">
        <v>371</v>
      </c>
      <c r="F1823" s="493">
        <v>9079.0</v>
      </c>
      <c r="G1823" s="493">
        <v>9043.0</v>
      </c>
      <c r="H1823" s="493">
        <v>99.6</v>
      </c>
      <c r="I1823" s="493">
        <v>49.36</v>
      </c>
      <c r="J1823" s="493">
        <v>53.69</v>
      </c>
      <c r="K1823" s="493">
        <v>58604.0</v>
      </c>
      <c r="L1823" s="493">
        <v>118718.0</v>
      </c>
      <c r="M1823" s="493">
        <v>6.4549</v>
      </c>
      <c r="N1823" s="6">
        <v>6.4806</v>
      </c>
    </row>
    <row r="1824">
      <c r="A1824" s="491" t="s">
        <v>2023</v>
      </c>
      <c r="B1824" s="491" t="s">
        <v>163</v>
      </c>
      <c r="C1824" s="491" t="s">
        <v>74</v>
      </c>
      <c r="D1824" s="491" t="s">
        <v>565</v>
      </c>
      <c r="E1824" s="492" t="s">
        <v>366</v>
      </c>
      <c r="F1824" s="493">
        <v>9079.0</v>
      </c>
      <c r="G1824" s="493">
        <v>6224.0</v>
      </c>
      <c r="H1824" s="493">
        <v>68.55</v>
      </c>
      <c r="I1824" s="493">
        <v>11.94</v>
      </c>
      <c r="J1824" s="493">
        <v>13.97</v>
      </c>
      <c r="K1824" s="493">
        <v>14180.0</v>
      </c>
      <c r="L1824" s="493">
        <v>118718.0</v>
      </c>
      <c r="M1824" s="493">
        <v>1.5618</v>
      </c>
      <c r="N1824" s="6">
        <v>2.2783</v>
      </c>
    </row>
    <row r="1825">
      <c r="A1825" s="491" t="s">
        <v>2023</v>
      </c>
      <c r="B1825" s="491" t="s">
        <v>163</v>
      </c>
      <c r="C1825" s="491" t="s">
        <v>74</v>
      </c>
      <c r="D1825" s="491" t="s">
        <v>565</v>
      </c>
      <c r="E1825" s="492" t="s">
        <v>134</v>
      </c>
      <c r="F1825" s="493">
        <v>9079.0</v>
      </c>
      <c r="G1825" s="493">
        <v>1939.0</v>
      </c>
      <c r="H1825" s="493">
        <v>21.36</v>
      </c>
      <c r="I1825" s="493">
        <v>6.5</v>
      </c>
      <c r="J1825" s="493">
        <v>3.73</v>
      </c>
      <c r="K1825" s="493">
        <v>7716.0</v>
      </c>
      <c r="L1825" s="493">
        <v>118718.0</v>
      </c>
      <c r="M1825" s="493">
        <v>0.8499</v>
      </c>
      <c r="N1825" s="6">
        <v>3.9794</v>
      </c>
    </row>
    <row r="1826">
      <c r="A1826" s="491" t="s">
        <v>2023</v>
      </c>
      <c r="B1826" s="491" t="s">
        <v>163</v>
      </c>
      <c r="C1826" s="491" t="s">
        <v>74</v>
      </c>
      <c r="D1826" s="491" t="s">
        <v>565</v>
      </c>
      <c r="E1826" s="492" t="s">
        <v>44</v>
      </c>
      <c r="F1826" s="493">
        <v>9079.0</v>
      </c>
      <c r="G1826" s="493">
        <v>4156.0</v>
      </c>
      <c r="H1826" s="493">
        <v>45.78</v>
      </c>
      <c r="I1826" s="493">
        <v>4.76</v>
      </c>
      <c r="J1826" s="493">
        <v>6.01</v>
      </c>
      <c r="K1826" s="493">
        <v>5656.0</v>
      </c>
      <c r="L1826" s="493">
        <v>118718.0</v>
      </c>
      <c r="M1826" s="493">
        <v>0.623</v>
      </c>
      <c r="N1826" s="6">
        <v>1.3609</v>
      </c>
    </row>
    <row r="1827">
      <c r="A1827" s="491" t="s">
        <v>2023</v>
      </c>
      <c r="B1827" s="491" t="s">
        <v>163</v>
      </c>
      <c r="C1827" s="491" t="s">
        <v>74</v>
      </c>
      <c r="D1827" s="491" t="s">
        <v>565</v>
      </c>
      <c r="E1827" s="492" t="s">
        <v>370</v>
      </c>
      <c r="F1827" s="493">
        <v>9079.0</v>
      </c>
      <c r="G1827" s="493">
        <v>2803.0</v>
      </c>
      <c r="H1827" s="493">
        <v>30.87</v>
      </c>
      <c r="I1827" s="493">
        <v>4.56</v>
      </c>
      <c r="J1827" s="493">
        <v>3.62</v>
      </c>
      <c r="K1827" s="493">
        <v>5416.0</v>
      </c>
      <c r="L1827" s="493">
        <v>118718.0</v>
      </c>
      <c r="M1827" s="493">
        <v>0.5965</v>
      </c>
      <c r="N1827" s="6">
        <v>1.9322</v>
      </c>
    </row>
    <row r="1828">
      <c r="A1828" s="491" t="s">
        <v>2023</v>
      </c>
      <c r="B1828" s="491" t="s">
        <v>163</v>
      </c>
      <c r="C1828" s="491" t="s">
        <v>74</v>
      </c>
      <c r="D1828" s="491" t="s">
        <v>565</v>
      </c>
      <c r="E1828" s="492" t="s">
        <v>42</v>
      </c>
      <c r="F1828" s="493">
        <v>9079.0</v>
      </c>
      <c r="G1828" s="493">
        <v>2136.0</v>
      </c>
      <c r="H1828" s="493">
        <v>23.53</v>
      </c>
      <c r="I1828" s="493">
        <v>4.25</v>
      </c>
      <c r="J1828" s="493">
        <v>3.32</v>
      </c>
      <c r="K1828" s="493">
        <v>5044.0</v>
      </c>
      <c r="L1828" s="493">
        <v>118718.0</v>
      </c>
      <c r="M1828" s="493">
        <v>0.5556</v>
      </c>
      <c r="N1828" s="6">
        <v>2.3614</v>
      </c>
    </row>
    <row r="1829">
      <c r="A1829" s="491" t="s">
        <v>2023</v>
      </c>
      <c r="B1829" s="491" t="s">
        <v>163</v>
      </c>
      <c r="C1829" s="491" t="s">
        <v>74</v>
      </c>
      <c r="D1829" s="491" t="s">
        <v>565</v>
      </c>
      <c r="E1829" s="492" t="s">
        <v>50</v>
      </c>
      <c r="F1829" s="493">
        <v>9079.0</v>
      </c>
      <c r="G1829" s="493">
        <v>3162.0</v>
      </c>
      <c r="H1829" s="493">
        <v>34.83</v>
      </c>
      <c r="I1829" s="493">
        <v>4.19</v>
      </c>
      <c r="J1829" s="493">
        <v>4.39</v>
      </c>
      <c r="K1829" s="493">
        <v>4974.0</v>
      </c>
      <c r="L1829" s="493">
        <v>118718.0</v>
      </c>
      <c r="M1829" s="493">
        <v>0.5479</v>
      </c>
      <c r="N1829" s="6">
        <v>1.5731</v>
      </c>
    </row>
    <row r="1830">
      <c r="A1830" s="491" t="s">
        <v>2023</v>
      </c>
      <c r="B1830" s="491" t="s">
        <v>163</v>
      </c>
      <c r="C1830" s="491" t="s">
        <v>74</v>
      </c>
      <c r="D1830" s="491" t="s">
        <v>565</v>
      </c>
      <c r="E1830" s="492" t="s">
        <v>365</v>
      </c>
      <c r="F1830" s="493">
        <v>9079.0</v>
      </c>
      <c r="G1830" s="493">
        <v>1180.0</v>
      </c>
      <c r="H1830" s="493">
        <v>13.0</v>
      </c>
      <c r="I1830" s="493">
        <v>2.3</v>
      </c>
      <c r="J1830" s="493">
        <v>1.53</v>
      </c>
      <c r="K1830" s="493">
        <v>2729.0</v>
      </c>
      <c r="L1830" s="493">
        <v>118718.0</v>
      </c>
      <c r="M1830" s="493">
        <v>0.3006</v>
      </c>
      <c r="N1830" s="6">
        <v>2.3127</v>
      </c>
    </row>
    <row r="1831">
      <c r="A1831" s="491" t="s">
        <v>2023</v>
      </c>
      <c r="B1831" s="491" t="s">
        <v>163</v>
      </c>
      <c r="C1831" s="491" t="s">
        <v>74</v>
      </c>
      <c r="D1831" s="491" t="s">
        <v>565</v>
      </c>
      <c r="E1831" s="492" t="s">
        <v>310</v>
      </c>
      <c r="F1831" s="493">
        <v>9079.0</v>
      </c>
      <c r="G1831" s="493">
        <v>1690.0</v>
      </c>
      <c r="H1831" s="493">
        <v>18.61</v>
      </c>
      <c r="I1831" s="493">
        <v>1.86</v>
      </c>
      <c r="J1831" s="493">
        <v>1.76</v>
      </c>
      <c r="K1831" s="493">
        <v>2203.0</v>
      </c>
      <c r="L1831" s="493">
        <v>118718.0</v>
      </c>
      <c r="M1831" s="493">
        <v>0.2426</v>
      </c>
      <c r="N1831" s="6">
        <v>1.3036</v>
      </c>
    </row>
    <row r="1832">
      <c r="A1832" s="491" t="s">
        <v>2023</v>
      </c>
      <c r="B1832" s="491" t="s">
        <v>163</v>
      </c>
      <c r="C1832" s="491" t="s">
        <v>74</v>
      </c>
      <c r="D1832" s="491" t="s">
        <v>565</v>
      </c>
      <c r="E1832" s="492" t="s">
        <v>369</v>
      </c>
      <c r="F1832" s="493">
        <v>9079.0</v>
      </c>
      <c r="G1832" s="493">
        <v>1894.0</v>
      </c>
      <c r="H1832" s="493">
        <v>20.86</v>
      </c>
      <c r="I1832" s="493">
        <v>1.81</v>
      </c>
      <c r="J1832" s="493">
        <v>1.76</v>
      </c>
      <c r="K1832" s="493">
        <v>2145.0</v>
      </c>
      <c r="L1832" s="493">
        <v>118718.0</v>
      </c>
      <c r="M1832" s="493">
        <v>0.2363</v>
      </c>
      <c r="N1832" s="6">
        <v>1.1325</v>
      </c>
    </row>
    <row r="1833">
      <c r="A1833" s="491" t="s">
        <v>2023</v>
      </c>
      <c r="B1833" s="491" t="s">
        <v>163</v>
      </c>
      <c r="C1833" s="491" t="s">
        <v>74</v>
      </c>
      <c r="D1833" s="491" t="s">
        <v>565</v>
      </c>
      <c r="E1833" s="492" t="s">
        <v>32</v>
      </c>
      <c r="F1833" s="493">
        <v>9079.0</v>
      </c>
      <c r="G1833" s="493">
        <v>1615.0</v>
      </c>
      <c r="H1833" s="493">
        <v>17.79</v>
      </c>
      <c r="I1833" s="493">
        <v>1.72</v>
      </c>
      <c r="J1833" s="493">
        <v>1.77</v>
      </c>
      <c r="K1833" s="493">
        <v>2044.0</v>
      </c>
      <c r="L1833" s="493">
        <v>118718.0</v>
      </c>
      <c r="M1833" s="493">
        <v>0.2251</v>
      </c>
      <c r="N1833" s="6">
        <v>1.2656</v>
      </c>
    </row>
    <row r="1834">
      <c r="A1834" s="491" t="s">
        <v>2023</v>
      </c>
      <c r="B1834" s="491" t="s">
        <v>163</v>
      </c>
      <c r="C1834" s="491" t="s">
        <v>74</v>
      </c>
      <c r="D1834" s="491" t="s">
        <v>565</v>
      </c>
      <c r="E1834" s="492" t="s">
        <v>312</v>
      </c>
      <c r="F1834" s="493">
        <v>9079.0</v>
      </c>
      <c r="G1834" s="493">
        <v>1550.0</v>
      </c>
      <c r="H1834" s="493">
        <v>17.07</v>
      </c>
      <c r="I1834" s="493">
        <v>1.72</v>
      </c>
      <c r="J1834" s="493">
        <v>1.51</v>
      </c>
      <c r="K1834" s="493">
        <v>2038.0</v>
      </c>
      <c r="L1834" s="493">
        <v>118718.0</v>
      </c>
      <c r="M1834" s="493">
        <v>0.2245</v>
      </c>
      <c r="N1834" s="6">
        <v>1.3148</v>
      </c>
    </row>
    <row r="1835">
      <c r="A1835" s="491" t="s">
        <v>2023</v>
      </c>
      <c r="B1835" s="491" t="s">
        <v>163</v>
      </c>
      <c r="C1835" s="491" t="s">
        <v>74</v>
      </c>
      <c r="D1835" s="491" t="s">
        <v>565</v>
      </c>
      <c r="E1835" s="492" t="s">
        <v>368</v>
      </c>
      <c r="F1835" s="493">
        <v>9079.0</v>
      </c>
      <c r="G1835" s="493">
        <v>563.0</v>
      </c>
      <c r="H1835" s="493">
        <v>6.2</v>
      </c>
      <c r="I1835" s="493">
        <v>1.71</v>
      </c>
      <c r="J1835" s="493">
        <v>0.66</v>
      </c>
      <c r="K1835" s="493">
        <v>2026.0</v>
      </c>
      <c r="L1835" s="493">
        <v>118718.0</v>
      </c>
      <c r="M1835" s="493">
        <v>0.2232</v>
      </c>
      <c r="N1835" s="6">
        <v>3.5986</v>
      </c>
    </row>
    <row r="1836">
      <c r="A1836" s="491" t="s">
        <v>2023</v>
      </c>
      <c r="B1836" s="491" t="s">
        <v>163</v>
      </c>
      <c r="C1836" s="491" t="s">
        <v>74</v>
      </c>
      <c r="D1836" s="491" t="s">
        <v>565</v>
      </c>
      <c r="E1836" s="492" t="s">
        <v>40</v>
      </c>
      <c r="F1836" s="493">
        <v>9079.0</v>
      </c>
      <c r="G1836" s="493">
        <v>889.0</v>
      </c>
      <c r="H1836" s="493">
        <v>9.79</v>
      </c>
      <c r="I1836" s="493">
        <v>1.1</v>
      </c>
      <c r="J1836" s="493">
        <v>0.89</v>
      </c>
      <c r="K1836" s="493">
        <v>1308.0</v>
      </c>
      <c r="L1836" s="493">
        <v>118718.0</v>
      </c>
      <c r="M1836" s="493">
        <v>0.1441</v>
      </c>
      <c r="N1836" s="6">
        <v>1.4713</v>
      </c>
    </row>
    <row r="1837">
      <c r="A1837" s="491" t="s">
        <v>2023</v>
      </c>
      <c r="B1837" s="491" t="s">
        <v>163</v>
      </c>
      <c r="C1837" s="491" t="s">
        <v>74</v>
      </c>
      <c r="D1837" s="491" t="s">
        <v>565</v>
      </c>
      <c r="E1837" s="492" t="s">
        <v>43</v>
      </c>
      <c r="F1837" s="493">
        <v>9079.0</v>
      </c>
      <c r="G1837" s="493">
        <v>698.0</v>
      </c>
      <c r="H1837" s="493">
        <v>7.69</v>
      </c>
      <c r="I1837" s="493">
        <v>0.73</v>
      </c>
      <c r="J1837" s="493">
        <v>0.37</v>
      </c>
      <c r="K1837" s="493">
        <v>871.0</v>
      </c>
      <c r="L1837" s="493">
        <v>118718.0</v>
      </c>
      <c r="M1837" s="493">
        <v>0.0959</v>
      </c>
      <c r="N1837" s="6">
        <v>1.2479</v>
      </c>
    </row>
    <row r="1838">
      <c r="A1838" s="491" t="s">
        <v>2023</v>
      </c>
      <c r="B1838" s="491" t="s">
        <v>163</v>
      </c>
      <c r="C1838" s="491" t="s">
        <v>74</v>
      </c>
      <c r="D1838" s="491" t="s">
        <v>565</v>
      </c>
      <c r="E1838" s="492" t="s">
        <v>189</v>
      </c>
      <c r="F1838" s="493">
        <v>9079.0</v>
      </c>
      <c r="G1838" s="493">
        <v>748.0</v>
      </c>
      <c r="H1838" s="493">
        <v>8.24</v>
      </c>
      <c r="I1838" s="493">
        <v>0.64</v>
      </c>
      <c r="J1838" s="493">
        <v>0.4</v>
      </c>
      <c r="K1838" s="493">
        <v>761.0</v>
      </c>
      <c r="L1838" s="493">
        <v>118718.0</v>
      </c>
      <c r="M1838" s="493">
        <v>0.0838</v>
      </c>
      <c r="N1838" s="6">
        <v>1.0174</v>
      </c>
    </row>
    <row r="1839">
      <c r="A1839" s="491" t="s">
        <v>2023</v>
      </c>
      <c r="B1839" s="491" t="s">
        <v>163</v>
      </c>
      <c r="C1839" s="491" t="s">
        <v>74</v>
      </c>
      <c r="D1839" s="491" t="s">
        <v>565</v>
      </c>
      <c r="E1839" s="492" t="s">
        <v>311</v>
      </c>
      <c r="F1839" s="493">
        <v>9079.0</v>
      </c>
      <c r="G1839" s="493">
        <v>575.0</v>
      </c>
      <c r="H1839" s="493">
        <v>6.33</v>
      </c>
      <c r="I1839" s="493">
        <v>0.5</v>
      </c>
      <c r="J1839" s="493">
        <v>0.49</v>
      </c>
      <c r="K1839" s="493">
        <v>588.0</v>
      </c>
      <c r="L1839" s="493">
        <v>118718.0</v>
      </c>
      <c r="M1839" s="493">
        <v>0.0648</v>
      </c>
      <c r="N1839" s="6">
        <v>1.0226</v>
      </c>
    </row>
    <row r="1840">
      <c r="A1840" s="491" t="s">
        <v>2023</v>
      </c>
      <c r="B1840" s="491" t="s">
        <v>163</v>
      </c>
      <c r="C1840" s="491" t="s">
        <v>74</v>
      </c>
      <c r="D1840" s="491" t="s">
        <v>565</v>
      </c>
      <c r="E1840" s="492" t="s">
        <v>367</v>
      </c>
      <c r="F1840" s="493">
        <v>9079.0</v>
      </c>
      <c r="G1840" s="493">
        <v>409.0</v>
      </c>
      <c r="H1840" s="493">
        <v>4.5</v>
      </c>
      <c r="I1840" s="493">
        <v>0.35</v>
      </c>
      <c r="J1840" s="493">
        <v>0.15</v>
      </c>
      <c r="K1840" s="493">
        <v>415.0</v>
      </c>
      <c r="L1840" s="493">
        <v>118718.0</v>
      </c>
      <c r="M1840" s="493">
        <v>0.0457</v>
      </c>
      <c r="N1840" s="6">
        <v>1.0147</v>
      </c>
    </row>
    <row r="1841">
      <c r="A1841" s="491" t="s">
        <v>2023</v>
      </c>
      <c r="B1841" s="491" t="s">
        <v>163</v>
      </c>
      <c r="C1841" s="491" t="s">
        <v>1872</v>
      </c>
      <c r="D1841" s="491" t="s">
        <v>1872</v>
      </c>
      <c r="E1841" s="492" t="s">
        <v>371</v>
      </c>
      <c r="F1841" s="493">
        <v>9119.0</v>
      </c>
      <c r="G1841" s="493">
        <v>9111.0</v>
      </c>
      <c r="H1841" s="493">
        <v>99.91</v>
      </c>
      <c r="I1841" s="493">
        <v>30.84</v>
      </c>
      <c r="J1841" s="493">
        <v>31.82</v>
      </c>
      <c r="K1841" s="493">
        <v>5999650.0</v>
      </c>
      <c r="L1841" s="493">
        <v>1.9450994E7</v>
      </c>
      <c r="M1841" s="493">
        <v>657.9285</v>
      </c>
      <c r="N1841" s="6">
        <v>658.5062</v>
      </c>
    </row>
    <row r="1842">
      <c r="A1842" s="491" t="s">
        <v>2023</v>
      </c>
      <c r="B1842" s="491" t="s">
        <v>163</v>
      </c>
      <c r="C1842" s="491" t="s">
        <v>1872</v>
      </c>
      <c r="D1842" s="491" t="s">
        <v>1872</v>
      </c>
      <c r="E1842" s="492" t="s">
        <v>366</v>
      </c>
      <c r="F1842" s="493">
        <v>9119.0</v>
      </c>
      <c r="G1842" s="493">
        <v>9048.0</v>
      </c>
      <c r="H1842" s="493">
        <v>99.22</v>
      </c>
      <c r="I1842" s="493">
        <v>19.45</v>
      </c>
      <c r="J1842" s="493">
        <v>25.87</v>
      </c>
      <c r="K1842" s="493">
        <v>3783065.0</v>
      </c>
      <c r="L1842" s="493">
        <v>1.9450994E7</v>
      </c>
      <c r="M1842" s="493">
        <v>414.8552</v>
      </c>
      <c r="N1842" s="6">
        <v>418.1106</v>
      </c>
    </row>
    <row r="1843">
      <c r="A1843" s="491" t="s">
        <v>2023</v>
      </c>
      <c r="B1843" s="491" t="s">
        <v>163</v>
      </c>
      <c r="C1843" s="491" t="s">
        <v>1872</v>
      </c>
      <c r="D1843" s="491" t="s">
        <v>1872</v>
      </c>
      <c r="E1843" s="492" t="s">
        <v>368</v>
      </c>
      <c r="F1843" s="493">
        <v>9119.0</v>
      </c>
      <c r="G1843" s="493">
        <v>3862.0</v>
      </c>
      <c r="H1843" s="493">
        <v>42.35</v>
      </c>
      <c r="I1843" s="493">
        <v>9.44</v>
      </c>
      <c r="J1843" s="493">
        <v>5.98</v>
      </c>
      <c r="K1843" s="493">
        <v>1835800.0</v>
      </c>
      <c r="L1843" s="493">
        <v>1.9450994E7</v>
      </c>
      <c r="M1843" s="493">
        <v>201.3159</v>
      </c>
      <c r="N1843" s="6">
        <v>475.3496</v>
      </c>
    </row>
    <row r="1844">
      <c r="A1844" s="491" t="s">
        <v>2023</v>
      </c>
      <c r="B1844" s="491" t="s">
        <v>163</v>
      </c>
      <c r="C1844" s="491" t="s">
        <v>1872</v>
      </c>
      <c r="D1844" s="491" t="s">
        <v>1872</v>
      </c>
      <c r="E1844" s="492" t="s">
        <v>370</v>
      </c>
      <c r="F1844" s="493">
        <v>9119.0</v>
      </c>
      <c r="G1844" s="493">
        <v>4948.0</v>
      </c>
      <c r="H1844" s="493">
        <v>54.26</v>
      </c>
      <c r="I1844" s="493">
        <v>5.41</v>
      </c>
      <c r="J1844" s="493">
        <v>5.1</v>
      </c>
      <c r="K1844" s="493">
        <v>1053244.0</v>
      </c>
      <c r="L1844" s="493">
        <v>1.9450994E7</v>
      </c>
      <c r="M1844" s="493">
        <v>115.4999</v>
      </c>
      <c r="N1844" s="6">
        <v>212.8626</v>
      </c>
    </row>
    <row r="1845">
      <c r="A1845" s="491" t="s">
        <v>2023</v>
      </c>
      <c r="B1845" s="491" t="s">
        <v>163</v>
      </c>
      <c r="C1845" s="491" t="s">
        <v>1872</v>
      </c>
      <c r="D1845" s="491" t="s">
        <v>1872</v>
      </c>
      <c r="E1845" s="492" t="s">
        <v>372</v>
      </c>
      <c r="F1845" s="493">
        <v>9119.0</v>
      </c>
      <c r="G1845" s="493">
        <v>6508.0</v>
      </c>
      <c r="H1845" s="493">
        <v>71.37</v>
      </c>
      <c r="I1845" s="493">
        <v>4.06</v>
      </c>
      <c r="J1845" s="493">
        <v>5.31</v>
      </c>
      <c r="K1845" s="493">
        <v>789060.0</v>
      </c>
      <c r="L1845" s="493">
        <v>1.9450994E7</v>
      </c>
      <c r="M1845" s="493">
        <v>86.5292</v>
      </c>
      <c r="N1845" s="6">
        <v>121.2446</v>
      </c>
    </row>
    <row r="1846">
      <c r="A1846" s="491" t="s">
        <v>2023</v>
      </c>
      <c r="B1846" s="491" t="s">
        <v>163</v>
      </c>
      <c r="C1846" s="491" t="s">
        <v>1872</v>
      </c>
      <c r="D1846" s="491" t="s">
        <v>1872</v>
      </c>
      <c r="E1846" s="492" t="s">
        <v>134</v>
      </c>
      <c r="F1846" s="493">
        <v>9119.0</v>
      </c>
      <c r="G1846" s="493">
        <v>2074.0</v>
      </c>
      <c r="H1846" s="493">
        <v>22.74</v>
      </c>
      <c r="I1846" s="493">
        <v>4.01</v>
      </c>
      <c r="J1846" s="493">
        <v>2.18</v>
      </c>
      <c r="K1846" s="493">
        <v>780440.0</v>
      </c>
      <c r="L1846" s="493">
        <v>1.9450994E7</v>
      </c>
      <c r="M1846" s="493">
        <v>85.5839</v>
      </c>
      <c r="N1846" s="6">
        <v>376.297</v>
      </c>
    </row>
    <row r="1847">
      <c r="A1847" s="491" t="s">
        <v>2023</v>
      </c>
      <c r="B1847" s="491" t="s">
        <v>163</v>
      </c>
      <c r="C1847" s="491" t="s">
        <v>1872</v>
      </c>
      <c r="D1847" s="491" t="s">
        <v>1872</v>
      </c>
      <c r="E1847" s="492" t="s">
        <v>50</v>
      </c>
      <c r="F1847" s="493">
        <v>9119.0</v>
      </c>
      <c r="G1847" s="493">
        <v>5071.0</v>
      </c>
      <c r="H1847" s="493">
        <v>55.61</v>
      </c>
      <c r="I1847" s="493">
        <v>3.65</v>
      </c>
      <c r="J1847" s="493">
        <v>3.65</v>
      </c>
      <c r="K1847" s="493">
        <v>709675.0</v>
      </c>
      <c r="L1847" s="493">
        <v>1.9450994E7</v>
      </c>
      <c r="M1847" s="493">
        <v>77.8238</v>
      </c>
      <c r="N1847" s="6">
        <v>139.9477</v>
      </c>
    </row>
    <row r="1848">
      <c r="A1848" s="491" t="s">
        <v>2023</v>
      </c>
      <c r="B1848" s="491" t="s">
        <v>163</v>
      </c>
      <c r="C1848" s="491" t="s">
        <v>1872</v>
      </c>
      <c r="D1848" s="491" t="s">
        <v>1872</v>
      </c>
      <c r="E1848" s="492" t="s">
        <v>367</v>
      </c>
      <c r="F1848" s="493">
        <v>9119.0</v>
      </c>
      <c r="G1848" s="493">
        <v>5486.0</v>
      </c>
      <c r="H1848" s="493">
        <v>60.16</v>
      </c>
      <c r="I1848" s="493">
        <v>2.78</v>
      </c>
      <c r="J1848" s="493">
        <v>2.02</v>
      </c>
      <c r="K1848" s="493">
        <v>540450.0</v>
      </c>
      <c r="L1848" s="493">
        <v>1.9450994E7</v>
      </c>
      <c r="M1848" s="493">
        <v>59.2664</v>
      </c>
      <c r="N1848" s="6">
        <v>98.5144</v>
      </c>
    </row>
    <row r="1849">
      <c r="A1849" s="491" t="s">
        <v>2023</v>
      </c>
      <c r="B1849" s="491" t="s">
        <v>163</v>
      </c>
      <c r="C1849" s="491" t="s">
        <v>1872</v>
      </c>
      <c r="D1849" s="491" t="s">
        <v>1872</v>
      </c>
      <c r="E1849" s="492" t="s">
        <v>310</v>
      </c>
      <c r="F1849" s="493">
        <v>9119.0</v>
      </c>
      <c r="G1849" s="493">
        <v>2359.0</v>
      </c>
      <c r="H1849" s="493">
        <v>25.87</v>
      </c>
      <c r="I1849" s="493">
        <v>2.71</v>
      </c>
      <c r="J1849" s="493">
        <v>2.35</v>
      </c>
      <c r="K1849" s="493">
        <v>526400.0</v>
      </c>
      <c r="L1849" s="493">
        <v>1.9450994E7</v>
      </c>
      <c r="M1849" s="493">
        <v>57.7256</v>
      </c>
      <c r="N1849" s="6">
        <v>223.1454</v>
      </c>
    </row>
    <row r="1850">
      <c r="A1850" s="491" t="s">
        <v>2023</v>
      </c>
      <c r="B1850" s="491" t="s">
        <v>163</v>
      </c>
      <c r="C1850" s="491" t="s">
        <v>1872</v>
      </c>
      <c r="D1850" s="491" t="s">
        <v>1872</v>
      </c>
      <c r="E1850" s="492" t="s">
        <v>312</v>
      </c>
      <c r="F1850" s="493">
        <v>9119.0</v>
      </c>
      <c r="G1850" s="493">
        <v>2443.0</v>
      </c>
      <c r="H1850" s="493">
        <v>26.79</v>
      </c>
      <c r="I1850" s="493">
        <v>2.7</v>
      </c>
      <c r="J1850" s="493">
        <v>2.35</v>
      </c>
      <c r="K1850" s="493">
        <v>524450.0</v>
      </c>
      <c r="L1850" s="493">
        <v>1.9450994E7</v>
      </c>
      <c r="M1850" s="493">
        <v>57.5118</v>
      </c>
      <c r="N1850" s="6">
        <v>214.6746</v>
      </c>
    </row>
    <row r="1851">
      <c r="A1851" s="491" t="s">
        <v>2023</v>
      </c>
      <c r="B1851" s="491" t="s">
        <v>163</v>
      </c>
      <c r="C1851" s="491" t="s">
        <v>1872</v>
      </c>
      <c r="D1851" s="491" t="s">
        <v>1872</v>
      </c>
      <c r="E1851" s="492" t="s">
        <v>32</v>
      </c>
      <c r="F1851" s="493">
        <v>9119.0</v>
      </c>
      <c r="G1851" s="493">
        <v>2242.0</v>
      </c>
      <c r="H1851" s="493">
        <v>24.59</v>
      </c>
      <c r="I1851" s="493">
        <v>2.5</v>
      </c>
      <c r="J1851" s="493">
        <v>2.32</v>
      </c>
      <c r="K1851" s="493">
        <v>486750.0</v>
      </c>
      <c r="L1851" s="493">
        <v>1.9450994E7</v>
      </c>
      <c r="M1851" s="493">
        <v>53.3776</v>
      </c>
      <c r="N1851" s="6">
        <v>217.1053</v>
      </c>
    </row>
    <row r="1852">
      <c r="A1852" s="491" t="s">
        <v>2023</v>
      </c>
      <c r="B1852" s="491" t="s">
        <v>163</v>
      </c>
      <c r="C1852" s="491" t="s">
        <v>1872</v>
      </c>
      <c r="D1852" s="491" t="s">
        <v>1872</v>
      </c>
      <c r="E1852" s="492" t="s">
        <v>42</v>
      </c>
      <c r="F1852" s="493">
        <v>9119.0</v>
      </c>
      <c r="G1852" s="493">
        <v>2152.0</v>
      </c>
      <c r="H1852" s="493">
        <v>23.6</v>
      </c>
      <c r="I1852" s="493">
        <v>2.02</v>
      </c>
      <c r="J1852" s="493">
        <v>1.68</v>
      </c>
      <c r="K1852" s="493">
        <v>392905.0</v>
      </c>
      <c r="L1852" s="493">
        <v>1.9450994E7</v>
      </c>
      <c r="M1852" s="493">
        <v>43.0864</v>
      </c>
      <c r="N1852" s="6">
        <v>182.5767</v>
      </c>
    </row>
    <row r="1853">
      <c r="A1853" s="491" t="s">
        <v>2023</v>
      </c>
      <c r="B1853" s="491" t="s">
        <v>163</v>
      </c>
      <c r="C1853" s="491" t="s">
        <v>1872</v>
      </c>
      <c r="D1853" s="491" t="s">
        <v>1872</v>
      </c>
      <c r="E1853" s="492" t="s">
        <v>43</v>
      </c>
      <c r="F1853" s="493">
        <v>9119.0</v>
      </c>
      <c r="G1853" s="493">
        <v>1242.0</v>
      </c>
      <c r="H1853" s="493">
        <v>13.62</v>
      </c>
      <c r="I1853" s="493">
        <v>1.97</v>
      </c>
      <c r="J1853" s="493">
        <v>1.03</v>
      </c>
      <c r="K1853" s="493">
        <v>383975.0</v>
      </c>
      <c r="L1853" s="493">
        <v>1.9450994E7</v>
      </c>
      <c r="M1853" s="493">
        <v>42.1071</v>
      </c>
      <c r="N1853" s="6">
        <v>309.1586</v>
      </c>
    </row>
    <row r="1854">
      <c r="A1854" s="491" t="s">
        <v>2023</v>
      </c>
      <c r="B1854" s="491" t="s">
        <v>163</v>
      </c>
      <c r="C1854" s="491" t="s">
        <v>1872</v>
      </c>
      <c r="D1854" s="491" t="s">
        <v>1872</v>
      </c>
      <c r="E1854" s="492" t="s">
        <v>44</v>
      </c>
      <c r="F1854" s="493">
        <v>9119.0</v>
      </c>
      <c r="G1854" s="493">
        <v>5088.0</v>
      </c>
      <c r="H1854" s="493">
        <v>55.8</v>
      </c>
      <c r="I1854" s="493">
        <v>1.93</v>
      </c>
      <c r="J1854" s="493">
        <v>2.4</v>
      </c>
      <c r="K1854" s="493">
        <v>374525.0</v>
      </c>
      <c r="L1854" s="493">
        <v>1.9450994E7</v>
      </c>
      <c r="M1854" s="493">
        <v>41.0708</v>
      </c>
      <c r="N1854" s="6">
        <v>73.6095</v>
      </c>
    </row>
    <row r="1855">
      <c r="A1855" s="491" t="s">
        <v>2023</v>
      </c>
      <c r="B1855" s="491" t="s">
        <v>163</v>
      </c>
      <c r="C1855" s="491" t="s">
        <v>1872</v>
      </c>
      <c r="D1855" s="491" t="s">
        <v>1872</v>
      </c>
      <c r="E1855" s="492" t="s">
        <v>40</v>
      </c>
      <c r="F1855" s="493">
        <v>9119.0</v>
      </c>
      <c r="G1855" s="493">
        <v>2102.0</v>
      </c>
      <c r="H1855" s="493">
        <v>23.05</v>
      </c>
      <c r="I1855" s="493">
        <v>1.92</v>
      </c>
      <c r="J1855" s="493">
        <v>1.46</v>
      </c>
      <c r="K1855" s="493">
        <v>374140.0</v>
      </c>
      <c r="L1855" s="493">
        <v>1.9450994E7</v>
      </c>
      <c r="M1855" s="493">
        <v>41.0286</v>
      </c>
      <c r="N1855" s="6">
        <v>177.9924</v>
      </c>
    </row>
    <row r="1856">
      <c r="A1856" s="491" t="s">
        <v>2023</v>
      </c>
      <c r="B1856" s="491" t="s">
        <v>163</v>
      </c>
      <c r="C1856" s="491" t="s">
        <v>1872</v>
      </c>
      <c r="D1856" s="491" t="s">
        <v>1872</v>
      </c>
      <c r="E1856" s="492" t="s">
        <v>365</v>
      </c>
      <c r="F1856" s="493">
        <v>9119.0</v>
      </c>
      <c r="G1856" s="493">
        <v>3168.0</v>
      </c>
      <c r="H1856" s="493">
        <v>34.74</v>
      </c>
      <c r="I1856" s="493">
        <v>1.35</v>
      </c>
      <c r="J1856" s="493">
        <v>1.0</v>
      </c>
      <c r="K1856" s="493">
        <v>263015.0</v>
      </c>
      <c r="L1856" s="493">
        <v>1.9450994E7</v>
      </c>
      <c r="M1856" s="493">
        <v>28.8425</v>
      </c>
      <c r="N1856" s="6">
        <v>83.0224</v>
      </c>
    </row>
    <row r="1857">
      <c r="A1857" s="491" t="s">
        <v>2023</v>
      </c>
      <c r="B1857" s="491" t="s">
        <v>163</v>
      </c>
      <c r="C1857" s="491" t="s">
        <v>1872</v>
      </c>
      <c r="D1857" s="491" t="s">
        <v>1872</v>
      </c>
      <c r="E1857" s="492" t="s">
        <v>369</v>
      </c>
      <c r="F1857" s="493">
        <v>9119.0</v>
      </c>
      <c r="G1857" s="493">
        <v>3368.0</v>
      </c>
      <c r="H1857" s="493">
        <v>36.93</v>
      </c>
      <c r="I1857" s="493">
        <v>1.34</v>
      </c>
      <c r="J1857" s="493">
        <v>1.49</v>
      </c>
      <c r="K1857" s="493">
        <v>261450.0</v>
      </c>
      <c r="L1857" s="493">
        <v>1.9450994E7</v>
      </c>
      <c r="M1857" s="493">
        <v>28.6709</v>
      </c>
      <c r="N1857" s="6">
        <v>77.6277</v>
      </c>
    </row>
    <row r="1858">
      <c r="A1858" s="491" t="s">
        <v>2023</v>
      </c>
      <c r="B1858" s="491" t="s">
        <v>163</v>
      </c>
      <c r="C1858" s="491" t="s">
        <v>1872</v>
      </c>
      <c r="D1858" s="491" t="s">
        <v>1872</v>
      </c>
      <c r="E1858" s="492" t="s">
        <v>311</v>
      </c>
      <c r="F1858" s="493">
        <v>9119.0</v>
      </c>
      <c r="G1858" s="493">
        <v>852.0</v>
      </c>
      <c r="H1858" s="493">
        <v>9.34</v>
      </c>
      <c r="I1858" s="493">
        <v>0.73</v>
      </c>
      <c r="J1858" s="493">
        <v>0.69</v>
      </c>
      <c r="K1858" s="493">
        <v>142350.0</v>
      </c>
      <c r="L1858" s="493">
        <v>1.9450994E7</v>
      </c>
      <c r="M1858" s="493">
        <v>15.6103</v>
      </c>
      <c r="N1858" s="6">
        <v>167.0775</v>
      </c>
    </row>
    <row r="1859">
      <c r="A1859" s="491" t="s">
        <v>2023</v>
      </c>
      <c r="B1859" s="491" t="s">
        <v>163</v>
      </c>
      <c r="C1859" s="491" t="s">
        <v>1872</v>
      </c>
      <c r="D1859" s="491" t="s">
        <v>1872</v>
      </c>
      <c r="E1859" s="492" t="s">
        <v>35</v>
      </c>
      <c r="F1859" s="493">
        <v>9119.0</v>
      </c>
      <c r="G1859" s="493">
        <v>1924.0</v>
      </c>
      <c r="H1859" s="493">
        <v>21.1</v>
      </c>
      <c r="I1859" s="493">
        <v>0.67</v>
      </c>
      <c r="J1859" s="493">
        <v>0.78</v>
      </c>
      <c r="K1859" s="493">
        <v>129975.0</v>
      </c>
      <c r="L1859" s="493">
        <v>1.9450994E7</v>
      </c>
      <c r="M1859" s="493">
        <v>14.2532</v>
      </c>
      <c r="N1859" s="6">
        <v>67.5546</v>
      </c>
    </row>
    <row r="1860">
      <c r="A1860" s="491" t="s">
        <v>2023</v>
      </c>
      <c r="B1860" s="491" t="s">
        <v>163</v>
      </c>
      <c r="C1860" s="491" t="s">
        <v>1872</v>
      </c>
      <c r="D1860" s="491" t="s">
        <v>1872</v>
      </c>
      <c r="E1860" s="492" t="s">
        <v>189</v>
      </c>
      <c r="F1860" s="493">
        <v>9119.0</v>
      </c>
      <c r="G1860" s="493">
        <v>1546.0</v>
      </c>
      <c r="H1860" s="493">
        <v>16.95</v>
      </c>
      <c r="I1860" s="493">
        <v>0.51</v>
      </c>
      <c r="J1860" s="493">
        <v>0.52</v>
      </c>
      <c r="K1860" s="493">
        <v>99675.0</v>
      </c>
      <c r="L1860" s="493">
        <v>1.9450994E7</v>
      </c>
      <c r="M1860" s="493">
        <v>10.9305</v>
      </c>
      <c r="N1860" s="6">
        <v>64.4728</v>
      </c>
    </row>
    <row r="1861">
      <c r="A1861" s="491" t="s">
        <v>2023</v>
      </c>
      <c r="B1861" s="491" t="s">
        <v>163</v>
      </c>
      <c r="C1861" s="491" t="s">
        <v>69</v>
      </c>
      <c r="D1861" s="491" t="s">
        <v>565</v>
      </c>
      <c r="E1861" s="492" t="s">
        <v>371</v>
      </c>
      <c r="F1861" s="493">
        <v>9080.0</v>
      </c>
      <c r="G1861" s="493">
        <v>9029.0</v>
      </c>
      <c r="H1861" s="493">
        <v>99.44</v>
      </c>
      <c r="I1861" s="493">
        <v>64.53</v>
      </c>
      <c r="J1861" s="493">
        <v>59.98</v>
      </c>
      <c r="K1861" s="493">
        <v>143066.0</v>
      </c>
      <c r="L1861" s="493">
        <v>221702.0</v>
      </c>
      <c r="M1861" s="493">
        <v>15.7562</v>
      </c>
      <c r="N1861" s="6">
        <v>15.8452</v>
      </c>
    </row>
    <row r="1862">
      <c r="A1862" s="491" t="s">
        <v>2023</v>
      </c>
      <c r="B1862" s="491" t="s">
        <v>163</v>
      </c>
      <c r="C1862" s="491" t="s">
        <v>69</v>
      </c>
      <c r="D1862" s="491" t="s">
        <v>565</v>
      </c>
      <c r="E1862" s="492" t="s">
        <v>372</v>
      </c>
      <c r="F1862" s="493">
        <v>9080.0</v>
      </c>
      <c r="G1862" s="493">
        <v>5660.0</v>
      </c>
      <c r="H1862" s="493">
        <v>62.33</v>
      </c>
      <c r="I1862" s="493">
        <v>9.67</v>
      </c>
      <c r="J1862" s="493">
        <v>13.22</v>
      </c>
      <c r="K1862" s="493">
        <v>21437.0</v>
      </c>
      <c r="L1862" s="493">
        <v>221702.0</v>
      </c>
      <c r="M1862" s="493">
        <v>2.3609</v>
      </c>
      <c r="N1862" s="6">
        <v>3.7875</v>
      </c>
    </row>
    <row r="1863">
      <c r="A1863" s="491" t="s">
        <v>2023</v>
      </c>
      <c r="B1863" s="491" t="s">
        <v>163</v>
      </c>
      <c r="C1863" s="491" t="s">
        <v>69</v>
      </c>
      <c r="D1863" s="491" t="s">
        <v>565</v>
      </c>
      <c r="E1863" s="492" t="s">
        <v>366</v>
      </c>
      <c r="F1863" s="493">
        <v>9080.0</v>
      </c>
      <c r="G1863" s="493">
        <v>6373.0</v>
      </c>
      <c r="H1863" s="493">
        <v>70.19</v>
      </c>
      <c r="I1863" s="493">
        <v>5.79</v>
      </c>
      <c r="J1863" s="493">
        <v>6.65</v>
      </c>
      <c r="K1863" s="493">
        <v>12843.0</v>
      </c>
      <c r="L1863" s="493">
        <v>221702.0</v>
      </c>
      <c r="M1863" s="493">
        <v>1.4144</v>
      </c>
      <c r="N1863" s="6">
        <v>2.0152</v>
      </c>
    </row>
    <row r="1864">
      <c r="A1864" s="491" t="s">
        <v>2023</v>
      </c>
      <c r="B1864" s="491" t="s">
        <v>163</v>
      </c>
      <c r="C1864" s="491" t="s">
        <v>69</v>
      </c>
      <c r="D1864" s="491" t="s">
        <v>565</v>
      </c>
      <c r="E1864" s="492" t="s">
        <v>368</v>
      </c>
      <c r="F1864" s="493">
        <v>9080.0</v>
      </c>
      <c r="G1864" s="493">
        <v>3678.0</v>
      </c>
      <c r="H1864" s="493">
        <v>40.51</v>
      </c>
      <c r="I1864" s="493">
        <v>4.7</v>
      </c>
      <c r="J1864" s="493">
        <v>5.48</v>
      </c>
      <c r="K1864" s="493">
        <v>10420.0</v>
      </c>
      <c r="L1864" s="493">
        <v>221702.0</v>
      </c>
      <c r="M1864" s="493">
        <v>1.1476</v>
      </c>
      <c r="N1864" s="6">
        <v>2.8331</v>
      </c>
    </row>
    <row r="1865">
      <c r="A1865" s="491" t="s">
        <v>2023</v>
      </c>
      <c r="B1865" s="491" t="s">
        <v>163</v>
      </c>
      <c r="C1865" s="491" t="s">
        <v>69</v>
      </c>
      <c r="D1865" s="491" t="s">
        <v>565</v>
      </c>
      <c r="E1865" s="492" t="s">
        <v>370</v>
      </c>
      <c r="F1865" s="493">
        <v>9080.0</v>
      </c>
      <c r="G1865" s="493">
        <v>5216.0</v>
      </c>
      <c r="H1865" s="493">
        <v>57.44</v>
      </c>
      <c r="I1865" s="493">
        <v>4.4</v>
      </c>
      <c r="J1865" s="493">
        <v>4.22</v>
      </c>
      <c r="K1865" s="493">
        <v>9754.0</v>
      </c>
      <c r="L1865" s="493">
        <v>221702.0</v>
      </c>
      <c r="M1865" s="493">
        <v>1.0742</v>
      </c>
      <c r="N1865" s="6">
        <v>1.87</v>
      </c>
    </row>
    <row r="1866">
      <c r="A1866" s="491" t="s">
        <v>2023</v>
      </c>
      <c r="B1866" s="491" t="s">
        <v>163</v>
      </c>
      <c r="C1866" s="491" t="s">
        <v>69</v>
      </c>
      <c r="D1866" s="491" t="s">
        <v>565</v>
      </c>
      <c r="E1866" s="492" t="s">
        <v>49</v>
      </c>
      <c r="F1866" s="493">
        <v>9080.0</v>
      </c>
      <c r="G1866" s="493">
        <v>3775.0</v>
      </c>
      <c r="H1866" s="493">
        <v>41.57</v>
      </c>
      <c r="I1866" s="493">
        <v>3.65</v>
      </c>
      <c r="J1866" s="493">
        <v>3.07</v>
      </c>
      <c r="K1866" s="493">
        <v>8086.0</v>
      </c>
      <c r="L1866" s="493">
        <v>221702.0</v>
      </c>
      <c r="M1866" s="493">
        <v>0.8905</v>
      </c>
      <c r="N1866" s="6">
        <v>2.142</v>
      </c>
    </row>
    <row r="1867">
      <c r="A1867" s="491" t="s">
        <v>2023</v>
      </c>
      <c r="B1867" s="491" t="s">
        <v>163</v>
      </c>
      <c r="C1867" s="491" t="s">
        <v>69</v>
      </c>
      <c r="D1867" s="491" t="s">
        <v>565</v>
      </c>
      <c r="E1867" s="492" t="s">
        <v>44</v>
      </c>
      <c r="F1867" s="493">
        <v>9080.0</v>
      </c>
      <c r="G1867" s="493">
        <v>4570.0</v>
      </c>
      <c r="H1867" s="493">
        <v>50.33</v>
      </c>
      <c r="I1867" s="493">
        <v>2.84</v>
      </c>
      <c r="J1867" s="493">
        <v>3.09</v>
      </c>
      <c r="K1867" s="493">
        <v>6290.0</v>
      </c>
      <c r="L1867" s="493">
        <v>221702.0</v>
      </c>
      <c r="M1867" s="493">
        <v>0.6927</v>
      </c>
      <c r="N1867" s="6">
        <v>1.3764</v>
      </c>
    </row>
    <row r="1868">
      <c r="A1868" s="491" t="s">
        <v>2023</v>
      </c>
      <c r="B1868" s="491" t="s">
        <v>163</v>
      </c>
      <c r="C1868" s="491" t="s">
        <v>69</v>
      </c>
      <c r="D1868" s="491" t="s">
        <v>565</v>
      </c>
      <c r="E1868" s="492" t="s">
        <v>134</v>
      </c>
      <c r="F1868" s="493">
        <v>9080.0</v>
      </c>
      <c r="G1868" s="493">
        <v>1600.0</v>
      </c>
      <c r="H1868" s="493">
        <v>17.62</v>
      </c>
      <c r="I1868" s="493">
        <v>1.54</v>
      </c>
      <c r="J1868" s="493">
        <v>1.1</v>
      </c>
      <c r="K1868" s="493">
        <v>3424.0</v>
      </c>
      <c r="L1868" s="493">
        <v>221702.0</v>
      </c>
      <c r="M1868" s="493">
        <v>0.3771</v>
      </c>
      <c r="N1868" s="6">
        <v>2.14</v>
      </c>
    </row>
    <row r="1869">
      <c r="A1869" s="491" t="s">
        <v>2023</v>
      </c>
      <c r="B1869" s="491" t="s">
        <v>163</v>
      </c>
      <c r="C1869" s="491" t="s">
        <v>69</v>
      </c>
      <c r="D1869" s="491" t="s">
        <v>565</v>
      </c>
      <c r="E1869" s="492" t="s">
        <v>369</v>
      </c>
      <c r="F1869" s="493">
        <v>9080.0</v>
      </c>
      <c r="G1869" s="493">
        <v>2749.0</v>
      </c>
      <c r="H1869" s="493">
        <v>30.28</v>
      </c>
      <c r="I1869" s="493">
        <v>1.47</v>
      </c>
      <c r="J1869" s="493">
        <v>1.61</v>
      </c>
      <c r="K1869" s="493">
        <v>3248.0</v>
      </c>
      <c r="L1869" s="493">
        <v>221702.0</v>
      </c>
      <c r="M1869" s="493">
        <v>0.3577</v>
      </c>
      <c r="N1869" s="6">
        <v>1.1815</v>
      </c>
    </row>
    <row r="1870">
      <c r="A1870" s="491" t="s">
        <v>2023</v>
      </c>
      <c r="B1870" s="491" t="s">
        <v>163</v>
      </c>
      <c r="C1870" s="491" t="s">
        <v>69</v>
      </c>
      <c r="D1870" s="491" t="s">
        <v>565</v>
      </c>
      <c r="E1870" s="492" t="s">
        <v>35</v>
      </c>
      <c r="F1870" s="493">
        <v>9080.0</v>
      </c>
      <c r="G1870" s="493">
        <v>1390.0</v>
      </c>
      <c r="H1870" s="493">
        <v>15.31</v>
      </c>
      <c r="I1870" s="493">
        <v>0.65</v>
      </c>
      <c r="J1870" s="493">
        <v>0.73</v>
      </c>
      <c r="K1870" s="493">
        <v>1450.0</v>
      </c>
      <c r="L1870" s="493">
        <v>221702.0</v>
      </c>
      <c r="M1870" s="493">
        <v>0.1597</v>
      </c>
      <c r="N1870" s="6">
        <v>1.0432</v>
      </c>
    </row>
    <row r="1871">
      <c r="A1871" s="491" t="s">
        <v>2023</v>
      </c>
      <c r="B1871" s="491" t="s">
        <v>163</v>
      </c>
      <c r="C1871" s="491" t="s">
        <v>69</v>
      </c>
      <c r="D1871" s="491" t="s">
        <v>565</v>
      </c>
      <c r="E1871" s="492" t="s">
        <v>189</v>
      </c>
      <c r="F1871" s="493">
        <v>9080.0</v>
      </c>
      <c r="G1871" s="493">
        <v>1230.0</v>
      </c>
      <c r="H1871" s="493">
        <v>13.55</v>
      </c>
      <c r="I1871" s="493">
        <v>0.57</v>
      </c>
      <c r="J1871" s="493">
        <v>0.6</v>
      </c>
      <c r="K1871" s="493">
        <v>1253.0</v>
      </c>
      <c r="L1871" s="493">
        <v>221702.0</v>
      </c>
      <c r="M1871" s="493">
        <v>0.138</v>
      </c>
      <c r="N1871" s="6">
        <v>1.0187</v>
      </c>
    </row>
    <row r="1872">
      <c r="A1872" s="491" t="s">
        <v>2023</v>
      </c>
      <c r="B1872" s="491" t="s">
        <v>163</v>
      </c>
      <c r="C1872" s="491" t="s">
        <v>69</v>
      </c>
      <c r="D1872" s="491" t="s">
        <v>565</v>
      </c>
      <c r="E1872" s="492" t="s">
        <v>50</v>
      </c>
      <c r="F1872" s="493">
        <v>9080.0</v>
      </c>
      <c r="G1872" s="493">
        <v>195.0</v>
      </c>
      <c r="H1872" s="493">
        <v>2.15</v>
      </c>
      <c r="I1872" s="493">
        <v>0.09</v>
      </c>
      <c r="J1872" s="493">
        <v>0.09</v>
      </c>
      <c r="K1872" s="493">
        <v>201.0</v>
      </c>
      <c r="L1872" s="493">
        <v>221702.0</v>
      </c>
      <c r="M1872" s="493">
        <v>0.0221</v>
      </c>
      <c r="N1872" s="6">
        <v>1.0308</v>
      </c>
    </row>
    <row r="1873">
      <c r="A1873" s="491" t="s">
        <v>2023</v>
      </c>
      <c r="B1873" s="491" t="s">
        <v>163</v>
      </c>
      <c r="C1873" s="491" t="s">
        <v>69</v>
      </c>
      <c r="D1873" s="491" t="s">
        <v>565</v>
      </c>
      <c r="E1873" s="492" t="s">
        <v>42</v>
      </c>
      <c r="F1873" s="493">
        <v>9080.0</v>
      </c>
      <c r="G1873" s="493">
        <v>159.0</v>
      </c>
      <c r="H1873" s="493">
        <v>1.75</v>
      </c>
      <c r="I1873" s="493">
        <v>0.07</v>
      </c>
      <c r="J1873" s="493">
        <v>0.1</v>
      </c>
      <c r="K1873" s="493">
        <v>161.0</v>
      </c>
      <c r="L1873" s="493">
        <v>221702.0</v>
      </c>
      <c r="M1873" s="493">
        <v>0.0177</v>
      </c>
      <c r="N1873" s="6">
        <v>1.0126</v>
      </c>
    </row>
    <row r="1874">
      <c r="A1874" s="491" t="s">
        <v>2023</v>
      </c>
      <c r="B1874" s="491" t="s">
        <v>163</v>
      </c>
      <c r="C1874" s="491" t="s">
        <v>69</v>
      </c>
      <c r="D1874" s="491" t="s">
        <v>565</v>
      </c>
      <c r="E1874" s="492" t="s">
        <v>365</v>
      </c>
      <c r="F1874" s="493">
        <v>9080.0</v>
      </c>
      <c r="G1874" s="493">
        <v>31.0</v>
      </c>
      <c r="H1874" s="493">
        <v>0.34</v>
      </c>
      <c r="I1874" s="493">
        <v>0.01</v>
      </c>
      <c r="J1874" s="493">
        <v>0.02</v>
      </c>
      <c r="K1874" s="493">
        <v>31.0</v>
      </c>
      <c r="L1874" s="493">
        <v>221702.0</v>
      </c>
      <c r="M1874" s="493">
        <v>0.0034</v>
      </c>
      <c r="N1874" s="6">
        <v>1.0</v>
      </c>
    </row>
    <row r="1875">
      <c r="A1875" s="491" t="s">
        <v>2023</v>
      </c>
      <c r="B1875" s="491" t="s">
        <v>163</v>
      </c>
      <c r="C1875" s="491" t="s">
        <v>69</v>
      </c>
      <c r="D1875" s="491" t="s">
        <v>565</v>
      </c>
      <c r="E1875" s="492" t="s">
        <v>43</v>
      </c>
      <c r="F1875" s="493">
        <v>9080.0</v>
      </c>
      <c r="G1875" s="493">
        <v>30.0</v>
      </c>
      <c r="H1875" s="493">
        <v>0.33</v>
      </c>
      <c r="I1875" s="493">
        <v>0.01</v>
      </c>
      <c r="J1875" s="493">
        <v>0.01</v>
      </c>
      <c r="K1875" s="493">
        <v>30.0</v>
      </c>
      <c r="L1875" s="493">
        <v>221702.0</v>
      </c>
      <c r="M1875" s="493">
        <v>0.0033</v>
      </c>
      <c r="N1875" s="6">
        <v>1.0</v>
      </c>
    </row>
    <row r="1876">
      <c r="A1876" s="491" t="s">
        <v>2023</v>
      </c>
      <c r="B1876" s="491" t="s">
        <v>163</v>
      </c>
      <c r="C1876" s="491" t="s">
        <v>69</v>
      </c>
      <c r="D1876" s="491" t="s">
        <v>565</v>
      </c>
      <c r="E1876" s="492" t="s">
        <v>310</v>
      </c>
      <c r="F1876" s="493">
        <v>9080.0</v>
      </c>
      <c r="G1876" s="493">
        <v>1.0</v>
      </c>
      <c r="H1876" s="493">
        <v>0.01</v>
      </c>
      <c r="I1876" s="493">
        <v>0.0</v>
      </c>
      <c r="J1876" s="493">
        <v>0.0</v>
      </c>
      <c r="K1876" s="493">
        <v>1.0</v>
      </c>
      <c r="L1876" s="493">
        <v>221702.0</v>
      </c>
      <c r="M1876" s="493">
        <v>1.0E-4</v>
      </c>
      <c r="N1876" s="6">
        <v>1.0</v>
      </c>
    </row>
    <row r="1877">
      <c r="A1877" s="491" t="s">
        <v>2023</v>
      </c>
      <c r="B1877" s="491" t="s">
        <v>163</v>
      </c>
      <c r="C1877" s="491" t="s">
        <v>69</v>
      </c>
      <c r="D1877" s="491" t="s">
        <v>565</v>
      </c>
      <c r="E1877" s="492" t="s">
        <v>32</v>
      </c>
      <c r="F1877" s="493">
        <v>9080.0</v>
      </c>
      <c r="G1877" s="493">
        <v>5.0</v>
      </c>
      <c r="H1877" s="493">
        <v>0.06</v>
      </c>
      <c r="I1877" s="493">
        <v>0.0</v>
      </c>
      <c r="J1877" s="493">
        <v>0.0</v>
      </c>
      <c r="K1877" s="493">
        <v>7.0</v>
      </c>
      <c r="L1877" s="493">
        <v>221702.0</v>
      </c>
      <c r="M1877" s="493">
        <v>8.0E-4</v>
      </c>
      <c r="N1877" s="6">
        <v>1.4</v>
      </c>
    </row>
    <row r="1878">
      <c r="A1878" s="491" t="s">
        <v>2023</v>
      </c>
      <c r="B1878" s="491" t="s">
        <v>163</v>
      </c>
      <c r="C1878" s="491" t="s">
        <v>73</v>
      </c>
      <c r="D1878" s="491" t="s">
        <v>565</v>
      </c>
      <c r="E1878" s="492" t="s">
        <v>371</v>
      </c>
      <c r="F1878" s="493">
        <v>9095.0</v>
      </c>
      <c r="G1878" s="493">
        <v>8889.0</v>
      </c>
      <c r="H1878" s="493">
        <v>97.74</v>
      </c>
      <c r="I1878" s="493">
        <v>45.97</v>
      </c>
      <c r="J1878" s="493">
        <v>42.77</v>
      </c>
      <c r="K1878" s="493">
        <v>79683.0</v>
      </c>
      <c r="L1878" s="493">
        <v>173337.0</v>
      </c>
      <c r="M1878" s="493">
        <v>8.7612</v>
      </c>
      <c r="N1878" s="6">
        <v>8.9642</v>
      </c>
    </row>
    <row r="1879">
      <c r="A1879" s="491" t="s">
        <v>2023</v>
      </c>
      <c r="B1879" s="491" t="s">
        <v>163</v>
      </c>
      <c r="C1879" s="491" t="s">
        <v>73</v>
      </c>
      <c r="D1879" s="491" t="s">
        <v>565</v>
      </c>
      <c r="E1879" s="492" t="s">
        <v>366</v>
      </c>
      <c r="F1879" s="493">
        <v>9095.0</v>
      </c>
      <c r="G1879" s="493">
        <v>8608.0</v>
      </c>
      <c r="H1879" s="493">
        <v>94.65</v>
      </c>
      <c r="I1879" s="493">
        <v>23.34</v>
      </c>
      <c r="J1879" s="493">
        <v>29.3</v>
      </c>
      <c r="K1879" s="493">
        <v>40455.0</v>
      </c>
      <c r="L1879" s="493">
        <v>173337.0</v>
      </c>
      <c r="M1879" s="493">
        <v>4.448</v>
      </c>
      <c r="N1879" s="6">
        <v>4.6997</v>
      </c>
    </row>
    <row r="1880">
      <c r="A1880" s="491" t="s">
        <v>2023</v>
      </c>
      <c r="B1880" s="491" t="s">
        <v>163</v>
      </c>
      <c r="C1880" s="491" t="s">
        <v>73</v>
      </c>
      <c r="D1880" s="491" t="s">
        <v>565</v>
      </c>
      <c r="E1880" s="492" t="s">
        <v>372</v>
      </c>
      <c r="F1880" s="493">
        <v>9095.0</v>
      </c>
      <c r="G1880" s="493">
        <v>5230.0</v>
      </c>
      <c r="H1880" s="493">
        <v>57.5</v>
      </c>
      <c r="I1880" s="493">
        <v>5.11</v>
      </c>
      <c r="J1880" s="493">
        <v>6.89</v>
      </c>
      <c r="K1880" s="493">
        <v>8856.0</v>
      </c>
      <c r="L1880" s="493">
        <v>173337.0</v>
      </c>
      <c r="M1880" s="493">
        <v>0.9737</v>
      </c>
      <c r="N1880" s="6">
        <v>1.6933</v>
      </c>
    </row>
    <row r="1881">
      <c r="A1881" s="491" t="s">
        <v>2023</v>
      </c>
      <c r="B1881" s="491" t="s">
        <v>163</v>
      </c>
      <c r="C1881" s="491" t="s">
        <v>73</v>
      </c>
      <c r="D1881" s="491" t="s">
        <v>565</v>
      </c>
      <c r="E1881" s="492" t="s">
        <v>134</v>
      </c>
      <c r="F1881" s="493">
        <v>9095.0</v>
      </c>
      <c r="G1881" s="493">
        <v>1789.0</v>
      </c>
      <c r="H1881" s="493">
        <v>19.67</v>
      </c>
      <c r="I1881" s="493">
        <v>4.04</v>
      </c>
      <c r="J1881" s="493">
        <v>2.54</v>
      </c>
      <c r="K1881" s="493">
        <v>6998.0</v>
      </c>
      <c r="L1881" s="493">
        <v>173337.0</v>
      </c>
      <c r="M1881" s="493">
        <v>0.7694</v>
      </c>
      <c r="N1881" s="6">
        <v>3.9117</v>
      </c>
    </row>
    <row r="1882">
      <c r="A1882" s="491" t="s">
        <v>2023</v>
      </c>
      <c r="B1882" s="491" t="s">
        <v>163</v>
      </c>
      <c r="C1882" s="491" t="s">
        <v>73</v>
      </c>
      <c r="D1882" s="491" t="s">
        <v>565</v>
      </c>
      <c r="E1882" s="492" t="s">
        <v>370</v>
      </c>
      <c r="F1882" s="493">
        <v>9095.0</v>
      </c>
      <c r="G1882" s="493">
        <v>3048.0</v>
      </c>
      <c r="H1882" s="493">
        <v>33.51</v>
      </c>
      <c r="I1882" s="493">
        <v>3.6</v>
      </c>
      <c r="J1882" s="493">
        <v>3.29</v>
      </c>
      <c r="K1882" s="493">
        <v>6248.0</v>
      </c>
      <c r="L1882" s="493">
        <v>173337.0</v>
      </c>
      <c r="M1882" s="493">
        <v>0.687</v>
      </c>
      <c r="N1882" s="6">
        <v>2.0499</v>
      </c>
    </row>
    <row r="1883">
      <c r="A1883" s="491" t="s">
        <v>2023</v>
      </c>
      <c r="B1883" s="491" t="s">
        <v>163</v>
      </c>
      <c r="C1883" s="491" t="s">
        <v>73</v>
      </c>
      <c r="D1883" s="491" t="s">
        <v>565</v>
      </c>
      <c r="E1883" s="492" t="s">
        <v>44</v>
      </c>
      <c r="F1883" s="493">
        <v>9095.0</v>
      </c>
      <c r="G1883" s="493">
        <v>4407.0</v>
      </c>
      <c r="H1883" s="493">
        <v>48.46</v>
      </c>
      <c r="I1883" s="493">
        <v>3.46</v>
      </c>
      <c r="J1883" s="493">
        <v>3.86</v>
      </c>
      <c r="K1883" s="493">
        <v>5998.0</v>
      </c>
      <c r="L1883" s="493">
        <v>173337.0</v>
      </c>
      <c r="M1883" s="493">
        <v>0.6595</v>
      </c>
      <c r="N1883" s="6">
        <v>1.361</v>
      </c>
    </row>
    <row r="1884">
      <c r="A1884" s="491" t="s">
        <v>2023</v>
      </c>
      <c r="B1884" s="491" t="s">
        <v>163</v>
      </c>
      <c r="C1884" s="491" t="s">
        <v>73</v>
      </c>
      <c r="D1884" s="491" t="s">
        <v>565</v>
      </c>
      <c r="E1884" s="492" t="s">
        <v>365</v>
      </c>
      <c r="F1884" s="493">
        <v>9095.0</v>
      </c>
      <c r="G1884" s="493">
        <v>1864.0</v>
      </c>
      <c r="H1884" s="493">
        <v>20.49</v>
      </c>
      <c r="I1884" s="493">
        <v>3.35</v>
      </c>
      <c r="J1884" s="493">
        <v>2.08</v>
      </c>
      <c r="K1884" s="493">
        <v>5807.0</v>
      </c>
      <c r="L1884" s="493">
        <v>173337.0</v>
      </c>
      <c r="M1884" s="493">
        <v>0.6385</v>
      </c>
      <c r="N1884" s="6">
        <v>3.1153</v>
      </c>
    </row>
    <row r="1885">
      <c r="A1885" s="491" t="s">
        <v>2023</v>
      </c>
      <c r="B1885" s="491" t="s">
        <v>163</v>
      </c>
      <c r="C1885" s="491" t="s">
        <v>73</v>
      </c>
      <c r="D1885" s="491" t="s">
        <v>565</v>
      </c>
      <c r="E1885" s="492" t="s">
        <v>367</v>
      </c>
      <c r="F1885" s="493">
        <v>9095.0</v>
      </c>
      <c r="G1885" s="493">
        <v>2235.0</v>
      </c>
      <c r="H1885" s="493">
        <v>24.57</v>
      </c>
      <c r="I1885" s="493">
        <v>2.01</v>
      </c>
      <c r="J1885" s="493">
        <v>1.17</v>
      </c>
      <c r="K1885" s="493">
        <v>3492.0</v>
      </c>
      <c r="L1885" s="493">
        <v>173337.0</v>
      </c>
      <c r="M1885" s="493">
        <v>0.3839</v>
      </c>
      <c r="N1885" s="6">
        <v>1.5624</v>
      </c>
    </row>
    <row r="1886">
      <c r="A1886" s="491" t="s">
        <v>2023</v>
      </c>
      <c r="B1886" s="491" t="s">
        <v>163</v>
      </c>
      <c r="C1886" s="491" t="s">
        <v>73</v>
      </c>
      <c r="D1886" s="491" t="s">
        <v>565</v>
      </c>
      <c r="E1886" s="492" t="s">
        <v>50</v>
      </c>
      <c r="F1886" s="493">
        <v>9095.0</v>
      </c>
      <c r="G1886" s="493">
        <v>2119.0</v>
      </c>
      <c r="H1886" s="493">
        <v>23.3</v>
      </c>
      <c r="I1886" s="493">
        <v>1.86</v>
      </c>
      <c r="J1886" s="493">
        <v>1.66</v>
      </c>
      <c r="K1886" s="493">
        <v>3220.0</v>
      </c>
      <c r="L1886" s="493">
        <v>173337.0</v>
      </c>
      <c r="M1886" s="493">
        <v>0.354</v>
      </c>
      <c r="N1886" s="6">
        <v>1.5196</v>
      </c>
    </row>
    <row r="1887">
      <c r="A1887" s="491" t="s">
        <v>2023</v>
      </c>
      <c r="B1887" s="491" t="s">
        <v>163</v>
      </c>
      <c r="C1887" s="491" t="s">
        <v>73</v>
      </c>
      <c r="D1887" s="491" t="s">
        <v>565</v>
      </c>
      <c r="E1887" s="492" t="s">
        <v>42</v>
      </c>
      <c r="F1887" s="493">
        <v>9095.0</v>
      </c>
      <c r="G1887" s="493">
        <v>1847.0</v>
      </c>
      <c r="H1887" s="493">
        <v>20.31</v>
      </c>
      <c r="I1887" s="493">
        <v>1.63</v>
      </c>
      <c r="J1887" s="493">
        <v>1.53</v>
      </c>
      <c r="K1887" s="493">
        <v>2833.0</v>
      </c>
      <c r="L1887" s="493">
        <v>173337.0</v>
      </c>
      <c r="M1887" s="493">
        <v>0.3115</v>
      </c>
      <c r="N1887" s="6">
        <v>1.5338</v>
      </c>
    </row>
    <row r="1888">
      <c r="A1888" s="491" t="s">
        <v>2023</v>
      </c>
      <c r="B1888" s="491" t="s">
        <v>163</v>
      </c>
      <c r="C1888" s="491" t="s">
        <v>73</v>
      </c>
      <c r="D1888" s="491" t="s">
        <v>565</v>
      </c>
      <c r="E1888" s="492" t="s">
        <v>40</v>
      </c>
      <c r="F1888" s="493">
        <v>9095.0</v>
      </c>
      <c r="G1888" s="493">
        <v>830.0</v>
      </c>
      <c r="H1888" s="493">
        <v>9.13</v>
      </c>
      <c r="I1888" s="493">
        <v>1.34</v>
      </c>
      <c r="J1888" s="493">
        <v>0.86</v>
      </c>
      <c r="K1888" s="493">
        <v>2320.0</v>
      </c>
      <c r="L1888" s="493">
        <v>173337.0</v>
      </c>
      <c r="M1888" s="493">
        <v>0.2551</v>
      </c>
      <c r="N1888" s="6">
        <v>2.7952</v>
      </c>
    </row>
    <row r="1889">
      <c r="A1889" s="491" t="s">
        <v>2023</v>
      </c>
      <c r="B1889" s="491" t="s">
        <v>163</v>
      </c>
      <c r="C1889" s="491" t="s">
        <v>73</v>
      </c>
      <c r="D1889" s="491" t="s">
        <v>565</v>
      </c>
      <c r="E1889" s="492" t="s">
        <v>312</v>
      </c>
      <c r="F1889" s="493">
        <v>9095.0</v>
      </c>
      <c r="G1889" s="493">
        <v>1529.0</v>
      </c>
      <c r="H1889" s="493">
        <v>16.81</v>
      </c>
      <c r="I1889" s="493">
        <v>1.09</v>
      </c>
      <c r="J1889" s="493">
        <v>1.01</v>
      </c>
      <c r="K1889" s="493">
        <v>1884.0</v>
      </c>
      <c r="L1889" s="493">
        <v>173337.0</v>
      </c>
      <c r="M1889" s="493">
        <v>0.2071</v>
      </c>
      <c r="N1889" s="6">
        <v>1.2322</v>
      </c>
    </row>
    <row r="1890">
      <c r="A1890" s="491" t="s">
        <v>2023</v>
      </c>
      <c r="B1890" s="491" t="s">
        <v>163</v>
      </c>
      <c r="C1890" s="491" t="s">
        <v>73</v>
      </c>
      <c r="D1890" s="491" t="s">
        <v>565</v>
      </c>
      <c r="E1890" s="492" t="s">
        <v>35</v>
      </c>
      <c r="F1890" s="493">
        <v>9095.0</v>
      </c>
      <c r="G1890" s="493">
        <v>1203.0</v>
      </c>
      <c r="H1890" s="493">
        <v>13.23</v>
      </c>
      <c r="I1890" s="493">
        <v>0.73</v>
      </c>
      <c r="J1890" s="493">
        <v>0.74</v>
      </c>
      <c r="K1890" s="493">
        <v>1258.0</v>
      </c>
      <c r="L1890" s="493">
        <v>173337.0</v>
      </c>
      <c r="M1890" s="493">
        <v>0.1383</v>
      </c>
      <c r="N1890" s="6">
        <v>1.0457</v>
      </c>
    </row>
    <row r="1891">
      <c r="A1891" s="491" t="s">
        <v>2023</v>
      </c>
      <c r="B1891" s="491" t="s">
        <v>163</v>
      </c>
      <c r="C1891" s="491" t="s">
        <v>73</v>
      </c>
      <c r="D1891" s="491" t="s">
        <v>565</v>
      </c>
      <c r="E1891" s="492" t="s">
        <v>310</v>
      </c>
      <c r="F1891" s="493">
        <v>9095.0</v>
      </c>
      <c r="G1891" s="493">
        <v>1097.0</v>
      </c>
      <c r="H1891" s="493">
        <v>12.06</v>
      </c>
      <c r="I1891" s="493">
        <v>0.73</v>
      </c>
      <c r="J1891" s="493">
        <v>0.75</v>
      </c>
      <c r="K1891" s="493">
        <v>1259.0</v>
      </c>
      <c r="L1891" s="493">
        <v>173337.0</v>
      </c>
      <c r="M1891" s="493">
        <v>0.1384</v>
      </c>
      <c r="N1891" s="6">
        <v>1.1477</v>
      </c>
    </row>
    <row r="1892">
      <c r="A1892" s="491" t="s">
        <v>2023</v>
      </c>
      <c r="B1892" s="491" t="s">
        <v>163</v>
      </c>
      <c r="C1892" s="491" t="s">
        <v>73</v>
      </c>
      <c r="D1892" s="491" t="s">
        <v>565</v>
      </c>
      <c r="E1892" s="492" t="s">
        <v>32</v>
      </c>
      <c r="F1892" s="493">
        <v>9095.0</v>
      </c>
      <c r="G1892" s="493">
        <v>981.0</v>
      </c>
      <c r="H1892" s="493">
        <v>10.79</v>
      </c>
      <c r="I1892" s="493">
        <v>0.65</v>
      </c>
      <c r="J1892" s="493">
        <v>0.71</v>
      </c>
      <c r="K1892" s="493">
        <v>1120.0</v>
      </c>
      <c r="L1892" s="493">
        <v>173337.0</v>
      </c>
      <c r="M1892" s="493">
        <v>0.1231</v>
      </c>
      <c r="N1892" s="6">
        <v>1.1417</v>
      </c>
    </row>
    <row r="1893">
      <c r="A1893" s="491" t="s">
        <v>2023</v>
      </c>
      <c r="B1893" s="491" t="s">
        <v>163</v>
      </c>
      <c r="C1893" s="491" t="s">
        <v>73</v>
      </c>
      <c r="D1893" s="491" t="s">
        <v>565</v>
      </c>
      <c r="E1893" s="492" t="s">
        <v>43</v>
      </c>
      <c r="F1893" s="493">
        <v>9095.0</v>
      </c>
      <c r="G1893" s="493">
        <v>710.0</v>
      </c>
      <c r="H1893" s="493">
        <v>7.81</v>
      </c>
      <c r="I1893" s="493">
        <v>0.45</v>
      </c>
      <c r="J1893" s="493">
        <v>0.33</v>
      </c>
      <c r="K1893" s="493">
        <v>779.0</v>
      </c>
      <c r="L1893" s="493">
        <v>173337.0</v>
      </c>
      <c r="M1893" s="493">
        <v>0.0857</v>
      </c>
      <c r="N1893" s="6">
        <v>1.0972</v>
      </c>
    </row>
    <row r="1894">
      <c r="A1894" s="491" t="s">
        <v>2023</v>
      </c>
      <c r="B1894" s="491" t="s">
        <v>163</v>
      </c>
      <c r="C1894" s="491" t="s">
        <v>73</v>
      </c>
      <c r="D1894" s="491" t="s">
        <v>565</v>
      </c>
      <c r="E1894" s="492" t="s">
        <v>189</v>
      </c>
      <c r="F1894" s="493">
        <v>9095.0</v>
      </c>
      <c r="G1894" s="493">
        <v>749.0</v>
      </c>
      <c r="H1894" s="493">
        <v>8.24</v>
      </c>
      <c r="I1894" s="493">
        <v>0.44</v>
      </c>
      <c r="J1894" s="493">
        <v>0.27</v>
      </c>
      <c r="K1894" s="493">
        <v>760.0</v>
      </c>
      <c r="L1894" s="493">
        <v>173337.0</v>
      </c>
      <c r="M1894" s="493">
        <v>0.0836</v>
      </c>
      <c r="N1894" s="6">
        <v>1.0147</v>
      </c>
    </row>
    <row r="1895">
      <c r="A1895" s="491" t="s">
        <v>2023</v>
      </c>
      <c r="B1895" s="491" t="s">
        <v>163</v>
      </c>
      <c r="C1895" s="491" t="s">
        <v>73</v>
      </c>
      <c r="D1895" s="491" t="s">
        <v>565</v>
      </c>
      <c r="E1895" s="492" t="s">
        <v>311</v>
      </c>
      <c r="F1895" s="493">
        <v>9095.0</v>
      </c>
      <c r="G1895" s="493">
        <v>354.0</v>
      </c>
      <c r="H1895" s="493">
        <v>3.89</v>
      </c>
      <c r="I1895" s="493">
        <v>0.21</v>
      </c>
      <c r="J1895" s="493">
        <v>0.25</v>
      </c>
      <c r="K1895" s="493">
        <v>365.0</v>
      </c>
      <c r="L1895" s="493">
        <v>173337.0</v>
      </c>
      <c r="M1895" s="493">
        <v>0.0401</v>
      </c>
      <c r="N1895" s="6">
        <v>1.0311</v>
      </c>
    </row>
    <row r="1896">
      <c r="A1896" s="491" t="s">
        <v>2023</v>
      </c>
      <c r="B1896" s="491" t="s">
        <v>163</v>
      </c>
      <c r="C1896" s="491" t="s">
        <v>73</v>
      </c>
      <c r="D1896" s="491" t="s">
        <v>565</v>
      </c>
      <c r="E1896" s="492" t="s">
        <v>368</v>
      </c>
      <c r="F1896" s="493">
        <v>9095.0</v>
      </c>
      <c r="G1896" s="493">
        <v>2.0</v>
      </c>
      <c r="H1896" s="493">
        <v>0.02</v>
      </c>
      <c r="I1896" s="493">
        <v>0.0</v>
      </c>
      <c r="J1896" s="493">
        <v>0.0</v>
      </c>
      <c r="K1896" s="493">
        <v>2.0</v>
      </c>
      <c r="L1896" s="493">
        <v>173337.0</v>
      </c>
      <c r="M1896" s="493">
        <v>2.0E-4</v>
      </c>
      <c r="N1896" s="6">
        <v>1.0</v>
      </c>
    </row>
    <row r="1897">
      <c r="A1897" s="491" t="s">
        <v>2023</v>
      </c>
      <c r="B1897" s="491" t="s">
        <v>163</v>
      </c>
      <c r="C1897" s="491" t="s">
        <v>72</v>
      </c>
      <c r="D1897" s="491" t="s">
        <v>565</v>
      </c>
      <c r="E1897" s="492" t="s">
        <v>371</v>
      </c>
      <c r="F1897" s="493">
        <v>9069.0</v>
      </c>
      <c r="G1897" s="493">
        <v>8806.0</v>
      </c>
      <c r="H1897" s="493">
        <v>97.1</v>
      </c>
      <c r="I1897" s="493">
        <v>40.13</v>
      </c>
      <c r="J1897" s="493">
        <v>38.27</v>
      </c>
      <c r="K1897" s="493">
        <v>61365.0</v>
      </c>
      <c r="L1897" s="493">
        <v>152934.0</v>
      </c>
      <c r="M1897" s="493">
        <v>6.7665</v>
      </c>
      <c r="N1897" s="6">
        <v>6.9685</v>
      </c>
    </row>
    <row r="1898">
      <c r="A1898" s="491" t="s">
        <v>2023</v>
      </c>
      <c r="B1898" s="491" t="s">
        <v>163</v>
      </c>
      <c r="C1898" s="491" t="s">
        <v>72</v>
      </c>
      <c r="D1898" s="491" t="s">
        <v>565</v>
      </c>
      <c r="E1898" s="492" t="s">
        <v>366</v>
      </c>
      <c r="F1898" s="493">
        <v>9069.0</v>
      </c>
      <c r="G1898" s="493">
        <v>8125.0</v>
      </c>
      <c r="H1898" s="493">
        <v>89.59</v>
      </c>
      <c r="I1898" s="493">
        <v>19.66</v>
      </c>
      <c r="J1898" s="493">
        <v>24.29</v>
      </c>
      <c r="K1898" s="493">
        <v>30074.0</v>
      </c>
      <c r="L1898" s="493">
        <v>152934.0</v>
      </c>
      <c r="M1898" s="493">
        <v>3.3161</v>
      </c>
      <c r="N1898" s="6">
        <v>3.7014</v>
      </c>
    </row>
    <row r="1899">
      <c r="A1899" s="491" t="s">
        <v>2023</v>
      </c>
      <c r="B1899" s="491" t="s">
        <v>163</v>
      </c>
      <c r="C1899" s="491" t="s">
        <v>72</v>
      </c>
      <c r="D1899" s="491" t="s">
        <v>565</v>
      </c>
      <c r="E1899" s="492" t="s">
        <v>134</v>
      </c>
      <c r="F1899" s="493">
        <v>9069.0</v>
      </c>
      <c r="G1899" s="493">
        <v>1645.0</v>
      </c>
      <c r="H1899" s="493">
        <v>18.14</v>
      </c>
      <c r="I1899" s="493">
        <v>5.75</v>
      </c>
      <c r="J1899" s="493">
        <v>2.75</v>
      </c>
      <c r="K1899" s="493">
        <v>8801.0</v>
      </c>
      <c r="L1899" s="493">
        <v>152934.0</v>
      </c>
      <c r="M1899" s="493">
        <v>0.9704</v>
      </c>
      <c r="N1899" s="6">
        <v>5.3502</v>
      </c>
    </row>
    <row r="1900">
      <c r="A1900" s="491" t="s">
        <v>2023</v>
      </c>
      <c r="B1900" s="491" t="s">
        <v>163</v>
      </c>
      <c r="C1900" s="491" t="s">
        <v>72</v>
      </c>
      <c r="D1900" s="491" t="s">
        <v>565</v>
      </c>
      <c r="E1900" s="492" t="s">
        <v>368</v>
      </c>
      <c r="F1900" s="493">
        <v>9069.0</v>
      </c>
      <c r="G1900" s="493">
        <v>3465.0</v>
      </c>
      <c r="H1900" s="493">
        <v>38.21</v>
      </c>
      <c r="I1900" s="493">
        <v>5.74</v>
      </c>
      <c r="J1900" s="493">
        <v>7.52</v>
      </c>
      <c r="K1900" s="493">
        <v>8773.0</v>
      </c>
      <c r="L1900" s="493">
        <v>152934.0</v>
      </c>
      <c r="M1900" s="493">
        <v>0.9674</v>
      </c>
      <c r="N1900" s="6">
        <v>2.5319</v>
      </c>
    </row>
    <row r="1901">
      <c r="A1901" s="491" t="s">
        <v>2023</v>
      </c>
      <c r="B1901" s="491" t="s">
        <v>163</v>
      </c>
      <c r="C1901" s="491" t="s">
        <v>72</v>
      </c>
      <c r="D1901" s="491" t="s">
        <v>565</v>
      </c>
      <c r="E1901" s="492" t="s">
        <v>49</v>
      </c>
      <c r="F1901" s="493">
        <v>9069.0</v>
      </c>
      <c r="G1901" s="493">
        <v>3775.0</v>
      </c>
      <c r="H1901" s="493">
        <v>41.63</v>
      </c>
      <c r="I1901" s="493">
        <v>5.29</v>
      </c>
      <c r="J1901" s="493">
        <v>4.62</v>
      </c>
      <c r="K1901" s="493">
        <v>8086.0</v>
      </c>
      <c r="L1901" s="493">
        <v>152934.0</v>
      </c>
      <c r="M1901" s="493">
        <v>0.8916</v>
      </c>
      <c r="N1901" s="6">
        <v>2.142</v>
      </c>
    </row>
    <row r="1902">
      <c r="A1902" s="491" t="s">
        <v>2023</v>
      </c>
      <c r="B1902" s="491" t="s">
        <v>163</v>
      </c>
      <c r="C1902" s="491" t="s">
        <v>72</v>
      </c>
      <c r="D1902" s="491" t="s">
        <v>565</v>
      </c>
      <c r="E1902" s="492" t="s">
        <v>367</v>
      </c>
      <c r="F1902" s="493">
        <v>9069.0</v>
      </c>
      <c r="G1902" s="493">
        <v>4733.0</v>
      </c>
      <c r="H1902" s="493">
        <v>52.19</v>
      </c>
      <c r="I1902" s="493">
        <v>4.5</v>
      </c>
      <c r="J1902" s="493">
        <v>5.28</v>
      </c>
      <c r="K1902" s="493">
        <v>6887.0</v>
      </c>
      <c r="L1902" s="493">
        <v>152934.0</v>
      </c>
      <c r="M1902" s="493">
        <v>0.7594</v>
      </c>
      <c r="N1902" s="6">
        <v>1.4551</v>
      </c>
    </row>
    <row r="1903">
      <c r="A1903" s="491" t="s">
        <v>2023</v>
      </c>
      <c r="B1903" s="491" t="s">
        <v>163</v>
      </c>
      <c r="C1903" s="491" t="s">
        <v>72</v>
      </c>
      <c r="D1903" s="491" t="s">
        <v>565</v>
      </c>
      <c r="E1903" s="492" t="s">
        <v>44</v>
      </c>
      <c r="F1903" s="493">
        <v>9069.0</v>
      </c>
      <c r="G1903" s="493">
        <v>4299.0</v>
      </c>
      <c r="H1903" s="493">
        <v>47.4</v>
      </c>
      <c r="I1903" s="493">
        <v>3.81</v>
      </c>
      <c r="J1903" s="493">
        <v>4.21</v>
      </c>
      <c r="K1903" s="493">
        <v>5821.0</v>
      </c>
      <c r="L1903" s="493">
        <v>152934.0</v>
      </c>
      <c r="M1903" s="493">
        <v>0.6419</v>
      </c>
      <c r="N1903" s="6">
        <v>1.354</v>
      </c>
    </row>
    <row r="1904">
      <c r="A1904" s="491" t="s">
        <v>2023</v>
      </c>
      <c r="B1904" s="491" t="s">
        <v>163</v>
      </c>
      <c r="C1904" s="491" t="s">
        <v>72</v>
      </c>
      <c r="D1904" s="491" t="s">
        <v>565</v>
      </c>
      <c r="E1904" s="492" t="s">
        <v>365</v>
      </c>
      <c r="F1904" s="493">
        <v>9069.0</v>
      </c>
      <c r="G1904" s="493">
        <v>1805.0</v>
      </c>
      <c r="H1904" s="493">
        <v>19.9</v>
      </c>
      <c r="I1904" s="493">
        <v>3.75</v>
      </c>
      <c r="J1904" s="493">
        <v>2.31</v>
      </c>
      <c r="K1904" s="493">
        <v>5729.0</v>
      </c>
      <c r="L1904" s="493">
        <v>152934.0</v>
      </c>
      <c r="M1904" s="493">
        <v>0.6317</v>
      </c>
      <c r="N1904" s="6">
        <v>3.174</v>
      </c>
    </row>
    <row r="1905">
      <c r="A1905" s="491" t="s">
        <v>2023</v>
      </c>
      <c r="B1905" s="491" t="s">
        <v>163</v>
      </c>
      <c r="C1905" s="491" t="s">
        <v>72</v>
      </c>
      <c r="D1905" s="491" t="s">
        <v>565</v>
      </c>
      <c r="E1905" s="492" t="s">
        <v>372</v>
      </c>
      <c r="F1905" s="493">
        <v>9069.0</v>
      </c>
      <c r="G1905" s="493">
        <v>3138.0</v>
      </c>
      <c r="H1905" s="493">
        <v>34.6</v>
      </c>
      <c r="I1905" s="493">
        <v>2.4</v>
      </c>
      <c r="J1905" s="493">
        <v>2.85</v>
      </c>
      <c r="K1905" s="493">
        <v>3664.0</v>
      </c>
      <c r="L1905" s="493">
        <v>152934.0</v>
      </c>
      <c r="M1905" s="493">
        <v>0.404</v>
      </c>
      <c r="N1905" s="6">
        <v>1.1676</v>
      </c>
    </row>
    <row r="1906">
      <c r="A1906" s="491" t="s">
        <v>2023</v>
      </c>
      <c r="B1906" s="491" t="s">
        <v>163</v>
      </c>
      <c r="C1906" s="491" t="s">
        <v>72</v>
      </c>
      <c r="D1906" s="491" t="s">
        <v>565</v>
      </c>
      <c r="E1906" s="492" t="s">
        <v>40</v>
      </c>
      <c r="F1906" s="493">
        <v>9069.0</v>
      </c>
      <c r="G1906" s="493">
        <v>1462.0</v>
      </c>
      <c r="H1906" s="493">
        <v>16.12</v>
      </c>
      <c r="I1906" s="493">
        <v>2.14</v>
      </c>
      <c r="J1906" s="493">
        <v>1.66</v>
      </c>
      <c r="K1906" s="493">
        <v>3275.0</v>
      </c>
      <c r="L1906" s="493">
        <v>152934.0</v>
      </c>
      <c r="M1906" s="493">
        <v>0.3611</v>
      </c>
      <c r="N1906" s="6">
        <v>2.2401</v>
      </c>
    </row>
    <row r="1907">
      <c r="A1907" s="491" t="s">
        <v>2023</v>
      </c>
      <c r="B1907" s="491" t="s">
        <v>163</v>
      </c>
      <c r="C1907" s="491" t="s">
        <v>72</v>
      </c>
      <c r="D1907" s="491" t="s">
        <v>565</v>
      </c>
      <c r="E1907" s="492" t="s">
        <v>370</v>
      </c>
      <c r="F1907" s="493">
        <v>9069.0</v>
      </c>
      <c r="G1907" s="493">
        <v>1837.0</v>
      </c>
      <c r="H1907" s="493">
        <v>20.26</v>
      </c>
      <c r="I1907" s="493">
        <v>1.99</v>
      </c>
      <c r="J1907" s="493">
        <v>1.32</v>
      </c>
      <c r="K1907" s="493">
        <v>3040.0</v>
      </c>
      <c r="L1907" s="493">
        <v>152934.0</v>
      </c>
      <c r="M1907" s="493">
        <v>0.3352</v>
      </c>
      <c r="N1907" s="6">
        <v>1.6549</v>
      </c>
    </row>
    <row r="1908">
      <c r="A1908" s="491" t="s">
        <v>2023</v>
      </c>
      <c r="B1908" s="491" t="s">
        <v>163</v>
      </c>
      <c r="C1908" s="491" t="s">
        <v>72</v>
      </c>
      <c r="D1908" s="491" t="s">
        <v>565</v>
      </c>
      <c r="E1908" s="492" t="s">
        <v>369</v>
      </c>
      <c r="F1908" s="493">
        <v>9069.0</v>
      </c>
      <c r="G1908" s="493">
        <v>2151.0</v>
      </c>
      <c r="H1908" s="493">
        <v>23.72</v>
      </c>
      <c r="I1908" s="493">
        <v>1.6</v>
      </c>
      <c r="J1908" s="493">
        <v>1.7</v>
      </c>
      <c r="K1908" s="493">
        <v>2450.0</v>
      </c>
      <c r="L1908" s="493">
        <v>152934.0</v>
      </c>
      <c r="M1908" s="493">
        <v>0.2702</v>
      </c>
      <c r="N1908" s="6">
        <v>1.139</v>
      </c>
    </row>
    <row r="1909">
      <c r="A1909" s="491" t="s">
        <v>2023</v>
      </c>
      <c r="B1909" s="491" t="s">
        <v>163</v>
      </c>
      <c r="C1909" s="491" t="s">
        <v>72</v>
      </c>
      <c r="D1909" s="491" t="s">
        <v>565</v>
      </c>
      <c r="E1909" s="492" t="s">
        <v>50</v>
      </c>
      <c r="F1909" s="493">
        <v>9069.0</v>
      </c>
      <c r="G1909" s="493">
        <v>1544.0</v>
      </c>
      <c r="H1909" s="493">
        <v>17.03</v>
      </c>
      <c r="I1909" s="493">
        <v>1.34</v>
      </c>
      <c r="J1909" s="493">
        <v>1.27</v>
      </c>
      <c r="K1909" s="493">
        <v>2051.0</v>
      </c>
      <c r="L1909" s="493">
        <v>152934.0</v>
      </c>
      <c r="M1909" s="493">
        <v>0.2262</v>
      </c>
      <c r="N1909" s="6">
        <v>1.3284</v>
      </c>
    </row>
    <row r="1910">
      <c r="A1910" s="491" t="s">
        <v>2023</v>
      </c>
      <c r="B1910" s="491" t="s">
        <v>163</v>
      </c>
      <c r="C1910" s="491" t="s">
        <v>72</v>
      </c>
      <c r="D1910" s="491" t="s">
        <v>565</v>
      </c>
      <c r="E1910" s="492" t="s">
        <v>189</v>
      </c>
      <c r="F1910" s="493">
        <v>9069.0</v>
      </c>
      <c r="G1910" s="493">
        <v>955.0</v>
      </c>
      <c r="H1910" s="493">
        <v>10.53</v>
      </c>
      <c r="I1910" s="493">
        <v>0.63</v>
      </c>
      <c r="J1910" s="493">
        <v>0.55</v>
      </c>
      <c r="K1910" s="493">
        <v>969.0</v>
      </c>
      <c r="L1910" s="493">
        <v>152934.0</v>
      </c>
      <c r="M1910" s="493">
        <v>0.1068</v>
      </c>
      <c r="N1910" s="6">
        <v>1.0147</v>
      </c>
    </row>
    <row r="1911">
      <c r="A1911" s="491" t="s">
        <v>2023</v>
      </c>
      <c r="B1911" s="491" t="s">
        <v>163</v>
      </c>
      <c r="C1911" s="491" t="s">
        <v>72</v>
      </c>
      <c r="D1911" s="491" t="s">
        <v>565</v>
      </c>
      <c r="E1911" s="492" t="s">
        <v>42</v>
      </c>
      <c r="F1911" s="493">
        <v>9069.0</v>
      </c>
      <c r="G1911" s="493">
        <v>815.0</v>
      </c>
      <c r="H1911" s="493">
        <v>8.99</v>
      </c>
      <c r="I1911" s="493">
        <v>0.63</v>
      </c>
      <c r="J1911" s="493">
        <v>0.64</v>
      </c>
      <c r="K1911" s="493">
        <v>964.0</v>
      </c>
      <c r="L1911" s="493">
        <v>152934.0</v>
      </c>
      <c r="M1911" s="493">
        <v>0.1063</v>
      </c>
      <c r="N1911" s="6">
        <v>1.1828</v>
      </c>
    </row>
    <row r="1912">
      <c r="A1912" s="491" t="s">
        <v>2023</v>
      </c>
      <c r="B1912" s="491" t="s">
        <v>163</v>
      </c>
      <c r="C1912" s="491" t="s">
        <v>72</v>
      </c>
      <c r="D1912" s="491" t="s">
        <v>565</v>
      </c>
      <c r="E1912" s="492" t="s">
        <v>312</v>
      </c>
      <c r="F1912" s="493">
        <v>9069.0</v>
      </c>
      <c r="G1912" s="493">
        <v>376.0</v>
      </c>
      <c r="H1912" s="493">
        <v>4.15</v>
      </c>
      <c r="I1912" s="493">
        <v>0.26</v>
      </c>
      <c r="J1912" s="493">
        <v>0.29</v>
      </c>
      <c r="K1912" s="493">
        <v>401.0</v>
      </c>
      <c r="L1912" s="493">
        <v>152934.0</v>
      </c>
      <c r="M1912" s="493">
        <v>0.0442</v>
      </c>
      <c r="N1912" s="6">
        <v>1.0665</v>
      </c>
    </row>
    <row r="1913">
      <c r="A1913" s="491" t="s">
        <v>2023</v>
      </c>
      <c r="B1913" s="491" t="s">
        <v>163</v>
      </c>
      <c r="C1913" s="491" t="s">
        <v>72</v>
      </c>
      <c r="D1913" s="491" t="s">
        <v>565</v>
      </c>
      <c r="E1913" s="492" t="s">
        <v>310</v>
      </c>
      <c r="F1913" s="493">
        <v>9069.0</v>
      </c>
      <c r="G1913" s="493">
        <v>187.0</v>
      </c>
      <c r="H1913" s="493">
        <v>2.06</v>
      </c>
      <c r="I1913" s="493">
        <v>0.13</v>
      </c>
      <c r="J1913" s="493">
        <v>0.16</v>
      </c>
      <c r="K1913" s="493">
        <v>199.0</v>
      </c>
      <c r="L1913" s="493">
        <v>152934.0</v>
      </c>
      <c r="M1913" s="493">
        <v>0.0219</v>
      </c>
      <c r="N1913" s="6">
        <v>1.0642</v>
      </c>
    </row>
    <row r="1914">
      <c r="A1914" s="491" t="s">
        <v>2023</v>
      </c>
      <c r="B1914" s="491" t="s">
        <v>163</v>
      </c>
      <c r="C1914" s="491" t="s">
        <v>72</v>
      </c>
      <c r="D1914" s="491" t="s">
        <v>565</v>
      </c>
      <c r="E1914" s="492" t="s">
        <v>43</v>
      </c>
      <c r="F1914" s="493">
        <v>9069.0</v>
      </c>
      <c r="G1914" s="493">
        <v>187.0</v>
      </c>
      <c r="H1914" s="493">
        <v>2.06</v>
      </c>
      <c r="I1914" s="493">
        <v>0.13</v>
      </c>
      <c r="J1914" s="493">
        <v>0.15</v>
      </c>
      <c r="K1914" s="493">
        <v>197.0</v>
      </c>
      <c r="L1914" s="493">
        <v>152934.0</v>
      </c>
      <c r="M1914" s="493">
        <v>0.0217</v>
      </c>
      <c r="N1914" s="6">
        <v>1.0535</v>
      </c>
    </row>
    <row r="1915">
      <c r="A1915" s="491" t="s">
        <v>2023</v>
      </c>
      <c r="B1915" s="491" t="s">
        <v>163</v>
      </c>
      <c r="C1915" s="491" t="s">
        <v>72</v>
      </c>
      <c r="D1915" s="491" t="s">
        <v>565</v>
      </c>
      <c r="E1915" s="492" t="s">
        <v>32</v>
      </c>
      <c r="F1915" s="493">
        <v>9069.0</v>
      </c>
      <c r="G1915" s="493">
        <v>127.0</v>
      </c>
      <c r="H1915" s="493">
        <v>1.4</v>
      </c>
      <c r="I1915" s="493">
        <v>0.08</v>
      </c>
      <c r="J1915" s="493">
        <v>0.11</v>
      </c>
      <c r="K1915" s="493">
        <v>128.0</v>
      </c>
      <c r="L1915" s="493">
        <v>152934.0</v>
      </c>
      <c r="M1915" s="493">
        <v>0.0141</v>
      </c>
      <c r="N1915" s="6">
        <v>1.0079</v>
      </c>
    </row>
    <row r="1916">
      <c r="A1916" s="491" t="s">
        <v>2023</v>
      </c>
      <c r="B1916" s="491" t="s">
        <v>163</v>
      </c>
      <c r="C1916" s="491" t="s">
        <v>72</v>
      </c>
      <c r="D1916" s="491" t="s">
        <v>565</v>
      </c>
      <c r="E1916" s="492" t="s">
        <v>311</v>
      </c>
      <c r="F1916" s="493">
        <v>9069.0</v>
      </c>
      <c r="G1916" s="493">
        <v>54.0</v>
      </c>
      <c r="H1916" s="493">
        <v>0.6</v>
      </c>
      <c r="I1916" s="493">
        <v>0.04</v>
      </c>
      <c r="J1916" s="493">
        <v>0.05</v>
      </c>
      <c r="K1916" s="493">
        <v>58.0</v>
      </c>
      <c r="L1916" s="493">
        <v>152934.0</v>
      </c>
      <c r="M1916" s="493">
        <v>0.0064</v>
      </c>
      <c r="N1916" s="6">
        <v>1.0741</v>
      </c>
    </row>
    <row r="1917">
      <c r="A1917" s="491" t="s">
        <v>2023</v>
      </c>
      <c r="B1917" s="491" t="s">
        <v>163</v>
      </c>
      <c r="C1917" s="491" t="s">
        <v>72</v>
      </c>
      <c r="D1917" s="491" t="s">
        <v>565</v>
      </c>
      <c r="E1917" s="492" t="s">
        <v>374</v>
      </c>
      <c r="F1917" s="493">
        <v>9069.0</v>
      </c>
      <c r="G1917" s="493">
        <v>1.0</v>
      </c>
      <c r="H1917" s="493">
        <v>0.01</v>
      </c>
      <c r="I1917" s="493">
        <v>0.0</v>
      </c>
      <c r="J1917" s="493">
        <v>0.0</v>
      </c>
      <c r="K1917" s="493">
        <v>2.0</v>
      </c>
      <c r="L1917" s="493">
        <v>152934.0</v>
      </c>
      <c r="M1917" s="493">
        <v>2.0E-4</v>
      </c>
      <c r="N1917" s="6">
        <v>2.0</v>
      </c>
    </row>
    <row r="1918">
      <c r="A1918" s="491" t="s">
        <v>2023</v>
      </c>
      <c r="B1918" s="491" t="s">
        <v>163</v>
      </c>
      <c r="C1918" s="491" t="s">
        <v>1873</v>
      </c>
      <c r="D1918" s="491" t="s">
        <v>2018</v>
      </c>
      <c r="E1918" s="492" t="s">
        <v>369</v>
      </c>
      <c r="F1918" s="493">
        <v>5116.0</v>
      </c>
      <c r="G1918" s="493">
        <v>3110.0</v>
      </c>
      <c r="H1918" s="493">
        <v>60.79</v>
      </c>
      <c r="I1918" s="493">
        <v>40.29</v>
      </c>
      <c r="J1918" s="493">
        <v>46.6</v>
      </c>
      <c r="K1918" s="493">
        <v>64640.0</v>
      </c>
      <c r="L1918" s="493">
        <v>160435.0</v>
      </c>
      <c r="M1918" s="493">
        <v>12.6349</v>
      </c>
      <c r="N1918" s="6">
        <v>20.7846</v>
      </c>
    </row>
    <row r="1919">
      <c r="A1919" s="491" t="s">
        <v>2023</v>
      </c>
      <c r="B1919" s="491" t="s">
        <v>163</v>
      </c>
      <c r="C1919" s="491" t="s">
        <v>1873</v>
      </c>
      <c r="D1919" s="491" t="s">
        <v>2018</v>
      </c>
      <c r="E1919" s="492" t="s">
        <v>134</v>
      </c>
      <c r="F1919" s="493">
        <v>5116.0</v>
      </c>
      <c r="G1919" s="493">
        <v>1249.0</v>
      </c>
      <c r="H1919" s="493">
        <v>24.41</v>
      </c>
      <c r="I1919" s="493">
        <v>19.86</v>
      </c>
      <c r="J1919" s="493">
        <v>13.93</v>
      </c>
      <c r="K1919" s="493">
        <v>31860.0</v>
      </c>
      <c r="L1919" s="493">
        <v>160435.0</v>
      </c>
      <c r="M1919" s="493">
        <v>6.2275</v>
      </c>
      <c r="N1919" s="6">
        <v>25.5084</v>
      </c>
    </row>
    <row r="1920">
      <c r="A1920" s="491" t="s">
        <v>2023</v>
      </c>
      <c r="B1920" s="491" t="s">
        <v>163</v>
      </c>
      <c r="C1920" s="491" t="s">
        <v>1873</v>
      </c>
      <c r="D1920" s="491" t="s">
        <v>2018</v>
      </c>
      <c r="E1920" s="492" t="s">
        <v>189</v>
      </c>
      <c r="F1920" s="493">
        <v>5116.0</v>
      </c>
      <c r="G1920" s="493">
        <v>1476.0</v>
      </c>
      <c r="H1920" s="493">
        <v>28.85</v>
      </c>
      <c r="I1920" s="493">
        <v>17.98</v>
      </c>
      <c r="J1920" s="493">
        <v>19.44</v>
      </c>
      <c r="K1920" s="493">
        <v>28850.0</v>
      </c>
      <c r="L1920" s="493">
        <v>160435.0</v>
      </c>
      <c r="M1920" s="493">
        <v>5.6392</v>
      </c>
      <c r="N1920" s="6">
        <v>19.5461</v>
      </c>
    </row>
    <row r="1921">
      <c r="A1921" s="491" t="s">
        <v>2023</v>
      </c>
      <c r="B1921" s="491" t="s">
        <v>163</v>
      </c>
      <c r="C1921" s="491" t="s">
        <v>1873</v>
      </c>
      <c r="D1921" s="491" t="s">
        <v>2018</v>
      </c>
      <c r="E1921" s="492" t="s">
        <v>35</v>
      </c>
      <c r="F1921" s="493">
        <v>5116.0</v>
      </c>
      <c r="G1921" s="493">
        <v>1256.0</v>
      </c>
      <c r="H1921" s="493">
        <v>24.55</v>
      </c>
      <c r="I1921" s="493">
        <v>12.21</v>
      </c>
      <c r="J1921" s="493">
        <v>15.56</v>
      </c>
      <c r="K1921" s="493">
        <v>19590.0</v>
      </c>
      <c r="L1921" s="493">
        <v>160435.0</v>
      </c>
      <c r="M1921" s="493">
        <v>3.8292</v>
      </c>
      <c r="N1921" s="6">
        <v>15.5971</v>
      </c>
    </row>
    <row r="1922">
      <c r="A1922" s="491" t="s">
        <v>2023</v>
      </c>
      <c r="B1922" s="491" t="s">
        <v>163</v>
      </c>
      <c r="C1922" s="491" t="s">
        <v>1873</v>
      </c>
      <c r="D1922" s="491" t="s">
        <v>2018</v>
      </c>
      <c r="E1922" s="492" t="s">
        <v>367</v>
      </c>
      <c r="F1922" s="493">
        <v>5116.0</v>
      </c>
      <c r="G1922" s="493">
        <v>472.0</v>
      </c>
      <c r="H1922" s="493">
        <v>9.23</v>
      </c>
      <c r="I1922" s="493">
        <v>8.9</v>
      </c>
      <c r="J1922" s="493">
        <v>3.8</v>
      </c>
      <c r="K1922" s="493">
        <v>14280.0</v>
      </c>
      <c r="L1922" s="493">
        <v>160435.0</v>
      </c>
      <c r="M1922" s="493">
        <v>2.7912</v>
      </c>
      <c r="N1922" s="6">
        <v>30.2542</v>
      </c>
    </row>
    <row r="1923">
      <c r="A1923" s="491" t="s">
        <v>2023</v>
      </c>
      <c r="B1923" s="491" t="s">
        <v>163</v>
      </c>
      <c r="C1923" s="491" t="s">
        <v>1873</v>
      </c>
      <c r="D1923" s="491" t="s">
        <v>2018</v>
      </c>
      <c r="E1923" s="492" t="s">
        <v>370</v>
      </c>
      <c r="F1923" s="493">
        <v>5116.0</v>
      </c>
      <c r="G1923" s="493">
        <v>30.0</v>
      </c>
      <c r="H1923" s="493">
        <v>0.59</v>
      </c>
      <c r="I1923" s="493">
        <v>0.54</v>
      </c>
      <c r="J1923" s="493">
        <v>0.38</v>
      </c>
      <c r="K1923" s="493">
        <v>865.0</v>
      </c>
      <c r="L1923" s="493">
        <v>160435.0</v>
      </c>
      <c r="M1923" s="493">
        <v>0.1691</v>
      </c>
      <c r="N1923" s="6">
        <v>28.8333</v>
      </c>
    </row>
    <row r="1924">
      <c r="A1924" s="491" t="s">
        <v>2023</v>
      </c>
      <c r="B1924" s="491" t="s">
        <v>163</v>
      </c>
      <c r="C1924" s="491" t="s">
        <v>1873</v>
      </c>
      <c r="D1924" s="491" t="s">
        <v>2018</v>
      </c>
      <c r="E1924" s="492" t="s">
        <v>372</v>
      </c>
      <c r="F1924" s="493">
        <v>5116.0</v>
      </c>
      <c r="G1924" s="493">
        <v>25.0</v>
      </c>
      <c r="H1924" s="493">
        <v>0.49</v>
      </c>
      <c r="I1924" s="493">
        <v>0.21</v>
      </c>
      <c r="J1924" s="493">
        <v>0.27</v>
      </c>
      <c r="K1924" s="493">
        <v>340.0</v>
      </c>
      <c r="L1924" s="493">
        <v>160435.0</v>
      </c>
      <c r="M1924" s="493">
        <v>0.0665</v>
      </c>
      <c r="N1924" s="6">
        <v>13.6</v>
      </c>
    </row>
    <row r="1925">
      <c r="A1925" s="491" t="s">
        <v>2023</v>
      </c>
      <c r="B1925" s="491" t="s">
        <v>163</v>
      </c>
      <c r="C1925" s="491" t="s">
        <v>1873</v>
      </c>
      <c r="D1925" s="491" t="s">
        <v>2018</v>
      </c>
      <c r="E1925" s="492" t="s">
        <v>54</v>
      </c>
      <c r="F1925" s="493">
        <v>5116.0</v>
      </c>
      <c r="G1925" s="493">
        <v>1.0</v>
      </c>
      <c r="H1925" s="493">
        <v>0.02</v>
      </c>
      <c r="I1925" s="493">
        <v>0.01</v>
      </c>
      <c r="J1925" s="493">
        <v>0.02</v>
      </c>
      <c r="K1925" s="493">
        <v>10.0</v>
      </c>
      <c r="L1925" s="493">
        <v>160435.0</v>
      </c>
      <c r="M1925" s="493">
        <v>0.002</v>
      </c>
      <c r="N1925" s="6">
        <v>10.0</v>
      </c>
    </row>
    <row r="1926">
      <c r="A1926" s="491" t="s">
        <v>2023</v>
      </c>
      <c r="B1926" s="491" t="s">
        <v>163</v>
      </c>
      <c r="C1926" s="491" t="s">
        <v>1874</v>
      </c>
      <c r="D1926" s="491" t="s">
        <v>2018</v>
      </c>
      <c r="E1926" s="492" t="s">
        <v>134</v>
      </c>
      <c r="F1926" s="493">
        <v>7697.0</v>
      </c>
      <c r="G1926" s="493">
        <v>1731.0</v>
      </c>
      <c r="H1926" s="493">
        <v>22.49</v>
      </c>
      <c r="I1926" s="493">
        <v>28.27</v>
      </c>
      <c r="J1926" s="493">
        <v>11.04</v>
      </c>
      <c r="K1926" s="493">
        <v>112670.0</v>
      </c>
      <c r="L1926" s="493">
        <v>398495.0</v>
      </c>
      <c r="M1926" s="493">
        <v>14.6382</v>
      </c>
      <c r="N1926" s="6">
        <v>65.0895</v>
      </c>
    </row>
    <row r="1927">
      <c r="A1927" s="491" t="s">
        <v>2023</v>
      </c>
      <c r="B1927" s="491" t="s">
        <v>163</v>
      </c>
      <c r="C1927" s="491" t="s">
        <v>1874</v>
      </c>
      <c r="D1927" s="491" t="s">
        <v>2018</v>
      </c>
      <c r="E1927" s="492" t="s">
        <v>369</v>
      </c>
      <c r="F1927" s="493">
        <v>7697.0</v>
      </c>
      <c r="G1927" s="493">
        <v>3470.0</v>
      </c>
      <c r="H1927" s="493">
        <v>45.08</v>
      </c>
      <c r="I1927" s="493">
        <v>18.55</v>
      </c>
      <c r="J1927" s="493">
        <v>21.9</v>
      </c>
      <c r="K1927" s="493">
        <v>73915.0</v>
      </c>
      <c r="L1927" s="493">
        <v>398495.0</v>
      </c>
      <c r="M1927" s="493">
        <v>9.6031</v>
      </c>
      <c r="N1927" s="6">
        <v>21.3012</v>
      </c>
    </row>
    <row r="1928">
      <c r="A1928" s="491" t="s">
        <v>2023</v>
      </c>
      <c r="B1928" s="491" t="s">
        <v>163</v>
      </c>
      <c r="C1928" s="491" t="s">
        <v>1874</v>
      </c>
      <c r="D1928" s="491" t="s">
        <v>2018</v>
      </c>
      <c r="E1928" s="492" t="s">
        <v>372</v>
      </c>
      <c r="F1928" s="493">
        <v>7697.0</v>
      </c>
      <c r="G1928" s="493">
        <v>3914.0</v>
      </c>
      <c r="H1928" s="493">
        <v>50.85</v>
      </c>
      <c r="I1928" s="493">
        <v>17.53</v>
      </c>
      <c r="J1928" s="493">
        <v>24.02</v>
      </c>
      <c r="K1928" s="493">
        <v>69870.0</v>
      </c>
      <c r="L1928" s="493">
        <v>398495.0</v>
      </c>
      <c r="M1928" s="493">
        <v>9.0776</v>
      </c>
      <c r="N1928" s="6">
        <v>17.8513</v>
      </c>
    </row>
    <row r="1929">
      <c r="A1929" s="491" t="s">
        <v>2023</v>
      </c>
      <c r="B1929" s="491" t="s">
        <v>163</v>
      </c>
      <c r="C1929" s="491" t="s">
        <v>1874</v>
      </c>
      <c r="D1929" s="491" t="s">
        <v>2018</v>
      </c>
      <c r="E1929" s="492" t="s">
        <v>44</v>
      </c>
      <c r="F1929" s="493">
        <v>7697.0</v>
      </c>
      <c r="G1929" s="493">
        <v>4156.0</v>
      </c>
      <c r="H1929" s="493">
        <v>54.0</v>
      </c>
      <c r="I1929" s="493">
        <v>13.99</v>
      </c>
      <c r="J1929" s="493">
        <v>22.97</v>
      </c>
      <c r="K1929" s="493">
        <v>55740.0</v>
      </c>
      <c r="L1929" s="493">
        <v>398495.0</v>
      </c>
      <c r="M1929" s="493">
        <v>7.2418</v>
      </c>
      <c r="N1929" s="6">
        <v>13.4119</v>
      </c>
    </row>
    <row r="1930">
      <c r="A1930" s="491" t="s">
        <v>2023</v>
      </c>
      <c r="B1930" s="491" t="s">
        <v>163</v>
      </c>
      <c r="C1930" s="491" t="s">
        <v>1874</v>
      </c>
      <c r="D1930" s="491" t="s">
        <v>2018</v>
      </c>
      <c r="E1930" s="492" t="s">
        <v>367</v>
      </c>
      <c r="F1930" s="493">
        <v>7697.0</v>
      </c>
      <c r="G1930" s="493">
        <v>553.0</v>
      </c>
      <c r="H1930" s="493">
        <v>7.18</v>
      </c>
      <c r="I1930" s="493">
        <v>8.49</v>
      </c>
      <c r="J1930" s="493">
        <v>2.72</v>
      </c>
      <c r="K1930" s="493">
        <v>33840.0</v>
      </c>
      <c r="L1930" s="493">
        <v>398495.0</v>
      </c>
      <c r="M1930" s="493">
        <v>4.3965</v>
      </c>
      <c r="N1930" s="6">
        <v>61.1935</v>
      </c>
    </row>
    <row r="1931">
      <c r="A1931" s="491" t="s">
        <v>2023</v>
      </c>
      <c r="B1931" s="491" t="s">
        <v>163</v>
      </c>
      <c r="C1931" s="491" t="s">
        <v>1874</v>
      </c>
      <c r="D1931" s="491" t="s">
        <v>2018</v>
      </c>
      <c r="E1931" s="492" t="s">
        <v>189</v>
      </c>
      <c r="F1931" s="493">
        <v>7697.0</v>
      </c>
      <c r="G1931" s="493">
        <v>1558.0</v>
      </c>
      <c r="H1931" s="493">
        <v>20.24</v>
      </c>
      <c r="I1931" s="493">
        <v>7.54</v>
      </c>
      <c r="J1931" s="493">
        <v>9.43</v>
      </c>
      <c r="K1931" s="493">
        <v>30030.0</v>
      </c>
      <c r="L1931" s="493">
        <v>398495.0</v>
      </c>
      <c r="M1931" s="493">
        <v>3.9015</v>
      </c>
      <c r="N1931" s="6">
        <v>19.2747</v>
      </c>
    </row>
    <row r="1932">
      <c r="A1932" s="491" t="s">
        <v>2023</v>
      </c>
      <c r="B1932" s="491" t="s">
        <v>163</v>
      </c>
      <c r="C1932" s="491" t="s">
        <v>1874</v>
      </c>
      <c r="D1932" s="491" t="s">
        <v>2018</v>
      </c>
      <c r="E1932" s="492" t="s">
        <v>35</v>
      </c>
      <c r="F1932" s="493">
        <v>7697.0</v>
      </c>
      <c r="G1932" s="493">
        <v>1379.0</v>
      </c>
      <c r="H1932" s="493">
        <v>17.92</v>
      </c>
      <c r="I1932" s="493">
        <v>5.39</v>
      </c>
      <c r="J1932" s="493">
        <v>7.73</v>
      </c>
      <c r="K1932" s="493">
        <v>21495.0</v>
      </c>
      <c r="L1932" s="493">
        <v>398495.0</v>
      </c>
      <c r="M1932" s="493">
        <v>2.7926</v>
      </c>
      <c r="N1932" s="6">
        <v>15.5874</v>
      </c>
    </row>
    <row r="1933">
      <c r="A1933" s="491" t="s">
        <v>2023</v>
      </c>
      <c r="B1933" s="491" t="s">
        <v>163</v>
      </c>
      <c r="C1933" s="491" t="s">
        <v>1874</v>
      </c>
      <c r="D1933" s="491" t="s">
        <v>2018</v>
      </c>
      <c r="E1933" s="492" t="s">
        <v>370</v>
      </c>
      <c r="F1933" s="493">
        <v>7697.0</v>
      </c>
      <c r="G1933" s="493">
        <v>33.0</v>
      </c>
      <c r="H1933" s="493">
        <v>0.43</v>
      </c>
      <c r="I1933" s="493">
        <v>0.23</v>
      </c>
      <c r="J1933" s="493">
        <v>0.18</v>
      </c>
      <c r="K1933" s="493">
        <v>915.0</v>
      </c>
      <c r="L1933" s="493">
        <v>398495.0</v>
      </c>
      <c r="M1933" s="493">
        <v>0.1189</v>
      </c>
      <c r="N1933" s="6">
        <v>27.7273</v>
      </c>
    </row>
    <row r="1934">
      <c r="A1934" s="491" t="s">
        <v>2023</v>
      </c>
      <c r="B1934" s="491" t="s">
        <v>163</v>
      </c>
      <c r="C1934" s="491" t="s">
        <v>1874</v>
      </c>
      <c r="D1934" s="491" t="s">
        <v>2018</v>
      </c>
      <c r="E1934" s="492" t="s">
        <v>374</v>
      </c>
      <c r="F1934" s="493">
        <v>7697.0</v>
      </c>
      <c r="G1934" s="493">
        <v>1.0</v>
      </c>
      <c r="H1934" s="493">
        <v>0.01</v>
      </c>
      <c r="I1934" s="493">
        <v>0.0</v>
      </c>
      <c r="J1934" s="493">
        <v>0.0</v>
      </c>
      <c r="K1934" s="493">
        <v>10.0</v>
      </c>
      <c r="L1934" s="493">
        <v>398495.0</v>
      </c>
      <c r="M1934" s="493">
        <v>0.0013</v>
      </c>
      <c r="N1934" s="6">
        <v>10.0</v>
      </c>
    </row>
    <row r="1935">
      <c r="A1935" s="491" t="s">
        <v>2023</v>
      </c>
      <c r="B1935" s="491" t="s">
        <v>163</v>
      </c>
      <c r="C1935" s="491" t="s">
        <v>1874</v>
      </c>
      <c r="D1935" s="491" t="s">
        <v>2018</v>
      </c>
      <c r="E1935" s="492" t="s">
        <v>368</v>
      </c>
      <c r="F1935" s="493">
        <v>7697.0</v>
      </c>
      <c r="G1935" s="493">
        <v>1.0</v>
      </c>
      <c r="H1935" s="493">
        <v>0.01</v>
      </c>
      <c r="I1935" s="493">
        <v>0.0</v>
      </c>
      <c r="J1935" s="493">
        <v>0.0</v>
      </c>
      <c r="K1935" s="493">
        <v>10.0</v>
      </c>
      <c r="L1935" s="493">
        <v>398495.0</v>
      </c>
      <c r="M1935" s="493">
        <v>0.0013</v>
      </c>
      <c r="N1935" s="6">
        <v>10.0</v>
      </c>
    </row>
    <row r="1936">
      <c r="A1936" s="491" t="s">
        <v>2023</v>
      </c>
      <c r="B1936" s="491" t="s">
        <v>163</v>
      </c>
      <c r="C1936" s="491" t="s">
        <v>1875</v>
      </c>
      <c r="D1936" s="491" t="s">
        <v>2018</v>
      </c>
      <c r="E1936" s="492" t="s">
        <v>134</v>
      </c>
      <c r="F1936" s="493">
        <v>8075.0</v>
      </c>
      <c r="G1936" s="493">
        <v>1690.0</v>
      </c>
      <c r="H1936" s="493">
        <v>20.93</v>
      </c>
      <c r="I1936" s="493">
        <v>29.26</v>
      </c>
      <c r="J1936" s="493">
        <v>10.92</v>
      </c>
      <c r="K1936" s="493">
        <v>165545.0</v>
      </c>
      <c r="L1936" s="493">
        <v>565815.0</v>
      </c>
      <c r="M1936" s="493">
        <v>20.5009</v>
      </c>
      <c r="N1936" s="6">
        <v>97.9556</v>
      </c>
    </row>
    <row r="1937">
      <c r="A1937" s="491" t="s">
        <v>2023</v>
      </c>
      <c r="B1937" s="491" t="s">
        <v>163</v>
      </c>
      <c r="C1937" s="491" t="s">
        <v>1875</v>
      </c>
      <c r="D1937" s="491" t="s">
        <v>2018</v>
      </c>
      <c r="E1937" s="492" t="s">
        <v>372</v>
      </c>
      <c r="F1937" s="493">
        <v>8075.0</v>
      </c>
      <c r="G1937" s="493">
        <v>5872.0</v>
      </c>
      <c r="H1937" s="493">
        <v>72.72</v>
      </c>
      <c r="I1937" s="493">
        <v>28.03</v>
      </c>
      <c r="J1937" s="493">
        <v>41.3</v>
      </c>
      <c r="K1937" s="493">
        <v>158605.0</v>
      </c>
      <c r="L1937" s="493">
        <v>565815.0</v>
      </c>
      <c r="M1937" s="493">
        <v>19.6415</v>
      </c>
      <c r="N1937" s="6">
        <v>27.0104</v>
      </c>
    </row>
    <row r="1938">
      <c r="A1938" s="491" t="s">
        <v>2023</v>
      </c>
      <c r="B1938" s="491" t="s">
        <v>163</v>
      </c>
      <c r="C1938" s="491" t="s">
        <v>1875</v>
      </c>
      <c r="D1938" s="491" t="s">
        <v>2018</v>
      </c>
      <c r="E1938" s="492" t="s">
        <v>369</v>
      </c>
      <c r="F1938" s="493">
        <v>8075.0</v>
      </c>
      <c r="G1938" s="493">
        <v>3348.0</v>
      </c>
      <c r="H1938" s="493">
        <v>41.46</v>
      </c>
      <c r="I1938" s="493">
        <v>14.12</v>
      </c>
      <c r="J1938" s="493">
        <v>15.84</v>
      </c>
      <c r="K1938" s="493">
        <v>79885.0</v>
      </c>
      <c r="L1938" s="493">
        <v>565815.0</v>
      </c>
      <c r="M1938" s="493">
        <v>9.8929</v>
      </c>
      <c r="N1938" s="6">
        <v>23.8605</v>
      </c>
    </row>
    <row r="1939">
      <c r="A1939" s="491" t="s">
        <v>2023</v>
      </c>
      <c r="B1939" s="491" t="s">
        <v>163</v>
      </c>
      <c r="C1939" s="491" t="s">
        <v>1875</v>
      </c>
      <c r="D1939" s="491" t="s">
        <v>2018</v>
      </c>
      <c r="E1939" s="492" t="s">
        <v>44</v>
      </c>
      <c r="F1939" s="493">
        <v>8075.0</v>
      </c>
      <c r="G1939" s="493">
        <v>4299.0</v>
      </c>
      <c r="H1939" s="493">
        <v>53.24</v>
      </c>
      <c r="I1939" s="493">
        <v>10.16</v>
      </c>
      <c r="J1939" s="493">
        <v>15.78</v>
      </c>
      <c r="K1939" s="493">
        <v>57470.0</v>
      </c>
      <c r="L1939" s="493">
        <v>565815.0</v>
      </c>
      <c r="M1939" s="493">
        <v>7.117</v>
      </c>
      <c r="N1939" s="6">
        <v>13.3682</v>
      </c>
    </row>
    <row r="1940">
      <c r="A1940" s="491" t="s">
        <v>2023</v>
      </c>
      <c r="B1940" s="491" t="s">
        <v>163</v>
      </c>
      <c r="C1940" s="491" t="s">
        <v>1875</v>
      </c>
      <c r="D1940" s="491" t="s">
        <v>2018</v>
      </c>
      <c r="E1940" s="492" t="s">
        <v>367</v>
      </c>
      <c r="F1940" s="493">
        <v>8075.0</v>
      </c>
      <c r="G1940" s="493">
        <v>830.0</v>
      </c>
      <c r="H1940" s="493">
        <v>10.28</v>
      </c>
      <c r="I1940" s="493">
        <v>8.95</v>
      </c>
      <c r="J1940" s="493">
        <v>3.92</v>
      </c>
      <c r="K1940" s="493">
        <v>50640.0</v>
      </c>
      <c r="L1940" s="493">
        <v>565815.0</v>
      </c>
      <c r="M1940" s="493">
        <v>6.2712</v>
      </c>
      <c r="N1940" s="6">
        <v>61.012</v>
      </c>
    </row>
    <row r="1941">
      <c r="A1941" s="491" t="s">
        <v>2023</v>
      </c>
      <c r="B1941" s="491" t="s">
        <v>163</v>
      </c>
      <c r="C1941" s="491" t="s">
        <v>1875</v>
      </c>
      <c r="D1941" s="491" t="s">
        <v>2018</v>
      </c>
      <c r="E1941" s="492" t="s">
        <v>189</v>
      </c>
      <c r="F1941" s="493">
        <v>8075.0</v>
      </c>
      <c r="G1941" s="493">
        <v>1494.0</v>
      </c>
      <c r="H1941" s="493">
        <v>18.5</v>
      </c>
      <c r="I1941" s="493">
        <v>5.51</v>
      </c>
      <c r="J1941" s="493">
        <v>6.83</v>
      </c>
      <c r="K1941" s="493">
        <v>31170.0</v>
      </c>
      <c r="L1941" s="493">
        <v>565815.0</v>
      </c>
      <c r="M1941" s="493">
        <v>3.8601</v>
      </c>
      <c r="N1941" s="6">
        <v>20.8635</v>
      </c>
    </row>
    <row r="1942">
      <c r="A1942" s="491" t="s">
        <v>2023</v>
      </c>
      <c r="B1942" s="491" t="s">
        <v>163</v>
      </c>
      <c r="C1942" s="491" t="s">
        <v>1875</v>
      </c>
      <c r="D1942" s="491" t="s">
        <v>2018</v>
      </c>
      <c r="E1942" s="492" t="s">
        <v>35</v>
      </c>
      <c r="F1942" s="493">
        <v>8075.0</v>
      </c>
      <c r="G1942" s="493">
        <v>1384.0</v>
      </c>
      <c r="H1942" s="493">
        <v>17.14</v>
      </c>
      <c r="I1942" s="493">
        <v>3.8</v>
      </c>
      <c r="J1942" s="493">
        <v>5.24</v>
      </c>
      <c r="K1942" s="493">
        <v>21495.0</v>
      </c>
      <c r="L1942" s="493">
        <v>565815.0</v>
      </c>
      <c r="M1942" s="493">
        <v>2.6619</v>
      </c>
      <c r="N1942" s="6">
        <v>15.5311</v>
      </c>
    </row>
    <row r="1943">
      <c r="A1943" s="491" t="s">
        <v>2023</v>
      </c>
      <c r="B1943" s="491" t="s">
        <v>163</v>
      </c>
      <c r="C1943" s="491" t="s">
        <v>1875</v>
      </c>
      <c r="D1943" s="491" t="s">
        <v>2018</v>
      </c>
      <c r="E1943" s="492" t="s">
        <v>370</v>
      </c>
      <c r="F1943" s="493">
        <v>8075.0</v>
      </c>
      <c r="G1943" s="493">
        <v>37.0</v>
      </c>
      <c r="H1943" s="493">
        <v>0.46</v>
      </c>
      <c r="I1943" s="493">
        <v>0.17</v>
      </c>
      <c r="J1943" s="493">
        <v>0.17</v>
      </c>
      <c r="K1943" s="493">
        <v>975.0</v>
      </c>
      <c r="L1943" s="493">
        <v>565815.0</v>
      </c>
      <c r="M1943" s="493">
        <v>0.1207</v>
      </c>
      <c r="N1943" s="6">
        <v>26.3514</v>
      </c>
    </row>
    <row r="1944">
      <c r="A1944" s="491" t="s">
        <v>2023</v>
      </c>
      <c r="B1944" s="491" t="s">
        <v>163</v>
      </c>
      <c r="C1944" s="491" t="s">
        <v>1875</v>
      </c>
      <c r="D1944" s="491" t="s">
        <v>2018</v>
      </c>
      <c r="E1944" s="492" t="s">
        <v>368</v>
      </c>
      <c r="F1944" s="493">
        <v>8075.0</v>
      </c>
      <c r="G1944" s="493">
        <v>1.0</v>
      </c>
      <c r="H1944" s="493">
        <v>0.01</v>
      </c>
      <c r="I1944" s="493">
        <v>0.01</v>
      </c>
      <c r="J1944" s="493">
        <v>0.0</v>
      </c>
      <c r="K1944" s="493">
        <v>30.0</v>
      </c>
      <c r="L1944" s="493">
        <v>565815.0</v>
      </c>
      <c r="M1944" s="493">
        <v>0.0037</v>
      </c>
      <c r="N1944" s="6">
        <v>30.0</v>
      </c>
    </row>
    <row r="1945">
      <c r="A1945" s="491" t="s">
        <v>2023</v>
      </c>
      <c r="B1945" s="491" t="s">
        <v>163</v>
      </c>
      <c r="C1945" s="491" t="s">
        <v>75</v>
      </c>
      <c r="D1945" s="491" t="s">
        <v>2018</v>
      </c>
      <c r="E1945" s="492" t="s">
        <v>371</v>
      </c>
      <c r="F1945" s="493">
        <v>9109.0</v>
      </c>
      <c r="G1945" s="493">
        <v>9095.0</v>
      </c>
      <c r="H1945" s="493">
        <v>99.85</v>
      </c>
      <c r="I1945" s="493">
        <v>54.76</v>
      </c>
      <c r="J1945" s="493">
        <v>49.29</v>
      </c>
      <c r="K1945" s="493">
        <v>8129615.0</v>
      </c>
      <c r="L1945" s="493">
        <v>1.4846469E7</v>
      </c>
      <c r="M1945" s="493">
        <v>892.4816</v>
      </c>
      <c r="N1945" s="6">
        <v>893.8554</v>
      </c>
    </row>
    <row r="1946">
      <c r="A1946" s="491" t="s">
        <v>2023</v>
      </c>
      <c r="B1946" s="491" t="s">
        <v>163</v>
      </c>
      <c r="C1946" s="491" t="s">
        <v>75</v>
      </c>
      <c r="D1946" s="491" t="s">
        <v>2018</v>
      </c>
      <c r="E1946" s="492" t="s">
        <v>366</v>
      </c>
      <c r="F1946" s="493">
        <v>9109.0</v>
      </c>
      <c r="G1946" s="493">
        <v>8801.0</v>
      </c>
      <c r="H1946" s="493">
        <v>96.62</v>
      </c>
      <c r="I1946" s="493">
        <v>15.62</v>
      </c>
      <c r="J1946" s="493">
        <v>19.56</v>
      </c>
      <c r="K1946" s="493">
        <v>2319090.0</v>
      </c>
      <c r="L1946" s="493">
        <v>1.4846469E7</v>
      </c>
      <c r="M1946" s="493">
        <v>254.5933</v>
      </c>
      <c r="N1946" s="6">
        <v>263.503</v>
      </c>
    </row>
    <row r="1947">
      <c r="A1947" s="491" t="s">
        <v>2023</v>
      </c>
      <c r="B1947" s="491" t="s">
        <v>163</v>
      </c>
      <c r="C1947" s="491" t="s">
        <v>75</v>
      </c>
      <c r="D1947" s="491" t="s">
        <v>2018</v>
      </c>
      <c r="E1947" s="492" t="s">
        <v>49</v>
      </c>
      <c r="F1947" s="493">
        <v>9109.0</v>
      </c>
      <c r="G1947" s="493">
        <v>6264.0</v>
      </c>
      <c r="H1947" s="493">
        <v>68.77</v>
      </c>
      <c r="I1947" s="493">
        <v>6.1</v>
      </c>
      <c r="J1947" s="493">
        <v>6.39</v>
      </c>
      <c r="K1947" s="493">
        <v>906220.0</v>
      </c>
      <c r="L1947" s="493">
        <v>1.4846469E7</v>
      </c>
      <c r="M1947" s="493">
        <v>99.4862</v>
      </c>
      <c r="N1947" s="6">
        <v>144.6711</v>
      </c>
    </row>
    <row r="1948">
      <c r="A1948" s="491" t="s">
        <v>2023</v>
      </c>
      <c r="B1948" s="491" t="s">
        <v>163</v>
      </c>
      <c r="C1948" s="491" t="s">
        <v>75</v>
      </c>
      <c r="D1948" s="491" t="s">
        <v>2018</v>
      </c>
      <c r="E1948" s="492" t="s">
        <v>372</v>
      </c>
      <c r="F1948" s="493">
        <v>9109.0</v>
      </c>
      <c r="G1948" s="493">
        <v>5634.0</v>
      </c>
      <c r="H1948" s="493">
        <v>61.85</v>
      </c>
      <c r="I1948" s="493">
        <v>4.7</v>
      </c>
      <c r="J1948" s="493">
        <v>6.75</v>
      </c>
      <c r="K1948" s="493">
        <v>698035.0</v>
      </c>
      <c r="L1948" s="493">
        <v>1.4846469E7</v>
      </c>
      <c r="M1948" s="493">
        <v>76.6314</v>
      </c>
      <c r="N1948" s="6">
        <v>123.8969</v>
      </c>
    </row>
    <row r="1949">
      <c r="A1949" s="491" t="s">
        <v>2023</v>
      </c>
      <c r="B1949" s="491" t="s">
        <v>163</v>
      </c>
      <c r="C1949" s="491" t="s">
        <v>75</v>
      </c>
      <c r="D1949" s="491" t="s">
        <v>2018</v>
      </c>
      <c r="E1949" s="492" t="s">
        <v>44</v>
      </c>
      <c r="F1949" s="493">
        <v>9109.0</v>
      </c>
      <c r="G1949" s="493">
        <v>4811.0</v>
      </c>
      <c r="H1949" s="493">
        <v>52.82</v>
      </c>
      <c r="I1949" s="493">
        <v>3.75</v>
      </c>
      <c r="J1949" s="493">
        <v>4.37</v>
      </c>
      <c r="K1949" s="493">
        <v>557340.0</v>
      </c>
      <c r="L1949" s="493">
        <v>1.4846469E7</v>
      </c>
      <c r="M1949" s="493">
        <v>61.1856</v>
      </c>
      <c r="N1949" s="6">
        <v>115.847</v>
      </c>
    </row>
    <row r="1950">
      <c r="A1950" s="491" t="s">
        <v>2023</v>
      </c>
      <c r="B1950" s="491" t="s">
        <v>163</v>
      </c>
      <c r="C1950" s="491" t="s">
        <v>75</v>
      </c>
      <c r="D1950" s="491" t="s">
        <v>2018</v>
      </c>
      <c r="E1950" s="492" t="s">
        <v>367</v>
      </c>
      <c r="F1950" s="493">
        <v>9109.0</v>
      </c>
      <c r="G1950" s="493">
        <v>6282.0</v>
      </c>
      <c r="H1950" s="493">
        <v>68.96</v>
      </c>
      <c r="I1950" s="493">
        <v>3.34</v>
      </c>
      <c r="J1950" s="493">
        <v>2.57</v>
      </c>
      <c r="K1950" s="493">
        <v>495790.0</v>
      </c>
      <c r="L1950" s="493">
        <v>1.4846469E7</v>
      </c>
      <c r="M1950" s="493">
        <v>54.4286</v>
      </c>
      <c r="N1950" s="6">
        <v>78.9223</v>
      </c>
    </row>
    <row r="1951">
      <c r="A1951" s="491" t="s">
        <v>2023</v>
      </c>
      <c r="B1951" s="491" t="s">
        <v>163</v>
      </c>
      <c r="C1951" s="491" t="s">
        <v>75</v>
      </c>
      <c r="D1951" s="491" t="s">
        <v>2018</v>
      </c>
      <c r="E1951" s="492" t="s">
        <v>369</v>
      </c>
      <c r="F1951" s="493">
        <v>9109.0</v>
      </c>
      <c r="G1951" s="493">
        <v>3411.0</v>
      </c>
      <c r="H1951" s="493">
        <v>37.45</v>
      </c>
      <c r="I1951" s="493">
        <v>2.85</v>
      </c>
      <c r="J1951" s="493">
        <v>3.12</v>
      </c>
      <c r="K1951" s="493">
        <v>423030.0</v>
      </c>
      <c r="L1951" s="493">
        <v>1.4846469E7</v>
      </c>
      <c r="M1951" s="493">
        <v>46.4409</v>
      </c>
      <c r="N1951" s="6">
        <v>124.0193</v>
      </c>
    </row>
    <row r="1952">
      <c r="A1952" s="491" t="s">
        <v>2023</v>
      </c>
      <c r="B1952" s="491" t="s">
        <v>163</v>
      </c>
      <c r="C1952" s="491" t="s">
        <v>75</v>
      </c>
      <c r="D1952" s="491" t="s">
        <v>2018</v>
      </c>
      <c r="E1952" s="492" t="s">
        <v>368</v>
      </c>
      <c r="F1952" s="493">
        <v>9109.0</v>
      </c>
      <c r="G1952" s="493">
        <v>3865.0</v>
      </c>
      <c r="H1952" s="493">
        <v>42.43</v>
      </c>
      <c r="I1952" s="493">
        <v>2.55</v>
      </c>
      <c r="J1952" s="493">
        <v>1.81</v>
      </c>
      <c r="K1952" s="493">
        <v>378190.0</v>
      </c>
      <c r="L1952" s="493">
        <v>1.4846469E7</v>
      </c>
      <c r="M1952" s="493">
        <v>41.5183</v>
      </c>
      <c r="N1952" s="6">
        <v>97.8499</v>
      </c>
    </row>
    <row r="1953">
      <c r="A1953" s="491" t="s">
        <v>2023</v>
      </c>
      <c r="B1953" s="491" t="s">
        <v>163</v>
      </c>
      <c r="C1953" s="491" t="s">
        <v>75</v>
      </c>
      <c r="D1953" s="491" t="s">
        <v>2018</v>
      </c>
      <c r="E1953" s="492" t="s">
        <v>35</v>
      </c>
      <c r="F1953" s="493">
        <v>9109.0</v>
      </c>
      <c r="G1953" s="493">
        <v>2063.0</v>
      </c>
      <c r="H1953" s="493">
        <v>22.65</v>
      </c>
      <c r="I1953" s="493">
        <v>2.35</v>
      </c>
      <c r="J1953" s="493">
        <v>2.39</v>
      </c>
      <c r="K1953" s="493">
        <v>348450.0</v>
      </c>
      <c r="L1953" s="493">
        <v>1.4846469E7</v>
      </c>
      <c r="M1953" s="493">
        <v>38.2534</v>
      </c>
      <c r="N1953" s="6">
        <v>168.9045</v>
      </c>
    </row>
    <row r="1954">
      <c r="A1954" s="491" t="s">
        <v>2023</v>
      </c>
      <c r="B1954" s="491" t="s">
        <v>163</v>
      </c>
      <c r="C1954" s="491" t="s">
        <v>75</v>
      </c>
      <c r="D1954" s="491" t="s">
        <v>2018</v>
      </c>
      <c r="E1954" s="492" t="s">
        <v>189</v>
      </c>
      <c r="F1954" s="493">
        <v>9109.0</v>
      </c>
      <c r="G1954" s="493">
        <v>1534.0</v>
      </c>
      <c r="H1954" s="493">
        <v>16.84</v>
      </c>
      <c r="I1954" s="493">
        <v>1.11</v>
      </c>
      <c r="J1954" s="493">
        <v>1.1</v>
      </c>
      <c r="K1954" s="493">
        <v>164295.0</v>
      </c>
      <c r="L1954" s="493">
        <v>1.4846469E7</v>
      </c>
      <c r="M1954" s="493">
        <v>18.0366</v>
      </c>
      <c r="N1954" s="6">
        <v>107.1023</v>
      </c>
    </row>
    <row r="1955">
      <c r="A1955" s="491" t="s">
        <v>2023</v>
      </c>
      <c r="B1955" s="491" t="s">
        <v>163</v>
      </c>
      <c r="C1955" s="491" t="s">
        <v>75</v>
      </c>
      <c r="D1955" s="491" t="s">
        <v>2018</v>
      </c>
      <c r="E1955" s="492" t="s">
        <v>43</v>
      </c>
      <c r="F1955" s="493">
        <v>9109.0</v>
      </c>
      <c r="G1955" s="493">
        <v>3193.0</v>
      </c>
      <c r="H1955" s="493">
        <v>35.05</v>
      </c>
      <c r="I1955" s="493">
        <v>0.75</v>
      </c>
      <c r="J1955" s="493">
        <v>0.91</v>
      </c>
      <c r="K1955" s="493">
        <v>112020.0</v>
      </c>
      <c r="L1955" s="493">
        <v>1.4846469E7</v>
      </c>
      <c r="M1955" s="493">
        <v>12.2977</v>
      </c>
      <c r="N1955" s="6">
        <v>35.083</v>
      </c>
    </row>
    <row r="1956">
      <c r="A1956" s="491" t="s">
        <v>2023</v>
      </c>
      <c r="B1956" s="491" t="s">
        <v>163</v>
      </c>
      <c r="C1956" s="491" t="s">
        <v>75</v>
      </c>
      <c r="D1956" s="491" t="s">
        <v>2018</v>
      </c>
      <c r="E1956" s="492" t="s">
        <v>370</v>
      </c>
      <c r="F1956" s="493">
        <v>9109.0</v>
      </c>
      <c r="G1956" s="493">
        <v>1837.0</v>
      </c>
      <c r="H1956" s="493">
        <v>20.17</v>
      </c>
      <c r="I1956" s="493">
        <v>0.62</v>
      </c>
      <c r="J1956" s="493">
        <v>0.43</v>
      </c>
      <c r="K1956" s="493">
        <v>92684.0</v>
      </c>
      <c r="L1956" s="493">
        <v>1.4846469E7</v>
      </c>
      <c r="M1956" s="493">
        <v>10.175</v>
      </c>
      <c r="N1956" s="6">
        <v>50.454</v>
      </c>
    </row>
    <row r="1957">
      <c r="A1957" s="491" t="s">
        <v>2023</v>
      </c>
      <c r="B1957" s="491" t="s">
        <v>163</v>
      </c>
      <c r="C1957" s="491" t="s">
        <v>75</v>
      </c>
      <c r="D1957" s="491" t="s">
        <v>2018</v>
      </c>
      <c r="E1957" s="492" t="s">
        <v>365</v>
      </c>
      <c r="F1957" s="493">
        <v>9109.0</v>
      </c>
      <c r="G1957" s="493">
        <v>2190.0</v>
      </c>
      <c r="H1957" s="493">
        <v>24.04</v>
      </c>
      <c r="I1957" s="493">
        <v>0.61</v>
      </c>
      <c r="J1957" s="493">
        <v>0.44</v>
      </c>
      <c r="K1957" s="493">
        <v>90105.0</v>
      </c>
      <c r="L1957" s="493">
        <v>1.4846469E7</v>
      </c>
      <c r="M1957" s="493">
        <v>9.8919</v>
      </c>
      <c r="N1957" s="6">
        <v>41.1438</v>
      </c>
    </row>
    <row r="1958">
      <c r="A1958" s="491" t="s">
        <v>2023</v>
      </c>
      <c r="B1958" s="491" t="s">
        <v>163</v>
      </c>
      <c r="C1958" s="491" t="s">
        <v>75</v>
      </c>
      <c r="D1958" s="491" t="s">
        <v>2018</v>
      </c>
      <c r="E1958" s="492" t="s">
        <v>32</v>
      </c>
      <c r="F1958" s="493">
        <v>9109.0</v>
      </c>
      <c r="G1958" s="493">
        <v>1876.0</v>
      </c>
      <c r="H1958" s="493">
        <v>20.6</v>
      </c>
      <c r="I1958" s="493">
        <v>0.48</v>
      </c>
      <c r="J1958" s="493">
        <v>0.57</v>
      </c>
      <c r="K1958" s="493">
        <v>71390.0</v>
      </c>
      <c r="L1958" s="493">
        <v>1.4846469E7</v>
      </c>
      <c r="M1958" s="493">
        <v>7.8373</v>
      </c>
      <c r="N1958" s="6">
        <v>38.0544</v>
      </c>
    </row>
    <row r="1959">
      <c r="A1959" s="491" t="s">
        <v>2023</v>
      </c>
      <c r="B1959" s="491" t="s">
        <v>163</v>
      </c>
      <c r="C1959" s="491" t="s">
        <v>75</v>
      </c>
      <c r="D1959" s="491" t="s">
        <v>2018</v>
      </c>
      <c r="E1959" s="492" t="s">
        <v>134</v>
      </c>
      <c r="F1959" s="493">
        <v>9109.0</v>
      </c>
      <c r="G1959" s="493">
        <v>884.0</v>
      </c>
      <c r="H1959" s="493">
        <v>9.7</v>
      </c>
      <c r="I1959" s="493">
        <v>0.37</v>
      </c>
      <c r="J1959" s="493">
        <v>0.24</v>
      </c>
      <c r="K1959" s="493">
        <v>55520.0</v>
      </c>
      <c r="L1959" s="493">
        <v>1.4846469E7</v>
      </c>
      <c r="M1959" s="493">
        <v>6.0951</v>
      </c>
      <c r="N1959" s="6">
        <v>62.8054</v>
      </c>
    </row>
    <row r="1960">
      <c r="A1960" s="491" t="s">
        <v>2023</v>
      </c>
      <c r="B1960" s="491" t="s">
        <v>163</v>
      </c>
      <c r="C1960" s="491" t="s">
        <v>75</v>
      </c>
      <c r="D1960" s="491" t="s">
        <v>2018</v>
      </c>
      <c r="E1960" s="492" t="s">
        <v>50</v>
      </c>
      <c r="F1960" s="493">
        <v>9109.0</v>
      </c>
      <c r="G1960" s="493">
        <v>90.0</v>
      </c>
      <c r="H1960" s="493">
        <v>0.99</v>
      </c>
      <c r="I1960" s="493">
        <v>0.03</v>
      </c>
      <c r="J1960" s="493">
        <v>0.06</v>
      </c>
      <c r="K1960" s="493">
        <v>4675.0</v>
      </c>
      <c r="L1960" s="493">
        <v>1.4846469E7</v>
      </c>
      <c r="M1960" s="493">
        <v>0.5132</v>
      </c>
      <c r="N1960" s="6">
        <v>51.9444</v>
      </c>
    </row>
    <row r="1961">
      <c r="A1961" s="491" t="s">
        <v>2023</v>
      </c>
      <c r="B1961" s="491" t="s">
        <v>163</v>
      </c>
      <c r="C1961" s="491" t="s">
        <v>75</v>
      </c>
      <c r="D1961" s="491" t="s">
        <v>2018</v>
      </c>
      <c r="E1961" s="492" t="s">
        <v>42</v>
      </c>
      <c r="F1961" s="493">
        <v>9109.0</v>
      </c>
      <c r="G1961" s="493">
        <v>1.0</v>
      </c>
      <c r="H1961" s="493">
        <v>0.01</v>
      </c>
      <c r="I1961" s="493">
        <v>0.0</v>
      </c>
      <c r="J1961" s="493">
        <v>0.0</v>
      </c>
      <c r="K1961" s="493">
        <v>20.0</v>
      </c>
      <c r="L1961" s="493">
        <v>1.4846469E7</v>
      </c>
      <c r="M1961" s="493">
        <v>0.0022</v>
      </c>
      <c r="N1961" s="6">
        <v>20.0</v>
      </c>
    </row>
    <row r="1962">
      <c r="A1962" s="491" t="s">
        <v>2023</v>
      </c>
      <c r="B1962" s="491" t="s">
        <v>1857</v>
      </c>
      <c r="C1962" s="491" t="s">
        <v>71</v>
      </c>
      <c r="D1962" s="491" t="s">
        <v>565</v>
      </c>
      <c r="E1962" s="492" t="s">
        <v>371</v>
      </c>
      <c r="F1962" s="493">
        <v>4449.0</v>
      </c>
      <c r="G1962" s="493">
        <v>4425.0</v>
      </c>
      <c r="H1962" s="493">
        <v>99.46</v>
      </c>
      <c r="I1962" s="493">
        <v>49.27</v>
      </c>
      <c r="J1962" s="493">
        <v>44.97</v>
      </c>
      <c r="K1962" s="493">
        <v>37127.0</v>
      </c>
      <c r="L1962" s="493">
        <v>75348.0</v>
      </c>
      <c r="M1962" s="493">
        <v>8.345</v>
      </c>
      <c r="N1962" s="6">
        <v>8.3903</v>
      </c>
    </row>
    <row r="1963">
      <c r="A1963" s="491" t="s">
        <v>2023</v>
      </c>
      <c r="B1963" s="491" t="s">
        <v>1857</v>
      </c>
      <c r="C1963" s="491" t="s">
        <v>71</v>
      </c>
      <c r="D1963" s="491" t="s">
        <v>565</v>
      </c>
      <c r="E1963" s="492" t="s">
        <v>372</v>
      </c>
      <c r="F1963" s="493">
        <v>4449.0</v>
      </c>
      <c r="G1963" s="493">
        <v>3114.0</v>
      </c>
      <c r="H1963" s="493">
        <v>69.99</v>
      </c>
      <c r="I1963" s="493">
        <v>14.45</v>
      </c>
      <c r="J1963" s="493">
        <v>16.38</v>
      </c>
      <c r="K1963" s="493">
        <v>10888.0</v>
      </c>
      <c r="L1963" s="493">
        <v>75348.0</v>
      </c>
      <c r="M1963" s="493">
        <v>2.4473</v>
      </c>
      <c r="N1963" s="6">
        <v>3.4965</v>
      </c>
    </row>
    <row r="1964">
      <c r="A1964" s="491" t="s">
        <v>2023</v>
      </c>
      <c r="B1964" s="491" t="s">
        <v>1857</v>
      </c>
      <c r="C1964" s="491" t="s">
        <v>71</v>
      </c>
      <c r="D1964" s="491" t="s">
        <v>565</v>
      </c>
      <c r="E1964" s="492" t="s">
        <v>370</v>
      </c>
      <c r="F1964" s="493">
        <v>4449.0</v>
      </c>
      <c r="G1964" s="493">
        <v>3173.0</v>
      </c>
      <c r="H1964" s="493">
        <v>71.32</v>
      </c>
      <c r="I1964" s="493">
        <v>10.15</v>
      </c>
      <c r="J1964" s="493">
        <v>10.41</v>
      </c>
      <c r="K1964" s="493">
        <v>7649.0</v>
      </c>
      <c r="L1964" s="493">
        <v>75348.0</v>
      </c>
      <c r="M1964" s="493">
        <v>1.7193</v>
      </c>
      <c r="N1964" s="6">
        <v>2.4107</v>
      </c>
    </row>
    <row r="1965">
      <c r="A1965" s="491" t="s">
        <v>2023</v>
      </c>
      <c r="B1965" s="491" t="s">
        <v>1857</v>
      </c>
      <c r="C1965" s="491" t="s">
        <v>71</v>
      </c>
      <c r="D1965" s="491" t="s">
        <v>565</v>
      </c>
      <c r="E1965" s="492" t="s">
        <v>366</v>
      </c>
      <c r="F1965" s="493">
        <v>4449.0</v>
      </c>
      <c r="G1965" s="493">
        <v>2881.0</v>
      </c>
      <c r="H1965" s="493">
        <v>64.76</v>
      </c>
      <c r="I1965" s="493">
        <v>7.87</v>
      </c>
      <c r="J1965" s="493">
        <v>9.74</v>
      </c>
      <c r="K1965" s="493">
        <v>5930.0</v>
      </c>
      <c r="L1965" s="493">
        <v>75348.0</v>
      </c>
      <c r="M1965" s="493">
        <v>1.3329</v>
      </c>
      <c r="N1965" s="6">
        <v>2.0583</v>
      </c>
    </row>
    <row r="1966">
      <c r="A1966" s="491" t="s">
        <v>2023</v>
      </c>
      <c r="B1966" s="491" t="s">
        <v>1857</v>
      </c>
      <c r="C1966" s="491" t="s">
        <v>71</v>
      </c>
      <c r="D1966" s="491" t="s">
        <v>565</v>
      </c>
      <c r="E1966" s="492" t="s">
        <v>49</v>
      </c>
      <c r="F1966" s="493">
        <v>4449.0</v>
      </c>
      <c r="G1966" s="493">
        <v>2359.0</v>
      </c>
      <c r="H1966" s="493">
        <v>53.02</v>
      </c>
      <c r="I1966" s="493">
        <v>6.0</v>
      </c>
      <c r="J1966" s="493">
        <v>6.04</v>
      </c>
      <c r="K1966" s="493">
        <v>4518.0</v>
      </c>
      <c r="L1966" s="493">
        <v>75348.0</v>
      </c>
      <c r="M1966" s="493">
        <v>1.0155</v>
      </c>
      <c r="N1966" s="6">
        <v>1.9152</v>
      </c>
    </row>
    <row r="1967">
      <c r="A1967" s="491" t="s">
        <v>2023</v>
      </c>
      <c r="B1967" s="491" t="s">
        <v>1857</v>
      </c>
      <c r="C1967" s="491" t="s">
        <v>71</v>
      </c>
      <c r="D1967" s="491" t="s">
        <v>565</v>
      </c>
      <c r="E1967" s="492" t="s">
        <v>44</v>
      </c>
      <c r="F1967" s="493">
        <v>4449.0</v>
      </c>
      <c r="G1967" s="493">
        <v>2431.0</v>
      </c>
      <c r="H1967" s="493">
        <v>54.64</v>
      </c>
      <c r="I1967" s="493">
        <v>4.13</v>
      </c>
      <c r="J1967" s="493">
        <v>4.94</v>
      </c>
      <c r="K1967" s="493">
        <v>3114.0</v>
      </c>
      <c r="L1967" s="493">
        <v>75348.0</v>
      </c>
      <c r="M1967" s="493">
        <v>0.6999</v>
      </c>
      <c r="N1967" s="6">
        <v>1.281</v>
      </c>
    </row>
    <row r="1968">
      <c r="A1968" s="491" t="s">
        <v>2023</v>
      </c>
      <c r="B1968" s="491" t="s">
        <v>1857</v>
      </c>
      <c r="C1968" s="491" t="s">
        <v>71</v>
      </c>
      <c r="D1968" s="491" t="s">
        <v>565</v>
      </c>
      <c r="E1968" s="492" t="s">
        <v>134</v>
      </c>
      <c r="F1968" s="493">
        <v>4449.0</v>
      </c>
      <c r="G1968" s="493">
        <v>923.0</v>
      </c>
      <c r="H1968" s="493">
        <v>20.75</v>
      </c>
      <c r="I1968" s="493">
        <v>2.89</v>
      </c>
      <c r="J1968" s="493">
        <v>2.28</v>
      </c>
      <c r="K1968" s="493">
        <v>2175.0</v>
      </c>
      <c r="L1968" s="493">
        <v>75348.0</v>
      </c>
      <c r="M1968" s="493">
        <v>0.4889</v>
      </c>
      <c r="N1968" s="6">
        <v>2.3564</v>
      </c>
    </row>
    <row r="1969">
      <c r="A1969" s="491" t="s">
        <v>2023</v>
      </c>
      <c r="B1969" s="491" t="s">
        <v>1857</v>
      </c>
      <c r="C1969" s="491" t="s">
        <v>71</v>
      </c>
      <c r="D1969" s="491" t="s">
        <v>565</v>
      </c>
      <c r="E1969" s="492" t="s">
        <v>42</v>
      </c>
      <c r="F1969" s="493">
        <v>4449.0</v>
      </c>
      <c r="G1969" s="493">
        <v>1053.0</v>
      </c>
      <c r="H1969" s="493">
        <v>23.67</v>
      </c>
      <c r="I1969" s="493">
        <v>1.82</v>
      </c>
      <c r="J1969" s="493">
        <v>1.86</v>
      </c>
      <c r="K1969" s="493">
        <v>1375.0</v>
      </c>
      <c r="L1969" s="493">
        <v>75348.0</v>
      </c>
      <c r="M1969" s="493">
        <v>0.3091</v>
      </c>
      <c r="N1969" s="6">
        <v>1.3058</v>
      </c>
    </row>
    <row r="1970">
      <c r="A1970" s="491" t="s">
        <v>2023</v>
      </c>
      <c r="B1970" s="491" t="s">
        <v>1857</v>
      </c>
      <c r="C1970" s="491" t="s">
        <v>71</v>
      </c>
      <c r="D1970" s="491" t="s">
        <v>565</v>
      </c>
      <c r="E1970" s="492" t="s">
        <v>369</v>
      </c>
      <c r="F1970" s="493">
        <v>4449.0</v>
      </c>
      <c r="G1970" s="493">
        <v>957.0</v>
      </c>
      <c r="H1970" s="493">
        <v>21.51</v>
      </c>
      <c r="I1970" s="493">
        <v>1.39</v>
      </c>
      <c r="J1970" s="493">
        <v>1.3</v>
      </c>
      <c r="K1970" s="493">
        <v>1048.0</v>
      </c>
      <c r="L1970" s="493">
        <v>75348.0</v>
      </c>
      <c r="M1970" s="493">
        <v>0.2356</v>
      </c>
      <c r="N1970" s="6">
        <v>1.0951</v>
      </c>
    </row>
    <row r="1971">
      <c r="A1971" s="491" t="s">
        <v>2023</v>
      </c>
      <c r="B1971" s="491" t="s">
        <v>1857</v>
      </c>
      <c r="C1971" s="491" t="s">
        <v>71</v>
      </c>
      <c r="D1971" s="491" t="s">
        <v>565</v>
      </c>
      <c r="E1971" s="492" t="s">
        <v>35</v>
      </c>
      <c r="F1971" s="493">
        <v>4449.0</v>
      </c>
      <c r="G1971" s="493">
        <v>596.0</v>
      </c>
      <c r="H1971" s="493">
        <v>13.4</v>
      </c>
      <c r="I1971" s="493">
        <v>0.82</v>
      </c>
      <c r="J1971" s="493">
        <v>0.94</v>
      </c>
      <c r="K1971" s="493">
        <v>619.0</v>
      </c>
      <c r="L1971" s="493">
        <v>75348.0</v>
      </c>
      <c r="M1971" s="493">
        <v>0.1391</v>
      </c>
      <c r="N1971" s="6">
        <v>1.0386</v>
      </c>
    </row>
    <row r="1972">
      <c r="A1972" s="491" t="s">
        <v>2023</v>
      </c>
      <c r="B1972" s="491" t="s">
        <v>1857</v>
      </c>
      <c r="C1972" s="491" t="s">
        <v>71</v>
      </c>
      <c r="D1972" s="491" t="s">
        <v>565</v>
      </c>
      <c r="E1972" s="492" t="s">
        <v>50</v>
      </c>
      <c r="F1972" s="493">
        <v>4449.0</v>
      </c>
      <c r="G1972" s="493">
        <v>440.0</v>
      </c>
      <c r="H1972" s="493">
        <v>9.89</v>
      </c>
      <c r="I1972" s="493">
        <v>0.68</v>
      </c>
      <c r="J1972" s="493">
        <v>0.68</v>
      </c>
      <c r="K1972" s="493">
        <v>511.0</v>
      </c>
      <c r="L1972" s="493">
        <v>75348.0</v>
      </c>
      <c r="M1972" s="493">
        <v>0.1149</v>
      </c>
      <c r="N1972" s="6">
        <v>1.1614</v>
      </c>
    </row>
    <row r="1973">
      <c r="A1973" s="491" t="s">
        <v>2023</v>
      </c>
      <c r="B1973" s="491" t="s">
        <v>1857</v>
      </c>
      <c r="C1973" s="491" t="s">
        <v>71</v>
      </c>
      <c r="D1973" s="491" t="s">
        <v>565</v>
      </c>
      <c r="E1973" s="492" t="s">
        <v>189</v>
      </c>
      <c r="F1973" s="493">
        <v>4449.0</v>
      </c>
      <c r="G1973" s="493">
        <v>351.0</v>
      </c>
      <c r="H1973" s="493">
        <v>7.89</v>
      </c>
      <c r="I1973" s="493">
        <v>0.47</v>
      </c>
      <c r="J1973" s="493">
        <v>0.38</v>
      </c>
      <c r="K1973" s="493">
        <v>355.0</v>
      </c>
      <c r="L1973" s="493">
        <v>75348.0</v>
      </c>
      <c r="M1973" s="493">
        <v>0.0798</v>
      </c>
      <c r="N1973" s="6">
        <v>1.0114</v>
      </c>
    </row>
    <row r="1974">
      <c r="A1974" s="491" t="s">
        <v>2023</v>
      </c>
      <c r="B1974" s="491" t="s">
        <v>1857</v>
      </c>
      <c r="C1974" s="491" t="s">
        <v>71</v>
      </c>
      <c r="D1974" s="491" t="s">
        <v>565</v>
      </c>
      <c r="E1974" s="492" t="s">
        <v>43</v>
      </c>
      <c r="F1974" s="493">
        <v>4449.0</v>
      </c>
      <c r="G1974" s="493">
        <v>36.0</v>
      </c>
      <c r="H1974" s="493">
        <v>0.81</v>
      </c>
      <c r="I1974" s="493">
        <v>0.05</v>
      </c>
      <c r="J1974" s="493">
        <v>0.07</v>
      </c>
      <c r="K1974" s="493">
        <v>36.0</v>
      </c>
      <c r="L1974" s="493">
        <v>75348.0</v>
      </c>
      <c r="M1974" s="493">
        <v>0.0081</v>
      </c>
      <c r="N1974" s="6">
        <v>1.0</v>
      </c>
    </row>
    <row r="1975">
      <c r="A1975" s="491" t="s">
        <v>2023</v>
      </c>
      <c r="B1975" s="491" t="s">
        <v>1857</v>
      </c>
      <c r="C1975" s="491" t="s">
        <v>71</v>
      </c>
      <c r="D1975" s="491" t="s">
        <v>565</v>
      </c>
      <c r="E1975" s="492" t="s">
        <v>312</v>
      </c>
      <c r="F1975" s="493">
        <v>4449.0</v>
      </c>
      <c r="G1975" s="493">
        <v>1.0</v>
      </c>
      <c r="H1975" s="493">
        <v>0.02</v>
      </c>
      <c r="I1975" s="493">
        <v>0.0</v>
      </c>
      <c r="J1975" s="493">
        <v>0.0</v>
      </c>
      <c r="K1975" s="493">
        <v>1.0</v>
      </c>
      <c r="L1975" s="493">
        <v>75348.0</v>
      </c>
      <c r="M1975" s="493">
        <v>2.0E-4</v>
      </c>
      <c r="N1975" s="6">
        <v>1.0</v>
      </c>
    </row>
    <row r="1976">
      <c r="A1976" s="491" t="s">
        <v>2023</v>
      </c>
      <c r="B1976" s="491" t="s">
        <v>1857</v>
      </c>
      <c r="C1976" s="491" t="s">
        <v>71</v>
      </c>
      <c r="D1976" s="491" t="s">
        <v>565</v>
      </c>
      <c r="E1976" s="492" t="s">
        <v>365</v>
      </c>
      <c r="F1976" s="493">
        <v>4449.0</v>
      </c>
      <c r="G1976" s="493">
        <v>2.0</v>
      </c>
      <c r="H1976" s="493">
        <v>0.04</v>
      </c>
      <c r="I1976" s="493">
        <v>0.0</v>
      </c>
      <c r="J1976" s="493">
        <v>0.01</v>
      </c>
      <c r="K1976" s="493">
        <v>2.0</v>
      </c>
      <c r="L1976" s="493">
        <v>75348.0</v>
      </c>
      <c r="M1976" s="493">
        <v>4.0E-4</v>
      </c>
      <c r="N1976" s="6">
        <v>1.0</v>
      </c>
    </row>
    <row r="1977">
      <c r="A1977" s="491" t="s">
        <v>2023</v>
      </c>
      <c r="B1977" s="491" t="s">
        <v>1857</v>
      </c>
      <c r="C1977" s="491" t="s">
        <v>70</v>
      </c>
      <c r="D1977" s="491" t="s">
        <v>565</v>
      </c>
      <c r="E1977" s="492" t="s">
        <v>371</v>
      </c>
      <c r="F1977" s="493">
        <v>4458.0</v>
      </c>
      <c r="G1977" s="493">
        <v>4450.0</v>
      </c>
      <c r="H1977" s="493">
        <v>99.82</v>
      </c>
      <c r="I1977" s="493">
        <v>57.91</v>
      </c>
      <c r="J1977" s="493">
        <v>53.91</v>
      </c>
      <c r="K1977" s="493">
        <v>68298.0</v>
      </c>
      <c r="L1977" s="493">
        <v>117945.0</v>
      </c>
      <c r="M1977" s="493">
        <v>15.3203</v>
      </c>
      <c r="N1977" s="6">
        <v>15.3479</v>
      </c>
    </row>
    <row r="1978">
      <c r="A1978" s="491" t="s">
        <v>2023</v>
      </c>
      <c r="B1978" s="491" t="s">
        <v>1857</v>
      </c>
      <c r="C1978" s="491" t="s">
        <v>70</v>
      </c>
      <c r="D1978" s="491" t="s">
        <v>565</v>
      </c>
      <c r="E1978" s="492" t="s">
        <v>372</v>
      </c>
      <c r="F1978" s="493">
        <v>4458.0</v>
      </c>
      <c r="G1978" s="493">
        <v>3459.0</v>
      </c>
      <c r="H1978" s="493">
        <v>77.59</v>
      </c>
      <c r="I1978" s="493">
        <v>14.76</v>
      </c>
      <c r="J1978" s="493">
        <v>18.19</v>
      </c>
      <c r="K1978" s="493">
        <v>17404.0</v>
      </c>
      <c r="L1978" s="493">
        <v>117945.0</v>
      </c>
      <c r="M1978" s="493">
        <v>3.904</v>
      </c>
      <c r="N1978" s="6">
        <v>5.0315</v>
      </c>
    </row>
    <row r="1979">
      <c r="A1979" s="491" t="s">
        <v>2023</v>
      </c>
      <c r="B1979" s="491" t="s">
        <v>1857</v>
      </c>
      <c r="C1979" s="491" t="s">
        <v>70</v>
      </c>
      <c r="D1979" s="491" t="s">
        <v>565</v>
      </c>
      <c r="E1979" s="492" t="s">
        <v>366</v>
      </c>
      <c r="F1979" s="493">
        <v>4458.0</v>
      </c>
      <c r="G1979" s="493">
        <v>2830.0</v>
      </c>
      <c r="H1979" s="493">
        <v>63.48</v>
      </c>
      <c r="I1979" s="493">
        <v>6.68</v>
      </c>
      <c r="J1979" s="493">
        <v>6.6</v>
      </c>
      <c r="K1979" s="493">
        <v>7874.0</v>
      </c>
      <c r="L1979" s="493">
        <v>117945.0</v>
      </c>
      <c r="M1979" s="493">
        <v>1.7663</v>
      </c>
      <c r="N1979" s="6">
        <v>2.7823</v>
      </c>
    </row>
    <row r="1980">
      <c r="A1980" s="491" t="s">
        <v>2023</v>
      </c>
      <c r="B1980" s="491" t="s">
        <v>1857</v>
      </c>
      <c r="C1980" s="491" t="s">
        <v>70</v>
      </c>
      <c r="D1980" s="491" t="s">
        <v>565</v>
      </c>
      <c r="E1980" s="492" t="s">
        <v>370</v>
      </c>
      <c r="F1980" s="493">
        <v>4458.0</v>
      </c>
      <c r="G1980" s="493">
        <v>3175.0</v>
      </c>
      <c r="H1980" s="493">
        <v>71.22</v>
      </c>
      <c r="I1980" s="493">
        <v>6.51</v>
      </c>
      <c r="J1980" s="493">
        <v>6.15</v>
      </c>
      <c r="K1980" s="493">
        <v>7673.0</v>
      </c>
      <c r="L1980" s="493">
        <v>117945.0</v>
      </c>
      <c r="M1980" s="493">
        <v>1.7212</v>
      </c>
      <c r="N1980" s="6">
        <v>2.4167</v>
      </c>
    </row>
    <row r="1981">
      <c r="A1981" s="491" t="s">
        <v>2023</v>
      </c>
      <c r="B1981" s="491" t="s">
        <v>1857</v>
      </c>
      <c r="C1981" s="491" t="s">
        <v>70</v>
      </c>
      <c r="D1981" s="491" t="s">
        <v>565</v>
      </c>
      <c r="E1981" s="492" t="s">
        <v>49</v>
      </c>
      <c r="F1981" s="493">
        <v>4458.0</v>
      </c>
      <c r="G1981" s="493">
        <v>2359.0</v>
      </c>
      <c r="H1981" s="493">
        <v>52.92</v>
      </c>
      <c r="I1981" s="493">
        <v>3.83</v>
      </c>
      <c r="J1981" s="493">
        <v>3.66</v>
      </c>
      <c r="K1981" s="493">
        <v>4518.0</v>
      </c>
      <c r="L1981" s="493">
        <v>117945.0</v>
      </c>
      <c r="M1981" s="493">
        <v>1.0135</v>
      </c>
      <c r="N1981" s="6">
        <v>1.9152</v>
      </c>
    </row>
    <row r="1982">
      <c r="A1982" s="491" t="s">
        <v>2023</v>
      </c>
      <c r="B1982" s="491" t="s">
        <v>1857</v>
      </c>
      <c r="C1982" s="491" t="s">
        <v>70</v>
      </c>
      <c r="D1982" s="491" t="s">
        <v>565</v>
      </c>
      <c r="E1982" s="492" t="s">
        <v>368</v>
      </c>
      <c r="F1982" s="493">
        <v>4458.0</v>
      </c>
      <c r="G1982" s="493">
        <v>1563.0</v>
      </c>
      <c r="H1982" s="493">
        <v>35.06</v>
      </c>
      <c r="I1982" s="493">
        <v>3.44</v>
      </c>
      <c r="J1982" s="493">
        <v>3.94</v>
      </c>
      <c r="K1982" s="493">
        <v>4058.0</v>
      </c>
      <c r="L1982" s="493">
        <v>117945.0</v>
      </c>
      <c r="M1982" s="493">
        <v>0.9103</v>
      </c>
      <c r="N1982" s="6">
        <v>2.5963</v>
      </c>
    </row>
    <row r="1983">
      <c r="A1983" s="491" t="s">
        <v>2023</v>
      </c>
      <c r="B1983" s="491" t="s">
        <v>1857</v>
      </c>
      <c r="C1983" s="491" t="s">
        <v>70</v>
      </c>
      <c r="D1983" s="491" t="s">
        <v>565</v>
      </c>
      <c r="E1983" s="492" t="s">
        <v>44</v>
      </c>
      <c r="F1983" s="493">
        <v>4458.0</v>
      </c>
      <c r="G1983" s="493">
        <v>2494.0</v>
      </c>
      <c r="H1983" s="493">
        <v>55.94</v>
      </c>
      <c r="I1983" s="493">
        <v>2.74</v>
      </c>
      <c r="J1983" s="493">
        <v>3.04</v>
      </c>
      <c r="K1983" s="493">
        <v>3227.0</v>
      </c>
      <c r="L1983" s="493">
        <v>117945.0</v>
      </c>
      <c r="M1983" s="493">
        <v>0.7239</v>
      </c>
      <c r="N1983" s="6">
        <v>1.2939</v>
      </c>
    </row>
    <row r="1984">
      <c r="A1984" s="491" t="s">
        <v>2023</v>
      </c>
      <c r="B1984" s="491" t="s">
        <v>1857</v>
      </c>
      <c r="C1984" s="491" t="s">
        <v>70</v>
      </c>
      <c r="D1984" s="491" t="s">
        <v>565</v>
      </c>
      <c r="E1984" s="492" t="s">
        <v>369</v>
      </c>
      <c r="F1984" s="493">
        <v>4458.0</v>
      </c>
      <c r="G1984" s="493">
        <v>1629.0</v>
      </c>
      <c r="H1984" s="493">
        <v>36.54</v>
      </c>
      <c r="I1984" s="493">
        <v>1.57</v>
      </c>
      <c r="J1984" s="493">
        <v>1.82</v>
      </c>
      <c r="K1984" s="493">
        <v>1850.0</v>
      </c>
      <c r="L1984" s="493">
        <v>117945.0</v>
      </c>
      <c r="M1984" s="493">
        <v>0.415</v>
      </c>
      <c r="N1984" s="6">
        <v>1.1357</v>
      </c>
    </row>
    <row r="1985">
      <c r="A1985" s="491" t="s">
        <v>2023</v>
      </c>
      <c r="B1985" s="491" t="s">
        <v>1857</v>
      </c>
      <c r="C1985" s="491" t="s">
        <v>70</v>
      </c>
      <c r="D1985" s="491" t="s">
        <v>565</v>
      </c>
      <c r="E1985" s="492" t="s">
        <v>134</v>
      </c>
      <c r="F1985" s="493">
        <v>4458.0</v>
      </c>
      <c r="G1985" s="493">
        <v>631.0</v>
      </c>
      <c r="H1985" s="493">
        <v>14.15</v>
      </c>
      <c r="I1985" s="493">
        <v>0.9</v>
      </c>
      <c r="J1985" s="493">
        <v>0.78</v>
      </c>
      <c r="K1985" s="493">
        <v>1065.0</v>
      </c>
      <c r="L1985" s="493">
        <v>117945.0</v>
      </c>
      <c r="M1985" s="493">
        <v>0.2389</v>
      </c>
      <c r="N1985" s="6">
        <v>1.6878</v>
      </c>
    </row>
    <row r="1986">
      <c r="A1986" s="491" t="s">
        <v>2023</v>
      </c>
      <c r="B1986" s="491" t="s">
        <v>1857</v>
      </c>
      <c r="C1986" s="491" t="s">
        <v>70</v>
      </c>
      <c r="D1986" s="491" t="s">
        <v>565</v>
      </c>
      <c r="E1986" s="492" t="s">
        <v>35</v>
      </c>
      <c r="F1986" s="493">
        <v>4458.0</v>
      </c>
      <c r="G1986" s="493">
        <v>763.0</v>
      </c>
      <c r="H1986" s="493">
        <v>17.12</v>
      </c>
      <c r="I1986" s="493">
        <v>0.66</v>
      </c>
      <c r="J1986" s="493">
        <v>0.8</v>
      </c>
      <c r="K1986" s="493">
        <v>775.0</v>
      </c>
      <c r="L1986" s="493">
        <v>117945.0</v>
      </c>
      <c r="M1986" s="493">
        <v>0.1738</v>
      </c>
      <c r="N1986" s="6">
        <v>1.0157</v>
      </c>
    </row>
    <row r="1987">
      <c r="A1987" s="491" t="s">
        <v>2023</v>
      </c>
      <c r="B1987" s="491" t="s">
        <v>1857</v>
      </c>
      <c r="C1987" s="491" t="s">
        <v>70</v>
      </c>
      <c r="D1987" s="491" t="s">
        <v>565</v>
      </c>
      <c r="E1987" s="492" t="s">
        <v>189</v>
      </c>
      <c r="F1987" s="493">
        <v>4458.0</v>
      </c>
      <c r="G1987" s="493">
        <v>690.0</v>
      </c>
      <c r="H1987" s="493">
        <v>15.48</v>
      </c>
      <c r="I1987" s="493">
        <v>0.59</v>
      </c>
      <c r="J1987" s="493">
        <v>0.7</v>
      </c>
      <c r="K1987" s="493">
        <v>697.0</v>
      </c>
      <c r="L1987" s="493">
        <v>117945.0</v>
      </c>
      <c r="M1987" s="493">
        <v>0.1563</v>
      </c>
      <c r="N1987" s="6">
        <v>1.0101</v>
      </c>
    </row>
    <row r="1988">
      <c r="A1988" s="491" t="s">
        <v>2023</v>
      </c>
      <c r="B1988" s="491" t="s">
        <v>1857</v>
      </c>
      <c r="C1988" s="491" t="s">
        <v>70</v>
      </c>
      <c r="D1988" s="491" t="s">
        <v>565</v>
      </c>
      <c r="E1988" s="492" t="s">
        <v>42</v>
      </c>
      <c r="F1988" s="493">
        <v>4458.0</v>
      </c>
      <c r="G1988" s="493">
        <v>224.0</v>
      </c>
      <c r="H1988" s="493">
        <v>5.02</v>
      </c>
      <c r="I1988" s="493">
        <v>0.2</v>
      </c>
      <c r="J1988" s="493">
        <v>0.22</v>
      </c>
      <c r="K1988" s="493">
        <v>237.0</v>
      </c>
      <c r="L1988" s="493">
        <v>117945.0</v>
      </c>
      <c r="M1988" s="493">
        <v>0.0532</v>
      </c>
      <c r="N1988" s="6">
        <v>1.058</v>
      </c>
    </row>
    <row r="1989">
      <c r="A1989" s="491" t="s">
        <v>2023</v>
      </c>
      <c r="B1989" s="491" t="s">
        <v>1857</v>
      </c>
      <c r="C1989" s="491" t="s">
        <v>70</v>
      </c>
      <c r="D1989" s="491" t="s">
        <v>565</v>
      </c>
      <c r="E1989" s="492" t="s">
        <v>50</v>
      </c>
      <c r="F1989" s="493">
        <v>4458.0</v>
      </c>
      <c r="G1989" s="493">
        <v>204.0</v>
      </c>
      <c r="H1989" s="493">
        <v>4.58</v>
      </c>
      <c r="I1989" s="493">
        <v>0.2</v>
      </c>
      <c r="J1989" s="493">
        <v>0.16</v>
      </c>
      <c r="K1989" s="493">
        <v>231.0</v>
      </c>
      <c r="L1989" s="493">
        <v>117945.0</v>
      </c>
      <c r="M1989" s="493">
        <v>0.0518</v>
      </c>
      <c r="N1989" s="6">
        <v>1.1324</v>
      </c>
    </row>
    <row r="1990">
      <c r="A1990" s="491" t="s">
        <v>2023</v>
      </c>
      <c r="B1990" s="491" t="s">
        <v>1857</v>
      </c>
      <c r="C1990" s="491" t="s">
        <v>70</v>
      </c>
      <c r="D1990" s="491" t="s">
        <v>565</v>
      </c>
      <c r="E1990" s="492" t="s">
        <v>43</v>
      </c>
      <c r="F1990" s="493">
        <v>4458.0</v>
      </c>
      <c r="G1990" s="493">
        <v>28.0</v>
      </c>
      <c r="H1990" s="493">
        <v>0.63</v>
      </c>
      <c r="I1990" s="493">
        <v>0.02</v>
      </c>
      <c r="J1990" s="493">
        <v>0.03</v>
      </c>
      <c r="K1990" s="493">
        <v>29.0</v>
      </c>
      <c r="L1990" s="493">
        <v>117945.0</v>
      </c>
      <c r="M1990" s="493">
        <v>0.0065</v>
      </c>
      <c r="N1990" s="6">
        <v>1.0357</v>
      </c>
    </row>
    <row r="1991">
      <c r="A1991" s="491" t="s">
        <v>2023</v>
      </c>
      <c r="B1991" s="491" t="s">
        <v>1857</v>
      </c>
      <c r="C1991" s="491" t="s">
        <v>70</v>
      </c>
      <c r="D1991" s="491" t="s">
        <v>565</v>
      </c>
      <c r="E1991" s="492" t="s">
        <v>365</v>
      </c>
      <c r="F1991" s="493">
        <v>4458.0</v>
      </c>
      <c r="G1991" s="493">
        <v>7.0</v>
      </c>
      <c r="H1991" s="493">
        <v>0.16</v>
      </c>
      <c r="I1991" s="493">
        <v>0.01</v>
      </c>
      <c r="J1991" s="493">
        <v>0.01</v>
      </c>
      <c r="K1991" s="493">
        <v>7.0</v>
      </c>
      <c r="L1991" s="493">
        <v>117945.0</v>
      </c>
      <c r="M1991" s="493">
        <v>0.0016</v>
      </c>
      <c r="N1991" s="6">
        <v>1.0</v>
      </c>
    </row>
    <row r="1992">
      <c r="A1992" s="491" t="s">
        <v>2023</v>
      </c>
      <c r="B1992" s="491" t="s">
        <v>1857</v>
      </c>
      <c r="C1992" s="491" t="s">
        <v>70</v>
      </c>
      <c r="D1992" s="491" t="s">
        <v>565</v>
      </c>
      <c r="E1992" s="492" t="s">
        <v>32</v>
      </c>
      <c r="F1992" s="493">
        <v>4458.0</v>
      </c>
      <c r="G1992" s="493">
        <v>2.0</v>
      </c>
      <c r="H1992" s="493">
        <v>0.04</v>
      </c>
      <c r="I1992" s="493">
        <v>0.0</v>
      </c>
      <c r="J1992" s="493">
        <v>0.0</v>
      </c>
      <c r="K1992" s="493">
        <v>2.0</v>
      </c>
      <c r="L1992" s="493">
        <v>117945.0</v>
      </c>
      <c r="M1992" s="493">
        <v>4.0E-4</v>
      </c>
      <c r="N1992" s="6">
        <v>1.0</v>
      </c>
    </row>
    <row r="1993">
      <c r="A1993" s="491" t="s">
        <v>2023</v>
      </c>
      <c r="B1993" s="491" t="s">
        <v>1857</v>
      </c>
      <c r="C1993" s="491" t="s">
        <v>74</v>
      </c>
      <c r="D1993" s="491" t="s">
        <v>565</v>
      </c>
      <c r="E1993" s="492" t="s">
        <v>371</v>
      </c>
      <c r="F1993" s="493">
        <v>4452.0</v>
      </c>
      <c r="G1993" s="493">
        <v>4430.0</v>
      </c>
      <c r="H1993" s="493">
        <v>99.51</v>
      </c>
      <c r="I1993" s="493">
        <v>44.52</v>
      </c>
      <c r="J1993" s="493">
        <v>47.76</v>
      </c>
      <c r="K1993" s="493">
        <v>28313.0</v>
      </c>
      <c r="L1993" s="493">
        <v>63590.0</v>
      </c>
      <c r="M1993" s="493">
        <v>6.3596</v>
      </c>
      <c r="N1993" s="6">
        <v>6.3912</v>
      </c>
    </row>
    <row r="1994">
      <c r="A1994" s="491" t="s">
        <v>2023</v>
      </c>
      <c r="B1994" s="491" t="s">
        <v>1857</v>
      </c>
      <c r="C1994" s="491" t="s">
        <v>74</v>
      </c>
      <c r="D1994" s="491" t="s">
        <v>565</v>
      </c>
      <c r="E1994" s="492" t="s">
        <v>366</v>
      </c>
      <c r="F1994" s="493">
        <v>4452.0</v>
      </c>
      <c r="G1994" s="493">
        <v>2847.0</v>
      </c>
      <c r="H1994" s="493">
        <v>63.95</v>
      </c>
      <c r="I1994" s="493">
        <v>9.8</v>
      </c>
      <c r="J1994" s="493">
        <v>10.54</v>
      </c>
      <c r="K1994" s="493">
        <v>6234.0</v>
      </c>
      <c r="L1994" s="493">
        <v>63590.0</v>
      </c>
      <c r="M1994" s="493">
        <v>1.4003</v>
      </c>
      <c r="N1994" s="6">
        <v>2.1897</v>
      </c>
    </row>
    <row r="1995">
      <c r="A1995" s="491" t="s">
        <v>2023</v>
      </c>
      <c r="B1995" s="491" t="s">
        <v>1857</v>
      </c>
      <c r="C1995" s="491" t="s">
        <v>74</v>
      </c>
      <c r="D1995" s="491" t="s">
        <v>565</v>
      </c>
      <c r="E1995" s="492" t="s">
        <v>134</v>
      </c>
      <c r="F1995" s="493">
        <v>4452.0</v>
      </c>
      <c r="G1995" s="493">
        <v>1349.0</v>
      </c>
      <c r="H1995" s="493">
        <v>30.3</v>
      </c>
      <c r="I1995" s="493">
        <v>7.51</v>
      </c>
      <c r="J1995" s="493">
        <v>5.87</v>
      </c>
      <c r="K1995" s="493">
        <v>4775.0</v>
      </c>
      <c r="L1995" s="493">
        <v>63590.0</v>
      </c>
      <c r="M1995" s="493">
        <v>1.0726</v>
      </c>
      <c r="N1995" s="6">
        <v>3.5397</v>
      </c>
    </row>
    <row r="1996">
      <c r="A1996" s="491" t="s">
        <v>2023</v>
      </c>
      <c r="B1996" s="491" t="s">
        <v>1857</v>
      </c>
      <c r="C1996" s="491" t="s">
        <v>74</v>
      </c>
      <c r="D1996" s="491" t="s">
        <v>565</v>
      </c>
      <c r="E1996" s="492" t="s">
        <v>370</v>
      </c>
      <c r="F1996" s="493">
        <v>4452.0</v>
      </c>
      <c r="G1996" s="493">
        <v>1800.0</v>
      </c>
      <c r="H1996" s="493">
        <v>40.43</v>
      </c>
      <c r="I1996" s="493">
        <v>6.54</v>
      </c>
      <c r="J1996" s="493">
        <v>4.86</v>
      </c>
      <c r="K1996" s="493">
        <v>4157.0</v>
      </c>
      <c r="L1996" s="493">
        <v>63590.0</v>
      </c>
      <c r="M1996" s="493">
        <v>0.9337</v>
      </c>
      <c r="N1996" s="6">
        <v>2.3094</v>
      </c>
    </row>
    <row r="1997">
      <c r="A1997" s="491" t="s">
        <v>2023</v>
      </c>
      <c r="B1997" s="491" t="s">
        <v>1857</v>
      </c>
      <c r="C1997" s="491" t="s">
        <v>74</v>
      </c>
      <c r="D1997" s="491" t="s">
        <v>565</v>
      </c>
      <c r="E1997" s="492" t="s">
        <v>372</v>
      </c>
      <c r="F1997" s="493">
        <v>4452.0</v>
      </c>
      <c r="G1997" s="493">
        <v>1228.0</v>
      </c>
      <c r="H1997" s="493">
        <v>27.58</v>
      </c>
      <c r="I1997" s="493">
        <v>6.36</v>
      </c>
      <c r="J1997" s="493">
        <v>6.53</v>
      </c>
      <c r="K1997" s="493">
        <v>4044.0</v>
      </c>
      <c r="L1997" s="493">
        <v>63590.0</v>
      </c>
      <c r="M1997" s="493">
        <v>0.9084</v>
      </c>
      <c r="N1997" s="6">
        <v>3.2932</v>
      </c>
    </row>
    <row r="1998">
      <c r="A1998" s="491" t="s">
        <v>2023</v>
      </c>
      <c r="B1998" s="491" t="s">
        <v>1857</v>
      </c>
      <c r="C1998" s="491" t="s">
        <v>74</v>
      </c>
      <c r="D1998" s="491" t="s">
        <v>565</v>
      </c>
      <c r="E1998" s="492" t="s">
        <v>42</v>
      </c>
      <c r="F1998" s="493">
        <v>4452.0</v>
      </c>
      <c r="G1998" s="493">
        <v>1379.0</v>
      </c>
      <c r="H1998" s="493">
        <v>30.97</v>
      </c>
      <c r="I1998" s="493">
        <v>4.66</v>
      </c>
      <c r="J1998" s="493">
        <v>4.46</v>
      </c>
      <c r="K1998" s="493">
        <v>2962.0</v>
      </c>
      <c r="L1998" s="493">
        <v>63590.0</v>
      </c>
      <c r="M1998" s="493">
        <v>0.6653</v>
      </c>
      <c r="N1998" s="6">
        <v>2.1479</v>
      </c>
    </row>
    <row r="1999">
      <c r="A1999" s="491" t="s">
        <v>2023</v>
      </c>
      <c r="B1999" s="491" t="s">
        <v>1857</v>
      </c>
      <c r="C1999" s="491" t="s">
        <v>74</v>
      </c>
      <c r="D1999" s="491" t="s">
        <v>565</v>
      </c>
      <c r="E1999" s="492" t="s">
        <v>44</v>
      </c>
      <c r="F1999" s="493">
        <v>4452.0</v>
      </c>
      <c r="G1999" s="493">
        <v>2234.0</v>
      </c>
      <c r="H1999" s="493">
        <v>50.18</v>
      </c>
      <c r="I1999" s="493">
        <v>4.5</v>
      </c>
      <c r="J1999" s="493">
        <v>5.63</v>
      </c>
      <c r="K1999" s="493">
        <v>2861.0</v>
      </c>
      <c r="L1999" s="493">
        <v>63590.0</v>
      </c>
      <c r="M1999" s="493">
        <v>0.6426</v>
      </c>
      <c r="N1999" s="6">
        <v>1.2807</v>
      </c>
    </row>
    <row r="2000">
      <c r="A2000" s="491" t="s">
        <v>2023</v>
      </c>
      <c r="B2000" s="491" t="s">
        <v>1857</v>
      </c>
      <c r="C2000" s="491" t="s">
        <v>74</v>
      </c>
      <c r="D2000" s="491" t="s">
        <v>565</v>
      </c>
      <c r="E2000" s="492" t="s">
        <v>50</v>
      </c>
      <c r="F2000" s="492">
        <v>4452.0</v>
      </c>
      <c r="G2000" s="492">
        <v>1733.0</v>
      </c>
      <c r="H2000" s="492">
        <v>38.93</v>
      </c>
      <c r="I2000" s="492">
        <v>4.25</v>
      </c>
      <c r="J2000" s="492">
        <v>4.47</v>
      </c>
      <c r="K2000" s="492">
        <v>2702.0</v>
      </c>
      <c r="L2000" s="492">
        <v>63590.0</v>
      </c>
      <c r="M2000" s="492">
        <v>0.6069</v>
      </c>
      <c r="N2000" s="6">
        <v>1.5591</v>
      </c>
    </row>
    <row r="2001">
      <c r="A2001" s="491" t="s">
        <v>2023</v>
      </c>
      <c r="B2001" s="491" t="s">
        <v>1857</v>
      </c>
      <c r="C2001" s="491" t="s">
        <v>74</v>
      </c>
      <c r="D2001" s="491" t="s">
        <v>565</v>
      </c>
      <c r="E2001" s="492" t="s">
        <v>365</v>
      </c>
      <c r="F2001" s="492">
        <v>4452.0</v>
      </c>
      <c r="G2001" s="492">
        <v>648.0</v>
      </c>
      <c r="H2001" s="492">
        <v>14.56</v>
      </c>
      <c r="I2001" s="492">
        <v>1.81</v>
      </c>
      <c r="J2001" s="492">
        <v>1.46</v>
      </c>
      <c r="K2001" s="492">
        <v>1149.0</v>
      </c>
      <c r="L2001" s="492">
        <v>63590.0</v>
      </c>
      <c r="M2001" s="492">
        <v>0.2581</v>
      </c>
      <c r="N2001" s="6">
        <v>1.7731</v>
      </c>
    </row>
    <row r="2002">
      <c r="A2002" s="491" t="s">
        <v>2023</v>
      </c>
      <c r="B2002" s="491" t="s">
        <v>1857</v>
      </c>
      <c r="C2002" s="491" t="s">
        <v>74</v>
      </c>
      <c r="D2002" s="491" t="s">
        <v>565</v>
      </c>
      <c r="E2002" s="492" t="s">
        <v>369</v>
      </c>
      <c r="F2002" s="492">
        <v>4452.0</v>
      </c>
      <c r="G2002" s="492">
        <v>957.0</v>
      </c>
      <c r="H2002" s="492">
        <v>21.5</v>
      </c>
      <c r="I2002" s="492">
        <v>1.65</v>
      </c>
      <c r="J2002" s="492">
        <v>1.49</v>
      </c>
      <c r="K2002" s="492">
        <v>1048.0</v>
      </c>
      <c r="L2002" s="492">
        <v>63590.0</v>
      </c>
      <c r="M2002" s="492">
        <v>0.2354</v>
      </c>
      <c r="N2002" s="6">
        <v>1.0951</v>
      </c>
    </row>
    <row r="2003">
      <c r="A2003" s="491" t="s">
        <v>2023</v>
      </c>
      <c r="B2003" s="491" t="s">
        <v>1857</v>
      </c>
      <c r="C2003" s="491" t="s">
        <v>74</v>
      </c>
      <c r="D2003" s="491" t="s">
        <v>565</v>
      </c>
      <c r="E2003" s="492" t="s">
        <v>310</v>
      </c>
      <c r="F2003" s="492">
        <v>4452.0</v>
      </c>
      <c r="G2003" s="492">
        <v>828.0</v>
      </c>
      <c r="H2003" s="492">
        <v>18.6</v>
      </c>
      <c r="I2003" s="492">
        <v>1.56</v>
      </c>
      <c r="J2003" s="492">
        <v>1.36</v>
      </c>
      <c r="K2003" s="492">
        <v>991.0</v>
      </c>
      <c r="L2003" s="492">
        <v>63590.0</v>
      </c>
      <c r="M2003" s="492">
        <v>0.2226</v>
      </c>
      <c r="N2003" s="6">
        <v>1.1969</v>
      </c>
    </row>
    <row r="2004">
      <c r="A2004" s="491" t="s">
        <v>2023</v>
      </c>
      <c r="B2004" s="491" t="s">
        <v>1857</v>
      </c>
      <c r="C2004" s="491" t="s">
        <v>74</v>
      </c>
      <c r="D2004" s="491" t="s">
        <v>565</v>
      </c>
      <c r="E2004" s="492" t="s">
        <v>312</v>
      </c>
      <c r="F2004" s="492">
        <v>4452.0</v>
      </c>
      <c r="G2004" s="492">
        <v>776.0</v>
      </c>
      <c r="H2004" s="492">
        <v>17.43</v>
      </c>
      <c r="I2004" s="492">
        <v>1.46</v>
      </c>
      <c r="J2004" s="492">
        <v>1.29</v>
      </c>
      <c r="K2004" s="492">
        <v>928.0</v>
      </c>
      <c r="L2004" s="492">
        <v>63590.0</v>
      </c>
      <c r="M2004" s="492">
        <v>0.2084</v>
      </c>
      <c r="N2004" s="6">
        <v>1.1959</v>
      </c>
    </row>
    <row r="2005">
      <c r="A2005" s="491" t="s">
        <v>2023</v>
      </c>
      <c r="B2005" s="491" t="s">
        <v>1857</v>
      </c>
      <c r="C2005" s="491" t="s">
        <v>74</v>
      </c>
      <c r="D2005" s="491" t="s">
        <v>565</v>
      </c>
      <c r="E2005" s="492" t="s">
        <v>32</v>
      </c>
      <c r="F2005" s="492">
        <v>4452.0</v>
      </c>
      <c r="G2005" s="492">
        <v>777.0</v>
      </c>
      <c r="H2005" s="492">
        <v>17.45</v>
      </c>
      <c r="I2005" s="492">
        <v>1.41</v>
      </c>
      <c r="J2005" s="492">
        <v>1.35</v>
      </c>
      <c r="K2005" s="492">
        <v>894.0</v>
      </c>
      <c r="L2005" s="492">
        <v>63590.0</v>
      </c>
      <c r="M2005" s="492">
        <v>0.2008</v>
      </c>
      <c r="N2005" s="6">
        <v>1.1506</v>
      </c>
    </row>
    <row r="2006">
      <c r="A2006" s="491" t="s">
        <v>2023</v>
      </c>
      <c r="B2006" s="491" t="s">
        <v>1857</v>
      </c>
      <c r="C2006" s="491" t="s">
        <v>74</v>
      </c>
      <c r="D2006" s="491" t="s">
        <v>565</v>
      </c>
      <c r="E2006" s="492" t="s">
        <v>368</v>
      </c>
      <c r="F2006" s="492">
        <v>4452.0</v>
      </c>
      <c r="G2006" s="492">
        <v>272.0</v>
      </c>
      <c r="H2006" s="492">
        <v>6.11</v>
      </c>
      <c r="I2006" s="492">
        <v>1.06</v>
      </c>
      <c r="J2006" s="492">
        <v>0.56</v>
      </c>
      <c r="K2006" s="492">
        <v>672.0</v>
      </c>
      <c r="L2006" s="492">
        <v>63590.0</v>
      </c>
      <c r="M2006" s="492">
        <v>0.1509</v>
      </c>
      <c r="N2006" s="6">
        <v>2.4706</v>
      </c>
    </row>
    <row r="2007">
      <c r="A2007" s="491" t="s">
        <v>2023</v>
      </c>
      <c r="B2007" s="491" t="s">
        <v>1857</v>
      </c>
      <c r="C2007" s="491" t="s">
        <v>74</v>
      </c>
      <c r="D2007" s="491" t="s">
        <v>565</v>
      </c>
      <c r="E2007" s="492" t="s">
        <v>40</v>
      </c>
      <c r="F2007" s="492">
        <v>4452.0</v>
      </c>
      <c r="G2007" s="492">
        <v>478.0</v>
      </c>
      <c r="H2007" s="492">
        <v>10.74</v>
      </c>
      <c r="I2007" s="492">
        <v>1.03</v>
      </c>
      <c r="J2007" s="492">
        <v>0.93</v>
      </c>
      <c r="K2007" s="492">
        <v>652.0</v>
      </c>
      <c r="L2007" s="492">
        <v>63590.0</v>
      </c>
      <c r="M2007" s="492">
        <v>0.1465</v>
      </c>
      <c r="N2007" s="6">
        <v>1.364</v>
      </c>
    </row>
    <row r="2008">
      <c r="A2008" s="491" t="s">
        <v>2023</v>
      </c>
      <c r="B2008" s="491" t="s">
        <v>1857</v>
      </c>
      <c r="C2008" s="491" t="s">
        <v>74</v>
      </c>
      <c r="D2008" s="491" t="s">
        <v>565</v>
      </c>
      <c r="E2008" s="492" t="s">
        <v>43</v>
      </c>
      <c r="F2008" s="492">
        <v>4452.0</v>
      </c>
      <c r="G2008" s="492">
        <v>361.0</v>
      </c>
      <c r="H2008" s="492">
        <v>8.11</v>
      </c>
      <c r="I2008" s="492">
        <v>0.63</v>
      </c>
      <c r="J2008" s="492">
        <v>0.45</v>
      </c>
      <c r="K2008" s="492">
        <v>399.0</v>
      </c>
      <c r="L2008" s="492">
        <v>63590.0</v>
      </c>
      <c r="M2008" s="492">
        <v>0.0896</v>
      </c>
      <c r="N2008" s="6">
        <v>1.1053</v>
      </c>
    </row>
    <row r="2009">
      <c r="A2009" s="491" t="s">
        <v>2023</v>
      </c>
      <c r="B2009" s="491" t="s">
        <v>1857</v>
      </c>
      <c r="C2009" s="491" t="s">
        <v>74</v>
      </c>
      <c r="D2009" s="491" t="s">
        <v>565</v>
      </c>
      <c r="E2009" s="492" t="s">
        <v>189</v>
      </c>
      <c r="F2009" s="492">
        <v>4452.0</v>
      </c>
      <c r="G2009" s="492">
        <v>351.0</v>
      </c>
      <c r="H2009" s="492">
        <v>7.88</v>
      </c>
      <c r="I2009" s="492">
        <v>0.56</v>
      </c>
      <c r="J2009" s="492">
        <v>0.44</v>
      </c>
      <c r="K2009" s="492">
        <v>355.0</v>
      </c>
      <c r="L2009" s="492">
        <v>63590.0</v>
      </c>
      <c r="M2009" s="492">
        <v>0.0797</v>
      </c>
      <c r="N2009" s="6">
        <v>1.0114</v>
      </c>
    </row>
    <row r="2010">
      <c r="A2010" s="491" t="s">
        <v>2023</v>
      </c>
      <c r="B2010" s="491" t="s">
        <v>1857</v>
      </c>
      <c r="C2010" s="491" t="s">
        <v>74</v>
      </c>
      <c r="D2010" s="491" t="s">
        <v>565</v>
      </c>
      <c r="E2010" s="492" t="s">
        <v>311</v>
      </c>
      <c r="F2010" s="492">
        <v>4452.0</v>
      </c>
      <c r="G2010" s="492">
        <v>273.0</v>
      </c>
      <c r="H2010" s="492">
        <v>6.13</v>
      </c>
      <c r="I2010" s="492">
        <v>0.44</v>
      </c>
      <c r="J2010" s="492">
        <v>0.38</v>
      </c>
      <c r="K2010" s="492">
        <v>279.0</v>
      </c>
      <c r="L2010" s="492">
        <v>63590.0</v>
      </c>
      <c r="M2010" s="492">
        <v>0.0627</v>
      </c>
      <c r="N2010" s="6">
        <v>1.022</v>
      </c>
    </row>
    <row r="2011">
      <c r="A2011" s="491" t="s">
        <v>2023</v>
      </c>
      <c r="B2011" s="491" t="s">
        <v>1857</v>
      </c>
      <c r="C2011" s="491" t="s">
        <v>74</v>
      </c>
      <c r="D2011" s="491" t="s">
        <v>565</v>
      </c>
      <c r="E2011" s="492" t="s">
        <v>367</v>
      </c>
      <c r="F2011" s="492">
        <v>4452.0</v>
      </c>
      <c r="G2011" s="492">
        <v>172.0</v>
      </c>
      <c r="H2011" s="492">
        <v>3.86</v>
      </c>
      <c r="I2011" s="492">
        <v>0.28</v>
      </c>
      <c r="J2011" s="492">
        <v>0.16</v>
      </c>
      <c r="K2011" s="492">
        <v>175.0</v>
      </c>
      <c r="L2011" s="492">
        <v>63590.0</v>
      </c>
      <c r="M2011" s="492">
        <v>0.0393</v>
      </c>
      <c r="N2011" s="6">
        <v>1.0174</v>
      </c>
    </row>
    <row r="2012">
      <c r="A2012" s="491" t="s">
        <v>2023</v>
      </c>
      <c r="B2012" s="491" t="s">
        <v>1857</v>
      </c>
      <c r="C2012" s="491" t="s">
        <v>1872</v>
      </c>
      <c r="D2012" s="491" t="s">
        <v>1872</v>
      </c>
      <c r="E2012" s="492" t="s">
        <v>371</v>
      </c>
      <c r="F2012" s="492">
        <v>4466.0</v>
      </c>
      <c r="G2012" s="492">
        <v>4460.0</v>
      </c>
      <c r="H2012" s="492">
        <v>99.87</v>
      </c>
      <c r="I2012" s="492">
        <v>30.06</v>
      </c>
      <c r="J2012" s="492">
        <v>30.64</v>
      </c>
      <c r="K2012" s="492">
        <v>2840780.0</v>
      </c>
      <c r="L2012" s="492">
        <v>9450176.0</v>
      </c>
      <c r="M2012" s="492">
        <v>636.0905</v>
      </c>
      <c r="N2012" s="6">
        <v>636.9462</v>
      </c>
    </row>
    <row r="2013">
      <c r="A2013" s="491" t="s">
        <v>2023</v>
      </c>
      <c r="B2013" s="491" t="s">
        <v>1857</v>
      </c>
      <c r="C2013" s="491" t="s">
        <v>1872</v>
      </c>
      <c r="D2013" s="491" t="s">
        <v>1872</v>
      </c>
      <c r="E2013" s="492" t="s">
        <v>366</v>
      </c>
      <c r="F2013" s="492">
        <v>4466.0</v>
      </c>
      <c r="G2013" s="492">
        <v>4401.0</v>
      </c>
      <c r="H2013" s="492">
        <v>98.54</v>
      </c>
      <c r="I2013" s="492">
        <v>16.27</v>
      </c>
      <c r="J2013" s="492">
        <v>18.19</v>
      </c>
      <c r="K2013" s="492">
        <v>1537100.0</v>
      </c>
      <c r="L2013" s="492">
        <v>9450176.0</v>
      </c>
      <c r="M2013" s="492">
        <v>344.1782</v>
      </c>
      <c r="N2013" s="6">
        <v>349.2615</v>
      </c>
    </row>
    <row r="2014">
      <c r="A2014" s="491" t="s">
        <v>2023</v>
      </c>
      <c r="B2014" s="491" t="s">
        <v>1857</v>
      </c>
      <c r="C2014" s="491" t="s">
        <v>1872</v>
      </c>
      <c r="D2014" s="491" t="s">
        <v>1872</v>
      </c>
      <c r="E2014" s="492" t="s">
        <v>368</v>
      </c>
      <c r="F2014" s="492">
        <v>4466.0</v>
      </c>
      <c r="G2014" s="492">
        <v>2009.0</v>
      </c>
      <c r="H2014" s="492">
        <v>44.98</v>
      </c>
      <c r="I2014" s="492">
        <v>7.97</v>
      </c>
      <c r="J2014" s="492">
        <v>6.74</v>
      </c>
      <c r="K2014" s="492">
        <v>752880.0</v>
      </c>
      <c r="L2014" s="492">
        <v>9450176.0</v>
      </c>
      <c r="M2014" s="492">
        <v>168.5804</v>
      </c>
      <c r="N2014" s="6">
        <v>374.7536</v>
      </c>
    </row>
    <row r="2015">
      <c r="A2015" s="491" t="s">
        <v>2023</v>
      </c>
      <c r="B2015" s="491" t="s">
        <v>1857</v>
      </c>
      <c r="C2015" s="491" t="s">
        <v>1872</v>
      </c>
      <c r="D2015" s="491" t="s">
        <v>1872</v>
      </c>
      <c r="E2015" s="492" t="s">
        <v>372</v>
      </c>
      <c r="F2015" s="492">
        <v>4466.0</v>
      </c>
      <c r="G2015" s="492">
        <v>3583.0</v>
      </c>
      <c r="H2015" s="492">
        <v>80.23</v>
      </c>
      <c r="I2015" s="492">
        <v>7.89</v>
      </c>
      <c r="J2015" s="492">
        <v>9.51</v>
      </c>
      <c r="K2015" s="492">
        <v>745755.0</v>
      </c>
      <c r="L2015" s="492">
        <v>9450176.0</v>
      </c>
      <c r="M2015" s="492">
        <v>166.985</v>
      </c>
      <c r="N2015" s="6">
        <v>208.137</v>
      </c>
    </row>
    <row r="2016">
      <c r="A2016" s="491" t="s">
        <v>2023</v>
      </c>
      <c r="B2016" s="491" t="s">
        <v>1857</v>
      </c>
      <c r="C2016" s="491" t="s">
        <v>1872</v>
      </c>
      <c r="D2016" s="491" t="s">
        <v>1872</v>
      </c>
      <c r="E2016" s="492" t="s">
        <v>370</v>
      </c>
      <c r="F2016" s="492">
        <v>4466.0</v>
      </c>
      <c r="G2016" s="492">
        <v>2751.0</v>
      </c>
      <c r="H2016" s="492">
        <v>61.6</v>
      </c>
      <c r="I2016" s="492">
        <v>5.83</v>
      </c>
      <c r="J2016" s="492">
        <v>5.48</v>
      </c>
      <c r="K2016" s="492">
        <v>551231.0</v>
      </c>
      <c r="L2016" s="492">
        <v>9450176.0</v>
      </c>
      <c r="M2016" s="492">
        <v>123.4283</v>
      </c>
      <c r="N2016" s="6">
        <v>200.3748</v>
      </c>
    </row>
    <row r="2017">
      <c r="A2017" s="491" t="s">
        <v>2023</v>
      </c>
      <c r="B2017" s="491" t="s">
        <v>1857</v>
      </c>
      <c r="C2017" s="491" t="s">
        <v>1872</v>
      </c>
      <c r="D2017" s="491" t="s">
        <v>1872</v>
      </c>
      <c r="E2017" s="492" t="s">
        <v>134</v>
      </c>
      <c r="F2017" s="492">
        <v>4466.0</v>
      </c>
      <c r="G2017" s="492">
        <v>1509.0</v>
      </c>
      <c r="H2017" s="492">
        <v>33.79</v>
      </c>
      <c r="I2017" s="492">
        <v>5.17</v>
      </c>
      <c r="J2017" s="492">
        <v>3.95</v>
      </c>
      <c r="K2017" s="492">
        <v>488335.0</v>
      </c>
      <c r="L2017" s="492">
        <v>9450176.0</v>
      </c>
      <c r="M2017" s="492">
        <v>109.3451</v>
      </c>
      <c r="N2017" s="6">
        <v>323.615</v>
      </c>
    </row>
    <row r="2018">
      <c r="A2018" s="491" t="s">
        <v>2023</v>
      </c>
      <c r="B2018" s="491" t="s">
        <v>1857</v>
      </c>
      <c r="C2018" s="491" t="s">
        <v>1872</v>
      </c>
      <c r="D2018" s="491" t="s">
        <v>1872</v>
      </c>
      <c r="E2018" s="492" t="s">
        <v>50</v>
      </c>
      <c r="F2018" s="492">
        <v>4466.0</v>
      </c>
      <c r="G2018" s="492">
        <v>2714.0</v>
      </c>
      <c r="H2018" s="492">
        <v>60.77</v>
      </c>
      <c r="I2018" s="492">
        <v>3.86</v>
      </c>
      <c r="J2018" s="492">
        <v>4.03</v>
      </c>
      <c r="K2018" s="492">
        <v>364625.0</v>
      </c>
      <c r="L2018" s="492">
        <v>9450176.0</v>
      </c>
      <c r="M2018" s="492">
        <v>81.6446</v>
      </c>
      <c r="N2018" s="6">
        <v>134.3497</v>
      </c>
    </row>
    <row r="2019">
      <c r="A2019" s="491" t="s">
        <v>2023</v>
      </c>
      <c r="B2019" s="491" t="s">
        <v>1857</v>
      </c>
      <c r="C2019" s="491" t="s">
        <v>1872</v>
      </c>
      <c r="D2019" s="491" t="s">
        <v>1872</v>
      </c>
      <c r="E2019" s="492" t="s">
        <v>367</v>
      </c>
      <c r="F2019" s="492">
        <v>4466.0</v>
      </c>
      <c r="G2019" s="492">
        <v>3307.0</v>
      </c>
      <c r="H2019" s="492">
        <v>74.05</v>
      </c>
      <c r="I2019" s="492">
        <v>2.71</v>
      </c>
      <c r="J2019" s="492">
        <v>2.54</v>
      </c>
      <c r="K2019" s="492">
        <v>255650.0</v>
      </c>
      <c r="L2019" s="492">
        <v>9450176.0</v>
      </c>
      <c r="M2019" s="492">
        <v>57.2436</v>
      </c>
      <c r="N2019" s="6">
        <v>77.3057</v>
      </c>
    </row>
    <row r="2020">
      <c r="A2020" s="491" t="s">
        <v>2023</v>
      </c>
      <c r="B2020" s="491" t="s">
        <v>1857</v>
      </c>
      <c r="C2020" s="491" t="s">
        <v>1872</v>
      </c>
      <c r="D2020" s="491" t="s">
        <v>1872</v>
      </c>
      <c r="E2020" s="492" t="s">
        <v>310</v>
      </c>
      <c r="F2020" s="492">
        <v>4466.0</v>
      </c>
      <c r="G2020" s="492">
        <v>1207.0</v>
      </c>
      <c r="H2020" s="492">
        <v>27.03</v>
      </c>
      <c r="I2020" s="492">
        <v>2.53</v>
      </c>
      <c r="J2020" s="492">
        <v>2.07</v>
      </c>
      <c r="K2020" s="492">
        <v>239150.0</v>
      </c>
      <c r="L2020" s="492">
        <v>9450176.0</v>
      </c>
      <c r="M2020" s="492">
        <v>53.549</v>
      </c>
      <c r="N2020" s="6">
        <v>198.1359</v>
      </c>
    </row>
    <row r="2021">
      <c r="A2021" s="491" t="s">
        <v>2023</v>
      </c>
      <c r="B2021" s="491" t="s">
        <v>1857</v>
      </c>
      <c r="C2021" s="491" t="s">
        <v>1872</v>
      </c>
      <c r="D2021" s="491" t="s">
        <v>1872</v>
      </c>
      <c r="E2021" s="492" t="s">
        <v>312</v>
      </c>
      <c r="F2021" s="492">
        <v>4466.0</v>
      </c>
      <c r="G2021" s="492">
        <v>1220.0</v>
      </c>
      <c r="H2021" s="492">
        <v>27.32</v>
      </c>
      <c r="I2021" s="492">
        <v>2.51</v>
      </c>
      <c r="J2021" s="492">
        <v>2.2</v>
      </c>
      <c r="K2021" s="492">
        <v>237000.0</v>
      </c>
      <c r="L2021" s="492">
        <v>9450176.0</v>
      </c>
      <c r="M2021" s="492">
        <v>53.0676</v>
      </c>
      <c r="N2021" s="6">
        <v>194.2623</v>
      </c>
    </row>
    <row r="2022">
      <c r="A2022" s="491" t="s">
        <v>2023</v>
      </c>
      <c r="B2022" s="491" t="s">
        <v>1857</v>
      </c>
      <c r="C2022" s="491" t="s">
        <v>1872</v>
      </c>
      <c r="D2022" s="491" t="s">
        <v>1872</v>
      </c>
      <c r="E2022" s="492" t="s">
        <v>42</v>
      </c>
      <c r="F2022" s="492">
        <v>4466.0</v>
      </c>
      <c r="G2022" s="492">
        <v>1415.0</v>
      </c>
      <c r="H2022" s="492">
        <v>31.68</v>
      </c>
      <c r="I2022" s="492">
        <v>2.42</v>
      </c>
      <c r="J2022" s="492">
        <v>2.43</v>
      </c>
      <c r="K2022" s="492">
        <v>228970.0</v>
      </c>
      <c r="L2022" s="492">
        <v>9450176.0</v>
      </c>
      <c r="M2022" s="492">
        <v>51.2696</v>
      </c>
      <c r="N2022" s="6">
        <v>161.8163</v>
      </c>
    </row>
    <row r="2023">
      <c r="A2023" s="491" t="s">
        <v>2023</v>
      </c>
      <c r="B2023" s="491" t="s">
        <v>1857</v>
      </c>
      <c r="C2023" s="491" t="s">
        <v>1872</v>
      </c>
      <c r="D2023" s="491" t="s">
        <v>1872</v>
      </c>
      <c r="E2023" s="492" t="s">
        <v>32</v>
      </c>
      <c r="F2023" s="492">
        <v>4466.0</v>
      </c>
      <c r="G2023" s="492">
        <v>1074.0</v>
      </c>
      <c r="H2023" s="492">
        <v>24.05</v>
      </c>
      <c r="I2023" s="492">
        <v>2.23</v>
      </c>
      <c r="J2023" s="492">
        <v>1.96</v>
      </c>
      <c r="K2023" s="492">
        <v>211000.0</v>
      </c>
      <c r="L2023" s="492">
        <v>9450176.0</v>
      </c>
      <c r="M2023" s="492">
        <v>47.2459</v>
      </c>
      <c r="N2023" s="6">
        <v>196.4618</v>
      </c>
    </row>
    <row r="2024">
      <c r="A2024" s="491" t="s">
        <v>2023</v>
      </c>
      <c r="B2024" s="491" t="s">
        <v>1857</v>
      </c>
      <c r="C2024" s="491" t="s">
        <v>1872</v>
      </c>
      <c r="D2024" s="491" t="s">
        <v>1872</v>
      </c>
      <c r="E2024" s="492" t="s">
        <v>43</v>
      </c>
      <c r="F2024" s="492">
        <v>4466.0</v>
      </c>
      <c r="G2024" s="492">
        <v>722.0</v>
      </c>
      <c r="H2024" s="492">
        <v>16.17</v>
      </c>
      <c r="I2024" s="492">
        <v>2.03</v>
      </c>
      <c r="J2024" s="492">
        <v>1.37</v>
      </c>
      <c r="K2024" s="492">
        <v>191600.0</v>
      </c>
      <c r="L2024" s="492">
        <v>9450176.0</v>
      </c>
      <c r="M2024" s="492">
        <v>42.9019</v>
      </c>
      <c r="N2024" s="6">
        <v>265.374</v>
      </c>
    </row>
    <row r="2025">
      <c r="A2025" s="491" t="s">
        <v>2023</v>
      </c>
      <c r="B2025" s="491" t="s">
        <v>1857</v>
      </c>
      <c r="C2025" s="491" t="s">
        <v>1872</v>
      </c>
      <c r="D2025" s="491" t="s">
        <v>1872</v>
      </c>
      <c r="E2025" s="492" t="s">
        <v>40</v>
      </c>
      <c r="F2025" s="492">
        <v>4466.0</v>
      </c>
      <c r="G2025" s="492">
        <v>1326.0</v>
      </c>
      <c r="H2025" s="492">
        <v>29.69</v>
      </c>
      <c r="I2025" s="492">
        <v>2.03</v>
      </c>
      <c r="J2025" s="492">
        <v>1.77</v>
      </c>
      <c r="K2025" s="492">
        <v>191595.0</v>
      </c>
      <c r="L2025" s="492">
        <v>9450176.0</v>
      </c>
      <c r="M2025" s="492">
        <v>42.9008</v>
      </c>
      <c r="N2025" s="6">
        <v>144.491</v>
      </c>
    </row>
    <row r="2026">
      <c r="A2026" s="491" t="s">
        <v>2023</v>
      </c>
      <c r="B2026" s="491" t="s">
        <v>1857</v>
      </c>
      <c r="C2026" s="491" t="s">
        <v>1872</v>
      </c>
      <c r="D2026" s="491" t="s">
        <v>1872</v>
      </c>
      <c r="E2026" s="492" t="s">
        <v>44</v>
      </c>
      <c r="F2026" s="492">
        <v>4466.0</v>
      </c>
      <c r="G2026" s="492">
        <v>2763.0</v>
      </c>
      <c r="H2026" s="492">
        <v>61.87</v>
      </c>
      <c r="I2026" s="492">
        <v>2.03</v>
      </c>
      <c r="J2026" s="492">
        <v>2.61</v>
      </c>
      <c r="K2026" s="492">
        <v>191710.0</v>
      </c>
      <c r="L2026" s="492">
        <v>9450176.0</v>
      </c>
      <c r="M2026" s="492">
        <v>42.9266</v>
      </c>
      <c r="N2026" s="6">
        <v>69.3847</v>
      </c>
    </row>
    <row r="2027">
      <c r="A2027" s="491" t="s">
        <v>2023</v>
      </c>
      <c r="B2027" s="491" t="s">
        <v>1857</v>
      </c>
      <c r="C2027" s="491" t="s">
        <v>1872</v>
      </c>
      <c r="D2027" s="491" t="s">
        <v>1872</v>
      </c>
      <c r="E2027" s="492" t="s">
        <v>369</v>
      </c>
      <c r="F2027" s="492">
        <v>4466.0</v>
      </c>
      <c r="G2027" s="492">
        <v>1778.0</v>
      </c>
      <c r="H2027" s="492">
        <v>39.81</v>
      </c>
      <c r="I2027" s="492">
        <v>1.38</v>
      </c>
      <c r="J2027" s="492">
        <v>1.47</v>
      </c>
      <c r="K2027" s="492">
        <v>130425.0</v>
      </c>
      <c r="L2027" s="492">
        <v>9450176.0</v>
      </c>
      <c r="M2027" s="492">
        <v>29.204</v>
      </c>
      <c r="N2027" s="6">
        <v>73.3549</v>
      </c>
    </row>
    <row r="2028">
      <c r="A2028" s="491" t="s">
        <v>2023</v>
      </c>
      <c r="B2028" s="491" t="s">
        <v>1857</v>
      </c>
      <c r="C2028" s="491" t="s">
        <v>1872</v>
      </c>
      <c r="D2028" s="491" t="s">
        <v>1872</v>
      </c>
      <c r="E2028" s="492" t="s">
        <v>365</v>
      </c>
      <c r="F2028" s="492">
        <v>4466.0</v>
      </c>
      <c r="G2028" s="492">
        <v>1790.0</v>
      </c>
      <c r="H2028" s="492">
        <v>40.08</v>
      </c>
      <c r="I2028" s="492">
        <v>1.15</v>
      </c>
      <c r="J2028" s="492">
        <v>1.0</v>
      </c>
      <c r="K2028" s="492">
        <v>109120.0</v>
      </c>
      <c r="L2028" s="492">
        <v>9450176.0</v>
      </c>
      <c r="M2028" s="492">
        <v>24.4335</v>
      </c>
      <c r="N2028" s="6">
        <v>60.9609</v>
      </c>
    </row>
    <row r="2029">
      <c r="A2029" s="491" t="s">
        <v>2023</v>
      </c>
      <c r="B2029" s="491" t="s">
        <v>1857</v>
      </c>
      <c r="C2029" s="491" t="s">
        <v>1872</v>
      </c>
      <c r="D2029" s="491" t="s">
        <v>1872</v>
      </c>
      <c r="E2029" s="492" t="s">
        <v>35</v>
      </c>
      <c r="F2029" s="492">
        <v>4466.0</v>
      </c>
      <c r="G2029" s="492">
        <v>1041.0</v>
      </c>
      <c r="H2029" s="492">
        <v>23.31</v>
      </c>
      <c r="I2029" s="492">
        <v>0.72</v>
      </c>
      <c r="J2029" s="492">
        <v>0.91</v>
      </c>
      <c r="K2029" s="492">
        <v>67950.0</v>
      </c>
      <c r="L2029" s="492">
        <v>9450176.0</v>
      </c>
      <c r="M2029" s="492">
        <v>15.215</v>
      </c>
      <c r="N2029" s="6">
        <v>65.2738</v>
      </c>
    </row>
    <row r="2030">
      <c r="A2030" s="491" t="s">
        <v>2023</v>
      </c>
      <c r="B2030" s="491" t="s">
        <v>1857</v>
      </c>
      <c r="C2030" s="491" t="s">
        <v>1872</v>
      </c>
      <c r="D2030" s="491" t="s">
        <v>1872</v>
      </c>
      <c r="E2030" s="492" t="s">
        <v>311</v>
      </c>
      <c r="F2030" s="492">
        <v>4466.0</v>
      </c>
      <c r="G2030" s="492">
        <v>405.0</v>
      </c>
      <c r="H2030" s="492">
        <v>9.07</v>
      </c>
      <c r="I2030" s="492">
        <v>0.71</v>
      </c>
      <c r="J2030" s="492">
        <v>0.57</v>
      </c>
      <c r="K2030" s="492">
        <v>66750.0</v>
      </c>
      <c r="L2030" s="492">
        <v>9450176.0</v>
      </c>
      <c r="M2030" s="492">
        <v>14.9463</v>
      </c>
      <c r="N2030" s="6">
        <v>164.8148</v>
      </c>
    </row>
    <row r="2031">
      <c r="A2031" s="491" t="s">
        <v>2023</v>
      </c>
      <c r="B2031" s="491" t="s">
        <v>1857</v>
      </c>
      <c r="C2031" s="491" t="s">
        <v>1872</v>
      </c>
      <c r="D2031" s="491" t="s">
        <v>1872</v>
      </c>
      <c r="E2031" s="492" t="s">
        <v>189</v>
      </c>
      <c r="F2031" s="492">
        <v>4466.0</v>
      </c>
      <c r="G2031" s="492">
        <v>804.0</v>
      </c>
      <c r="H2031" s="492">
        <v>18.0</v>
      </c>
      <c r="I2031" s="492">
        <v>0.51</v>
      </c>
      <c r="J2031" s="492">
        <v>0.58</v>
      </c>
      <c r="K2031" s="492">
        <v>48550.0</v>
      </c>
      <c r="L2031" s="492">
        <v>9450176.0</v>
      </c>
      <c r="M2031" s="492">
        <v>10.871</v>
      </c>
      <c r="N2031" s="6">
        <v>60.3856</v>
      </c>
    </row>
    <row r="2032">
      <c r="A2032" s="491" t="s">
        <v>2023</v>
      </c>
      <c r="B2032" s="491" t="s">
        <v>1857</v>
      </c>
      <c r="C2032" s="491" t="s">
        <v>69</v>
      </c>
      <c r="D2032" s="491" t="s">
        <v>565</v>
      </c>
      <c r="E2032" s="492" t="s">
        <v>371</v>
      </c>
      <c r="F2032" s="492">
        <v>4445.0</v>
      </c>
      <c r="G2032" s="492">
        <v>4436.0</v>
      </c>
      <c r="H2032" s="492">
        <v>99.8</v>
      </c>
      <c r="I2032" s="492">
        <v>59.21</v>
      </c>
      <c r="J2032" s="492">
        <v>55.42</v>
      </c>
      <c r="K2032" s="492">
        <v>68357.0</v>
      </c>
      <c r="L2032" s="492">
        <v>115455.0</v>
      </c>
      <c r="M2032" s="492">
        <v>15.3784</v>
      </c>
      <c r="N2032" s="6">
        <v>15.4096</v>
      </c>
    </row>
    <row r="2033">
      <c r="A2033" s="491" t="s">
        <v>2023</v>
      </c>
      <c r="B2033" s="491" t="s">
        <v>1857</v>
      </c>
      <c r="C2033" s="491" t="s">
        <v>69</v>
      </c>
      <c r="D2033" s="491" t="s">
        <v>565</v>
      </c>
      <c r="E2033" s="492" t="s">
        <v>372</v>
      </c>
      <c r="F2033" s="492">
        <v>4445.0</v>
      </c>
      <c r="G2033" s="492">
        <v>3214.0</v>
      </c>
      <c r="H2033" s="492">
        <v>72.31</v>
      </c>
      <c r="I2033" s="492">
        <v>13.9</v>
      </c>
      <c r="J2033" s="492">
        <v>16.87</v>
      </c>
      <c r="K2033" s="492">
        <v>16052.0</v>
      </c>
      <c r="L2033" s="492">
        <v>115455.0</v>
      </c>
      <c r="M2033" s="492">
        <v>3.6112</v>
      </c>
      <c r="N2033" s="6">
        <v>4.9944</v>
      </c>
    </row>
    <row r="2034">
      <c r="A2034" s="491" t="s">
        <v>2023</v>
      </c>
      <c r="B2034" s="491" t="s">
        <v>1857</v>
      </c>
      <c r="C2034" s="491" t="s">
        <v>69</v>
      </c>
      <c r="D2034" s="491" t="s">
        <v>565</v>
      </c>
      <c r="E2034" s="492" t="s">
        <v>370</v>
      </c>
      <c r="F2034" s="492">
        <v>4445.0</v>
      </c>
      <c r="G2034" s="492">
        <v>3146.0</v>
      </c>
      <c r="H2034" s="492">
        <v>70.78</v>
      </c>
      <c r="I2034" s="492">
        <v>5.99</v>
      </c>
      <c r="J2034" s="492">
        <v>5.78</v>
      </c>
      <c r="K2034" s="492">
        <v>6921.0</v>
      </c>
      <c r="L2034" s="492">
        <v>115455.0</v>
      </c>
      <c r="M2034" s="492">
        <v>1.557</v>
      </c>
      <c r="N2034" s="6">
        <v>2.1999</v>
      </c>
    </row>
    <row r="2035">
      <c r="A2035" s="491" t="s">
        <v>2023</v>
      </c>
      <c r="B2035" s="491" t="s">
        <v>1857</v>
      </c>
      <c r="C2035" s="491" t="s">
        <v>69</v>
      </c>
      <c r="D2035" s="491" t="s">
        <v>565</v>
      </c>
      <c r="E2035" s="492" t="s">
        <v>368</v>
      </c>
      <c r="F2035" s="492">
        <v>4445.0</v>
      </c>
      <c r="G2035" s="492">
        <v>1916.0</v>
      </c>
      <c r="H2035" s="492">
        <v>43.1</v>
      </c>
      <c r="I2035" s="492">
        <v>4.66</v>
      </c>
      <c r="J2035" s="492">
        <v>5.05</v>
      </c>
      <c r="K2035" s="492">
        <v>5381.0</v>
      </c>
      <c r="L2035" s="492">
        <v>115455.0</v>
      </c>
      <c r="M2035" s="492">
        <v>1.2106</v>
      </c>
      <c r="N2035" s="6">
        <v>2.8085</v>
      </c>
    </row>
    <row r="2036">
      <c r="A2036" s="491" t="s">
        <v>2023</v>
      </c>
      <c r="B2036" s="491" t="s">
        <v>1857</v>
      </c>
      <c r="C2036" s="491" t="s">
        <v>69</v>
      </c>
      <c r="D2036" s="491" t="s">
        <v>565</v>
      </c>
      <c r="E2036" s="492" t="s">
        <v>366</v>
      </c>
      <c r="F2036" s="492">
        <v>4445.0</v>
      </c>
      <c r="G2036" s="492">
        <v>2632.0</v>
      </c>
      <c r="H2036" s="492">
        <v>59.21</v>
      </c>
      <c r="I2036" s="492">
        <v>4.64</v>
      </c>
      <c r="J2036" s="492">
        <v>4.78</v>
      </c>
      <c r="K2036" s="492">
        <v>5362.0</v>
      </c>
      <c r="L2036" s="492">
        <v>115455.0</v>
      </c>
      <c r="M2036" s="492">
        <v>1.2063</v>
      </c>
      <c r="N2036" s="6">
        <v>2.0372</v>
      </c>
    </row>
    <row r="2037">
      <c r="A2037" s="491" t="s">
        <v>2023</v>
      </c>
      <c r="B2037" s="491" t="s">
        <v>1857</v>
      </c>
      <c r="C2037" s="491" t="s">
        <v>69</v>
      </c>
      <c r="D2037" s="491" t="s">
        <v>565</v>
      </c>
      <c r="E2037" s="492" t="s">
        <v>49</v>
      </c>
      <c r="F2037" s="492">
        <v>4445.0</v>
      </c>
      <c r="G2037" s="492">
        <v>2359.0</v>
      </c>
      <c r="H2037" s="492">
        <v>53.07</v>
      </c>
      <c r="I2037" s="492">
        <v>3.91</v>
      </c>
      <c r="J2037" s="492">
        <v>3.7</v>
      </c>
      <c r="K2037" s="492">
        <v>4518.0</v>
      </c>
      <c r="L2037" s="492">
        <v>115455.0</v>
      </c>
      <c r="M2037" s="492">
        <v>1.0164</v>
      </c>
      <c r="N2037" s="6">
        <v>1.9152</v>
      </c>
    </row>
    <row r="2038">
      <c r="A2038" s="491" t="s">
        <v>2023</v>
      </c>
      <c r="B2038" s="491" t="s">
        <v>1857</v>
      </c>
      <c r="C2038" s="491" t="s">
        <v>69</v>
      </c>
      <c r="D2038" s="491" t="s">
        <v>565</v>
      </c>
      <c r="E2038" s="492" t="s">
        <v>44</v>
      </c>
      <c r="F2038" s="492">
        <v>4445.0</v>
      </c>
      <c r="G2038" s="492">
        <v>2586.0</v>
      </c>
      <c r="H2038" s="492">
        <v>58.18</v>
      </c>
      <c r="I2038" s="492">
        <v>2.93</v>
      </c>
      <c r="J2038" s="492">
        <v>3.36</v>
      </c>
      <c r="K2038" s="492">
        <v>3386.0</v>
      </c>
      <c r="L2038" s="492">
        <v>115455.0</v>
      </c>
      <c r="M2038" s="492">
        <v>0.7618</v>
      </c>
      <c r="N2038" s="6">
        <v>1.3094</v>
      </c>
    </row>
    <row r="2039">
      <c r="A2039" s="491" t="s">
        <v>2023</v>
      </c>
      <c r="B2039" s="491" t="s">
        <v>1857</v>
      </c>
      <c r="C2039" s="491" t="s">
        <v>69</v>
      </c>
      <c r="D2039" s="491" t="s">
        <v>565</v>
      </c>
      <c r="E2039" s="492" t="s">
        <v>134</v>
      </c>
      <c r="F2039" s="492">
        <v>4445.0</v>
      </c>
      <c r="G2039" s="492">
        <v>1167.0</v>
      </c>
      <c r="H2039" s="492">
        <v>26.25</v>
      </c>
      <c r="I2039" s="492">
        <v>1.86</v>
      </c>
      <c r="J2039" s="492">
        <v>1.81</v>
      </c>
      <c r="K2039" s="492">
        <v>2152.0</v>
      </c>
      <c r="L2039" s="492">
        <v>115455.0</v>
      </c>
      <c r="M2039" s="492">
        <v>0.4841</v>
      </c>
      <c r="N2039" s="6">
        <v>1.844</v>
      </c>
    </row>
    <row r="2040">
      <c r="A2040" s="491" t="s">
        <v>2023</v>
      </c>
      <c r="B2040" s="491" t="s">
        <v>1857</v>
      </c>
      <c r="C2040" s="491" t="s">
        <v>69</v>
      </c>
      <c r="D2040" s="491" t="s">
        <v>565</v>
      </c>
      <c r="E2040" s="492" t="s">
        <v>369</v>
      </c>
      <c r="F2040" s="492">
        <v>4445.0</v>
      </c>
      <c r="G2040" s="492">
        <v>1491.0</v>
      </c>
      <c r="H2040" s="492">
        <v>33.54</v>
      </c>
      <c r="I2040" s="492">
        <v>1.45</v>
      </c>
      <c r="J2040" s="492">
        <v>1.58</v>
      </c>
      <c r="K2040" s="492">
        <v>1676.0</v>
      </c>
      <c r="L2040" s="492">
        <v>115455.0</v>
      </c>
      <c r="M2040" s="492">
        <v>0.3771</v>
      </c>
      <c r="N2040" s="6">
        <v>1.1241</v>
      </c>
    </row>
    <row r="2041">
      <c r="A2041" s="491" t="s">
        <v>2023</v>
      </c>
      <c r="B2041" s="491" t="s">
        <v>1857</v>
      </c>
      <c r="C2041" s="491" t="s">
        <v>69</v>
      </c>
      <c r="D2041" s="491" t="s">
        <v>565</v>
      </c>
      <c r="E2041" s="492" t="s">
        <v>35</v>
      </c>
      <c r="F2041" s="492">
        <v>4445.0</v>
      </c>
      <c r="G2041" s="492">
        <v>738.0</v>
      </c>
      <c r="H2041" s="492">
        <v>16.6</v>
      </c>
      <c r="I2041" s="492">
        <v>0.65</v>
      </c>
      <c r="J2041" s="492">
        <v>0.76</v>
      </c>
      <c r="K2041" s="492">
        <v>753.0</v>
      </c>
      <c r="L2041" s="492">
        <v>115455.0</v>
      </c>
      <c r="M2041" s="492">
        <v>0.1694</v>
      </c>
      <c r="N2041" s="6">
        <v>1.0203</v>
      </c>
    </row>
    <row r="2042">
      <c r="A2042" s="491" t="s">
        <v>2023</v>
      </c>
      <c r="B2042" s="491" t="s">
        <v>1857</v>
      </c>
      <c r="C2042" s="491" t="s">
        <v>69</v>
      </c>
      <c r="D2042" s="491" t="s">
        <v>565</v>
      </c>
      <c r="E2042" s="492" t="s">
        <v>189</v>
      </c>
      <c r="F2042" s="492">
        <v>4445.0</v>
      </c>
      <c r="G2042" s="492">
        <v>627.0</v>
      </c>
      <c r="H2042" s="492">
        <v>14.11</v>
      </c>
      <c r="I2042" s="492">
        <v>0.55</v>
      </c>
      <c r="J2042" s="492">
        <v>0.62</v>
      </c>
      <c r="K2042" s="492">
        <v>633.0</v>
      </c>
      <c r="L2042" s="492">
        <v>115455.0</v>
      </c>
      <c r="M2042" s="492">
        <v>0.1424</v>
      </c>
      <c r="N2042" s="6">
        <v>1.0096</v>
      </c>
    </row>
    <row r="2043">
      <c r="A2043" s="491" t="s">
        <v>2023</v>
      </c>
      <c r="B2043" s="491" t="s">
        <v>1857</v>
      </c>
      <c r="C2043" s="491" t="s">
        <v>69</v>
      </c>
      <c r="D2043" s="491" t="s">
        <v>565</v>
      </c>
      <c r="E2043" s="492" t="s">
        <v>50</v>
      </c>
      <c r="F2043" s="492">
        <v>4445.0</v>
      </c>
      <c r="G2043" s="492">
        <v>103.0</v>
      </c>
      <c r="H2043" s="492">
        <v>2.32</v>
      </c>
      <c r="I2043" s="492">
        <v>0.1</v>
      </c>
      <c r="J2043" s="492">
        <v>0.1</v>
      </c>
      <c r="K2043" s="492">
        <v>111.0</v>
      </c>
      <c r="L2043" s="492">
        <v>115455.0</v>
      </c>
      <c r="M2043" s="492">
        <v>0.025</v>
      </c>
      <c r="N2043" s="6">
        <v>1.0777</v>
      </c>
    </row>
    <row r="2044">
      <c r="A2044" s="491" t="s">
        <v>2023</v>
      </c>
      <c r="B2044" s="491" t="s">
        <v>1857</v>
      </c>
      <c r="C2044" s="491" t="s">
        <v>69</v>
      </c>
      <c r="D2044" s="491" t="s">
        <v>565</v>
      </c>
      <c r="E2044" s="492" t="s">
        <v>42</v>
      </c>
      <c r="F2044" s="492">
        <v>4445.0</v>
      </c>
      <c r="G2044" s="492">
        <v>103.0</v>
      </c>
      <c r="H2044" s="492">
        <v>2.32</v>
      </c>
      <c r="I2044" s="492">
        <v>0.09</v>
      </c>
      <c r="J2044" s="492">
        <v>0.12</v>
      </c>
      <c r="K2044" s="492">
        <v>104.0</v>
      </c>
      <c r="L2044" s="492">
        <v>115455.0</v>
      </c>
      <c r="M2044" s="492">
        <v>0.0234</v>
      </c>
      <c r="N2044" s="6">
        <v>1.0097</v>
      </c>
    </row>
    <row r="2045">
      <c r="A2045" s="491" t="s">
        <v>2023</v>
      </c>
      <c r="B2045" s="491" t="s">
        <v>1857</v>
      </c>
      <c r="C2045" s="491" t="s">
        <v>69</v>
      </c>
      <c r="D2045" s="491" t="s">
        <v>565</v>
      </c>
      <c r="E2045" s="492" t="s">
        <v>43</v>
      </c>
      <c r="F2045" s="492">
        <v>4445.0</v>
      </c>
      <c r="G2045" s="492">
        <v>34.0</v>
      </c>
      <c r="H2045" s="492">
        <v>0.76</v>
      </c>
      <c r="I2045" s="492">
        <v>0.03</v>
      </c>
      <c r="J2045" s="492">
        <v>0.04</v>
      </c>
      <c r="K2045" s="492">
        <v>34.0</v>
      </c>
      <c r="L2045" s="492">
        <v>115455.0</v>
      </c>
      <c r="M2045" s="492">
        <v>0.0076</v>
      </c>
      <c r="N2045" s="6">
        <v>1.0</v>
      </c>
    </row>
    <row r="2046">
      <c r="A2046" s="491" t="s">
        <v>2023</v>
      </c>
      <c r="B2046" s="491" t="s">
        <v>1857</v>
      </c>
      <c r="C2046" s="491" t="s">
        <v>69</v>
      </c>
      <c r="D2046" s="491" t="s">
        <v>565</v>
      </c>
      <c r="E2046" s="492" t="s">
        <v>365</v>
      </c>
      <c r="F2046" s="492">
        <v>4445.0</v>
      </c>
      <c r="G2046" s="492">
        <v>10.0</v>
      </c>
      <c r="H2046" s="492">
        <v>0.22</v>
      </c>
      <c r="I2046" s="492">
        <v>0.01</v>
      </c>
      <c r="J2046" s="492">
        <v>0.01</v>
      </c>
      <c r="K2046" s="492">
        <v>10.0</v>
      </c>
      <c r="L2046" s="492">
        <v>115455.0</v>
      </c>
      <c r="M2046" s="492">
        <v>0.0022</v>
      </c>
      <c r="N2046" s="6">
        <v>1.0</v>
      </c>
    </row>
    <row r="2047">
      <c r="A2047" s="491" t="s">
        <v>2023</v>
      </c>
      <c r="B2047" s="491" t="s">
        <v>1857</v>
      </c>
      <c r="C2047" s="491" t="s">
        <v>69</v>
      </c>
      <c r="D2047" s="491" t="s">
        <v>565</v>
      </c>
      <c r="E2047" s="492" t="s">
        <v>312</v>
      </c>
      <c r="F2047" s="492">
        <v>4445.0</v>
      </c>
      <c r="G2047" s="492">
        <v>1.0</v>
      </c>
      <c r="H2047" s="492">
        <v>0.02</v>
      </c>
      <c r="I2047" s="492">
        <v>0.0</v>
      </c>
      <c r="J2047" s="492">
        <v>0.0</v>
      </c>
      <c r="K2047" s="492">
        <v>1.0</v>
      </c>
      <c r="L2047" s="492">
        <v>115455.0</v>
      </c>
      <c r="M2047" s="492">
        <v>2.0E-4</v>
      </c>
      <c r="N2047" s="6">
        <v>1.0</v>
      </c>
    </row>
    <row r="2048">
      <c r="A2048" s="491" t="s">
        <v>2023</v>
      </c>
      <c r="B2048" s="491" t="s">
        <v>1857</v>
      </c>
      <c r="C2048" s="491" t="s">
        <v>69</v>
      </c>
      <c r="D2048" s="491" t="s">
        <v>565</v>
      </c>
      <c r="E2048" s="492" t="s">
        <v>32</v>
      </c>
      <c r="F2048" s="492">
        <v>4445.0</v>
      </c>
      <c r="G2048" s="492">
        <v>3.0</v>
      </c>
      <c r="H2048" s="492">
        <v>0.07</v>
      </c>
      <c r="I2048" s="492">
        <v>0.0</v>
      </c>
      <c r="J2048" s="492">
        <v>0.0</v>
      </c>
      <c r="K2048" s="492">
        <v>4.0</v>
      </c>
      <c r="L2048" s="492">
        <v>115455.0</v>
      </c>
      <c r="M2048" s="492">
        <v>9.0E-4</v>
      </c>
      <c r="N2048" s="6">
        <v>1.3333</v>
      </c>
    </row>
    <row r="2049">
      <c r="A2049" s="491" t="s">
        <v>2023</v>
      </c>
      <c r="B2049" s="491" t="s">
        <v>1857</v>
      </c>
      <c r="C2049" s="491" t="s">
        <v>73</v>
      </c>
      <c r="D2049" s="491" t="s">
        <v>565</v>
      </c>
      <c r="E2049" s="492" t="s">
        <v>371</v>
      </c>
      <c r="F2049" s="492">
        <v>4458.0</v>
      </c>
      <c r="G2049" s="492">
        <v>4409.0</v>
      </c>
      <c r="H2049" s="492">
        <v>98.9</v>
      </c>
      <c r="I2049" s="492">
        <v>43.34</v>
      </c>
      <c r="J2049" s="492">
        <v>42.58</v>
      </c>
      <c r="K2049" s="492">
        <v>38314.0</v>
      </c>
      <c r="L2049" s="492">
        <v>88403.0</v>
      </c>
      <c r="M2049" s="492">
        <v>8.5944</v>
      </c>
      <c r="N2049" s="6">
        <v>8.69</v>
      </c>
    </row>
    <row r="2050">
      <c r="A2050" s="491" t="s">
        <v>2023</v>
      </c>
      <c r="B2050" s="491" t="s">
        <v>1857</v>
      </c>
      <c r="C2050" s="491" t="s">
        <v>73</v>
      </c>
      <c r="D2050" s="491" t="s">
        <v>565</v>
      </c>
      <c r="E2050" s="492" t="s">
        <v>366</v>
      </c>
      <c r="F2050" s="492">
        <v>4458.0</v>
      </c>
      <c r="G2050" s="492">
        <v>3946.0</v>
      </c>
      <c r="H2050" s="492">
        <v>88.52</v>
      </c>
      <c r="I2050" s="492">
        <v>18.76</v>
      </c>
      <c r="J2050" s="492">
        <v>19.94</v>
      </c>
      <c r="K2050" s="492">
        <v>16584.0</v>
      </c>
      <c r="L2050" s="492">
        <v>88403.0</v>
      </c>
      <c r="M2050" s="492">
        <v>3.7201</v>
      </c>
      <c r="N2050" s="6">
        <v>4.2027</v>
      </c>
    </row>
    <row r="2051">
      <c r="A2051" s="491" t="s">
        <v>2023</v>
      </c>
      <c r="B2051" s="491" t="s">
        <v>1857</v>
      </c>
      <c r="C2051" s="491" t="s">
        <v>73</v>
      </c>
      <c r="D2051" s="491" t="s">
        <v>565</v>
      </c>
      <c r="E2051" s="492" t="s">
        <v>372</v>
      </c>
      <c r="F2051" s="492">
        <v>4458.0</v>
      </c>
      <c r="G2051" s="492">
        <v>3193.0</v>
      </c>
      <c r="H2051" s="492">
        <v>71.62</v>
      </c>
      <c r="I2051" s="492">
        <v>10.73</v>
      </c>
      <c r="J2051" s="492">
        <v>12.95</v>
      </c>
      <c r="K2051" s="492">
        <v>9487.0</v>
      </c>
      <c r="L2051" s="492">
        <v>88403.0</v>
      </c>
      <c r="M2051" s="492">
        <v>2.1281</v>
      </c>
      <c r="N2051" s="6">
        <v>2.9712</v>
      </c>
    </row>
    <row r="2052">
      <c r="A2052" s="491" t="s">
        <v>2023</v>
      </c>
      <c r="B2052" s="491" t="s">
        <v>1857</v>
      </c>
      <c r="C2052" s="491" t="s">
        <v>73</v>
      </c>
      <c r="D2052" s="491" t="s">
        <v>565</v>
      </c>
      <c r="E2052" s="492" t="s">
        <v>370</v>
      </c>
      <c r="F2052" s="492">
        <v>4458.0</v>
      </c>
      <c r="G2052" s="492">
        <v>1953.0</v>
      </c>
      <c r="H2052" s="492">
        <v>43.81</v>
      </c>
      <c r="I2052" s="492">
        <v>6.53</v>
      </c>
      <c r="J2052" s="492">
        <v>4.82</v>
      </c>
      <c r="K2052" s="492">
        <v>5775.0</v>
      </c>
      <c r="L2052" s="492">
        <v>88403.0</v>
      </c>
      <c r="M2052" s="492">
        <v>1.2954</v>
      </c>
      <c r="N2052" s="6">
        <v>2.957</v>
      </c>
    </row>
    <row r="2053">
      <c r="A2053" s="491" t="s">
        <v>2023</v>
      </c>
      <c r="B2053" s="491" t="s">
        <v>1857</v>
      </c>
      <c r="C2053" s="491" t="s">
        <v>73</v>
      </c>
      <c r="D2053" s="491" t="s">
        <v>565</v>
      </c>
      <c r="E2053" s="492" t="s">
        <v>44</v>
      </c>
      <c r="F2053" s="492">
        <v>4458.0</v>
      </c>
      <c r="G2053" s="492">
        <v>2431.0</v>
      </c>
      <c r="H2053" s="492">
        <v>54.53</v>
      </c>
      <c r="I2053" s="492">
        <v>3.52</v>
      </c>
      <c r="J2053" s="492">
        <v>4.23</v>
      </c>
      <c r="K2053" s="492">
        <v>3114.0</v>
      </c>
      <c r="L2053" s="492">
        <v>88403.0</v>
      </c>
      <c r="M2053" s="492">
        <v>0.6985</v>
      </c>
      <c r="N2053" s="6">
        <v>1.281</v>
      </c>
    </row>
    <row r="2054">
      <c r="A2054" s="491" t="s">
        <v>2023</v>
      </c>
      <c r="B2054" s="491" t="s">
        <v>1857</v>
      </c>
      <c r="C2054" s="491" t="s">
        <v>73</v>
      </c>
      <c r="D2054" s="491" t="s">
        <v>565</v>
      </c>
      <c r="E2054" s="492" t="s">
        <v>134</v>
      </c>
      <c r="F2054" s="492">
        <v>4458.0</v>
      </c>
      <c r="G2054" s="492">
        <v>1112.0</v>
      </c>
      <c r="H2054" s="492">
        <v>24.94</v>
      </c>
      <c r="I2054" s="492">
        <v>3.52</v>
      </c>
      <c r="J2054" s="492">
        <v>3.16</v>
      </c>
      <c r="K2054" s="492">
        <v>3116.0</v>
      </c>
      <c r="L2054" s="492">
        <v>88403.0</v>
      </c>
      <c r="M2054" s="492">
        <v>0.699</v>
      </c>
      <c r="N2054" s="6">
        <v>2.8022</v>
      </c>
    </row>
    <row r="2055">
      <c r="A2055" s="491" t="s">
        <v>2023</v>
      </c>
      <c r="B2055" s="491" t="s">
        <v>1857</v>
      </c>
      <c r="C2055" s="491" t="s">
        <v>73</v>
      </c>
      <c r="D2055" s="491" t="s">
        <v>565</v>
      </c>
      <c r="E2055" s="492" t="s">
        <v>365</v>
      </c>
      <c r="F2055" s="492">
        <v>4458.0</v>
      </c>
      <c r="G2055" s="492">
        <v>1029.0</v>
      </c>
      <c r="H2055" s="492">
        <v>23.08</v>
      </c>
      <c r="I2055" s="492">
        <v>2.71</v>
      </c>
      <c r="J2055" s="492">
        <v>2.05</v>
      </c>
      <c r="K2055" s="492">
        <v>2393.0</v>
      </c>
      <c r="L2055" s="492">
        <v>88403.0</v>
      </c>
      <c r="M2055" s="492">
        <v>0.5368</v>
      </c>
      <c r="N2055" s="6">
        <v>2.3256</v>
      </c>
    </row>
    <row r="2056">
      <c r="A2056" s="491" t="s">
        <v>2023</v>
      </c>
      <c r="B2056" s="491" t="s">
        <v>1857</v>
      </c>
      <c r="C2056" s="491" t="s">
        <v>73</v>
      </c>
      <c r="D2056" s="491" t="s">
        <v>565</v>
      </c>
      <c r="E2056" s="492" t="s">
        <v>367</v>
      </c>
      <c r="F2056" s="492">
        <v>4458.0</v>
      </c>
      <c r="G2056" s="492">
        <v>1304.0</v>
      </c>
      <c r="H2056" s="492">
        <v>29.25</v>
      </c>
      <c r="I2056" s="492">
        <v>1.99</v>
      </c>
      <c r="J2056" s="492">
        <v>1.52</v>
      </c>
      <c r="K2056" s="492">
        <v>1757.0</v>
      </c>
      <c r="L2056" s="492">
        <v>88403.0</v>
      </c>
      <c r="M2056" s="492">
        <v>0.3941</v>
      </c>
      <c r="N2056" s="6">
        <v>1.3474</v>
      </c>
    </row>
    <row r="2057">
      <c r="A2057" s="491" t="s">
        <v>2023</v>
      </c>
      <c r="B2057" s="491" t="s">
        <v>1857</v>
      </c>
      <c r="C2057" s="491" t="s">
        <v>73</v>
      </c>
      <c r="D2057" s="491" t="s">
        <v>565</v>
      </c>
      <c r="E2057" s="492" t="s">
        <v>42</v>
      </c>
      <c r="F2057" s="492">
        <v>4458.0</v>
      </c>
      <c r="G2057" s="492">
        <v>1176.0</v>
      </c>
      <c r="H2057" s="492">
        <v>26.38</v>
      </c>
      <c r="I2057" s="492">
        <v>1.87</v>
      </c>
      <c r="J2057" s="492">
        <v>2.01</v>
      </c>
      <c r="K2057" s="492">
        <v>1651.0</v>
      </c>
      <c r="L2057" s="492">
        <v>88403.0</v>
      </c>
      <c r="M2057" s="492">
        <v>0.3703</v>
      </c>
      <c r="N2057" s="6">
        <v>1.4039</v>
      </c>
    </row>
    <row r="2058">
      <c r="A2058" s="491" t="s">
        <v>2023</v>
      </c>
      <c r="B2058" s="491" t="s">
        <v>1857</v>
      </c>
      <c r="C2058" s="491" t="s">
        <v>73</v>
      </c>
      <c r="D2058" s="491" t="s">
        <v>565</v>
      </c>
      <c r="E2058" s="492" t="s">
        <v>50</v>
      </c>
      <c r="F2058" s="492">
        <v>4458.0</v>
      </c>
      <c r="G2058" s="492">
        <v>1150.0</v>
      </c>
      <c r="H2058" s="492">
        <v>25.8</v>
      </c>
      <c r="I2058" s="492">
        <v>1.68</v>
      </c>
      <c r="J2058" s="492">
        <v>1.74</v>
      </c>
      <c r="K2058" s="492">
        <v>1484.0</v>
      </c>
      <c r="L2058" s="492">
        <v>88403.0</v>
      </c>
      <c r="M2058" s="492">
        <v>0.3329</v>
      </c>
      <c r="N2058" s="6">
        <v>1.2904</v>
      </c>
    </row>
    <row r="2059">
      <c r="A2059" s="491" t="s">
        <v>2023</v>
      </c>
      <c r="B2059" s="491" t="s">
        <v>1857</v>
      </c>
      <c r="C2059" s="491" t="s">
        <v>73</v>
      </c>
      <c r="D2059" s="491" t="s">
        <v>565</v>
      </c>
      <c r="E2059" s="492" t="s">
        <v>40</v>
      </c>
      <c r="F2059" s="492">
        <v>4458.0</v>
      </c>
      <c r="G2059" s="492">
        <v>462.0</v>
      </c>
      <c r="H2059" s="492">
        <v>10.36</v>
      </c>
      <c r="I2059" s="492">
        <v>1.27</v>
      </c>
      <c r="J2059" s="492">
        <v>0.99</v>
      </c>
      <c r="K2059" s="492">
        <v>1122.0</v>
      </c>
      <c r="L2059" s="492">
        <v>88403.0</v>
      </c>
      <c r="M2059" s="492">
        <v>0.2517</v>
      </c>
      <c r="N2059" s="6">
        <v>2.4286</v>
      </c>
    </row>
    <row r="2060">
      <c r="A2060" s="491" t="s">
        <v>2023</v>
      </c>
      <c r="B2060" s="491" t="s">
        <v>1857</v>
      </c>
      <c r="C2060" s="491" t="s">
        <v>73</v>
      </c>
      <c r="D2060" s="491" t="s">
        <v>565</v>
      </c>
      <c r="E2060" s="492" t="s">
        <v>312</v>
      </c>
      <c r="F2060" s="492">
        <v>4458.0</v>
      </c>
      <c r="G2060" s="492">
        <v>723.0</v>
      </c>
      <c r="H2060" s="492">
        <v>16.22</v>
      </c>
      <c r="I2060" s="492">
        <v>0.94</v>
      </c>
      <c r="J2060" s="492">
        <v>0.92</v>
      </c>
      <c r="K2060" s="492">
        <v>831.0</v>
      </c>
      <c r="L2060" s="492">
        <v>88403.0</v>
      </c>
      <c r="M2060" s="492">
        <v>0.1864</v>
      </c>
      <c r="N2060" s="6">
        <v>1.1494</v>
      </c>
    </row>
    <row r="2061">
      <c r="A2061" s="491" t="s">
        <v>2023</v>
      </c>
      <c r="B2061" s="491" t="s">
        <v>1857</v>
      </c>
      <c r="C2061" s="491" t="s">
        <v>73</v>
      </c>
      <c r="D2061" s="491" t="s">
        <v>565</v>
      </c>
      <c r="E2061" s="492" t="s">
        <v>35</v>
      </c>
      <c r="F2061" s="492">
        <v>4458.0</v>
      </c>
      <c r="G2061" s="492">
        <v>637.0</v>
      </c>
      <c r="H2061" s="492">
        <v>14.29</v>
      </c>
      <c r="I2061" s="492">
        <v>0.75</v>
      </c>
      <c r="J2061" s="492">
        <v>0.78</v>
      </c>
      <c r="K2061" s="492">
        <v>662.0</v>
      </c>
      <c r="L2061" s="492">
        <v>88403.0</v>
      </c>
      <c r="M2061" s="492">
        <v>0.1485</v>
      </c>
      <c r="N2061" s="6">
        <v>1.0392</v>
      </c>
    </row>
    <row r="2062">
      <c r="A2062" s="491" t="s">
        <v>2023</v>
      </c>
      <c r="B2062" s="491" t="s">
        <v>1857</v>
      </c>
      <c r="C2062" s="491" t="s">
        <v>73</v>
      </c>
      <c r="D2062" s="491" t="s">
        <v>565</v>
      </c>
      <c r="E2062" s="492" t="s">
        <v>310</v>
      </c>
      <c r="F2062" s="492">
        <v>4458.0</v>
      </c>
      <c r="G2062" s="492">
        <v>581.0</v>
      </c>
      <c r="H2062" s="492">
        <v>13.03</v>
      </c>
      <c r="I2062" s="492">
        <v>0.72</v>
      </c>
      <c r="J2062" s="492">
        <v>0.74</v>
      </c>
      <c r="K2062" s="492">
        <v>636.0</v>
      </c>
      <c r="L2062" s="492">
        <v>88403.0</v>
      </c>
      <c r="M2062" s="492">
        <v>0.1427</v>
      </c>
      <c r="N2062" s="6">
        <v>1.0947</v>
      </c>
    </row>
    <row r="2063">
      <c r="A2063" s="491" t="s">
        <v>2023</v>
      </c>
      <c r="B2063" s="491" t="s">
        <v>1857</v>
      </c>
      <c r="C2063" s="491" t="s">
        <v>73</v>
      </c>
      <c r="D2063" s="491" t="s">
        <v>565</v>
      </c>
      <c r="E2063" s="492" t="s">
        <v>32</v>
      </c>
      <c r="F2063" s="492">
        <v>4458.0</v>
      </c>
      <c r="G2063" s="492">
        <v>452.0</v>
      </c>
      <c r="H2063" s="492">
        <v>10.14</v>
      </c>
      <c r="I2063" s="492">
        <v>0.56</v>
      </c>
      <c r="J2063" s="492">
        <v>0.58</v>
      </c>
      <c r="K2063" s="492">
        <v>497.0</v>
      </c>
      <c r="L2063" s="492">
        <v>88403.0</v>
      </c>
      <c r="M2063" s="492">
        <v>0.1115</v>
      </c>
      <c r="N2063" s="6">
        <v>1.0996</v>
      </c>
    </row>
    <row r="2064">
      <c r="A2064" s="491" t="s">
        <v>2023</v>
      </c>
      <c r="B2064" s="491" t="s">
        <v>1857</v>
      </c>
      <c r="C2064" s="491" t="s">
        <v>73</v>
      </c>
      <c r="D2064" s="491" t="s">
        <v>565</v>
      </c>
      <c r="E2064" s="492" t="s">
        <v>43</v>
      </c>
      <c r="F2064" s="492">
        <v>4458.0</v>
      </c>
      <c r="G2064" s="492">
        <v>412.0</v>
      </c>
      <c r="H2064" s="492">
        <v>9.24</v>
      </c>
      <c r="I2064" s="492">
        <v>0.51</v>
      </c>
      <c r="J2064" s="492">
        <v>0.49</v>
      </c>
      <c r="K2064" s="492">
        <v>452.0</v>
      </c>
      <c r="L2064" s="492">
        <v>88403.0</v>
      </c>
      <c r="M2064" s="492">
        <v>0.1014</v>
      </c>
      <c r="N2064" s="6">
        <v>1.0971</v>
      </c>
    </row>
    <row r="2065">
      <c r="A2065" s="491" t="s">
        <v>2023</v>
      </c>
      <c r="B2065" s="491" t="s">
        <v>1857</v>
      </c>
      <c r="C2065" s="491" t="s">
        <v>73</v>
      </c>
      <c r="D2065" s="491" t="s">
        <v>565</v>
      </c>
      <c r="E2065" s="492" t="s">
        <v>189</v>
      </c>
      <c r="F2065" s="492">
        <v>4458.0</v>
      </c>
      <c r="G2065" s="492">
        <v>350.0</v>
      </c>
      <c r="H2065" s="492">
        <v>7.85</v>
      </c>
      <c r="I2065" s="492">
        <v>0.4</v>
      </c>
      <c r="J2065" s="492">
        <v>0.29</v>
      </c>
      <c r="K2065" s="492">
        <v>351.0</v>
      </c>
      <c r="L2065" s="492">
        <v>88403.0</v>
      </c>
      <c r="M2065" s="492">
        <v>0.0787</v>
      </c>
      <c r="N2065" s="6">
        <v>1.0029</v>
      </c>
    </row>
    <row r="2066">
      <c r="A2066" s="491" t="s">
        <v>2023</v>
      </c>
      <c r="B2066" s="491" t="s">
        <v>1857</v>
      </c>
      <c r="C2066" s="491" t="s">
        <v>73</v>
      </c>
      <c r="D2066" s="491" t="s">
        <v>565</v>
      </c>
      <c r="E2066" s="492" t="s">
        <v>311</v>
      </c>
      <c r="F2066" s="492">
        <v>4458.0</v>
      </c>
      <c r="G2066" s="492">
        <v>176.0</v>
      </c>
      <c r="H2066" s="492">
        <v>3.95</v>
      </c>
      <c r="I2066" s="492">
        <v>0.2</v>
      </c>
      <c r="J2066" s="492">
        <v>0.21</v>
      </c>
      <c r="K2066" s="492">
        <v>177.0</v>
      </c>
      <c r="L2066" s="492">
        <v>88403.0</v>
      </c>
      <c r="M2066" s="492">
        <v>0.0397</v>
      </c>
      <c r="N2066" s="6">
        <v>1.0057</v>
      </c>
    </row>
    <row r="2067">
      <c r="A2067" s="491" t="s">
        <v>2023</v>
      </c>
      <c r="B2067" s="491" t="s">
        <v>1857</v>
      </c>
      <c r="C2067" s="491" t="s">
        <v>72</v>
      </c>
      <c r="D2067" s="491" t="s">
        <v>565</v>
      </c>
      <c r="E2067" s="492" t="s">
        <v>371</v>
      </c>
      <c r="F2067" s="492">
        <v>4452.0</v>
      </c>
      <c r="G2067" s="492">
        <v>4387.0</v>
      </c>
      <c r="H2067" s="492">
        <v>98.54</v>
      </c>
      <c r="I2067" s="492">
        <v>36.24</v>
      </c>
      <c r="J2067" s="492">
        <v>36.87</v>
      </c>
      <c r="K2067" s="492">
        <v>29310.0</v>
      </c>
      <c r="L2067" s="492">
        <v>80869.0</v>
      </c>
      <c r="M2067" s="492">
        <v>6.5836</v>
      </c>
      <c r="N2067" s="6">
        <v>6.6811</v>
      </c>
    </row>
    <row r="2068">
      <c r="A2068" s="491" t="s">
        <v>2023</v>
      </c>
      <c r="B2068" s="491" t="s">
        <v>1857</v>
      </c>
      <c r="C2068" s="491" t="s">
        <v>72</v>
      </c>
      <c r="D2068" s="491" t="s">
        <v>565</v>
      </c>
      <c r="E2068" s="492" t="s">
        <v>366</v>
      </c>
      <c r="F2068" s="492">
        <v>4452.0</v>
      </c>
      <c r="G2068" s="492">
        <v>3555.0</v>
      </c>
      <c r="H2068" s="492">
        <v>79.85</v>
      </c>
      <c r="I2068" s="492">
        <v>14.71</v>
      </c>
      <c r="J2068" s="492">
        <v>15.75</v>
      </c>
      <c r="K2068" s="492">
        <v>11894.0</v>
      </c>
      <c r="L2068" s="492">
        <v>80869.0</v>
      </c>
      <c r="M2068" s="492">
        <v>2.6716</v>
      </c>
      <c r="N2068" s="6">
        <v>3.3457</v>
      </c>
    </row>
    <row r="2069">
      <c r="A2069" s="491" t="s">
        <v>2023</v>
      </c>
      <c r="B2069" s="491" t="s">
        <v>1857</v>
      </c>
      <c r="C2069" s="491" t="s">
        <v>72</v>
      </c>
      <c r="D2069" s="491" t="s">
        <v>565</v>
      </c>
      <c r="E2069" s="492" t="s">
        <v>372</v>
      </c>
      <c r="F2069" s="492">
        <v>4452.0</v>
      </c>
      <c r="G2069" s="492">
        <v>2370.0</v>
      </c>
      <c r="H2069" s="492">
        <v>53.23</v>
      </c>
      <c r="I2069" s="492">
        <v>8.26</v>
      </c>
      <c r="J2069" s="492">
        <v>8.81</v>
      </c>
      <c r="K2069" s="492">
        <v>6680.0</v>
      </c>
      <c r="L2069" s="492">
        <v>80869.0</v>
      </c>
      <c r="M2069" s="492">
        <v>1.5004</v>
      </c>
      <c r="N2069" s="6">
        <v>2.8186</v>
      </c>
    </row>
    <row r="2070">
      <c r="A2070" s="491" t="s">
        <v>2023</v>
      </c>
      <c r="B2070" s="491" t="s">
        <v>1857</v>
      </c>
      <c r="C2070" s="491" t="s">
        <v>72</v>
      </c>
      <c r="D2070" s="491" t="s">
        <v>565</v>
      </c>
      <c r="E2070" s="492" t="s">
        <v>370</v>
      </c>
      <c r="F2070" s="492">
        <v>4452.0</v>
      </c>
      <c r="G2070" s="492">
        <v>1661.0</v>
      </c>
      <c r="H2070" s="492">
        <v>37.31</v>
      </c>
      <c r="I2070" s="492">
        <v>6.79</v>
      </c>
      <c r="J2070" s="492">
        <v>4.34</v>
      </c>
      <c r="K2070" s="492">
        <v>5488.0</v>
      </c>
      <c r="L2070" s="492">
        <v>80869.0</v>
      </c>
      <c r="M2070" s="492">
        <v>1.2327</v>
      </c>
      <c r="N2070" s="6">
        <v>3.304</v>
      </c>
    </row>
    <row r="2071">
      <c r="A2071" s="491" t="s">
        <v>2023</v>
      </c>
      <c r="B2071" s="491" t="s">
        <v>1857</v>
      </c>
      <c r="C2071" s="491" t="s">
        <v>72</v>
      </c>
      <c r="D2071" s="491" t="s">
        <v>565</v>
      </c>
      <c r="E2071" s="492" t="s">
        <v>368</v>
      </c>
      <c r="F2071" s="492">
        <v>4452.0</v>
      </c>
      <c r="G2071" s="492">
        <v>1819.0</v>
      </c>
      <c r="H2071" s="492">
        <v>40.86</v>
      </c>
      <c r="I2071" s="492">
        <v>5.85</v>
      </c>
      <c r="J2071" s="492">
        <v>7.32</v>
      </c>
      <c r="K2071" s="492">
        <v>4730.0</v>
      </c>
      <c r="L2071" s="492">
        <v>80869.0</v>
      </c>
      <c r="M2071" s="492">
        <v>1.0624</v>
      </c>
      <c r="N2071" s="6">
        <v>2.6003</v>
      </c>
    </row>
    <row r="2072">
      <c r="A2072" s="491" t="s">
        <v>2023</v>
      </c>
      <c r="B2072" s="491" t="s">
        <v>1857</v>
      </c>
      <c r="C2072" s="491" t="s">
        <v>72</v>
      </c>
      <c r="D2072" s="491" t="s">
        <v>565</v>
      </c>
      <c r="E2072" s="492" t="s">
        <v>49</v>
      </c>
      <c r="F2072" s="492">
        <v>4452.0</v>
      </c>
      <c r="G2072" s="492">
        <v>2359.0</v>
      </c>
      <c r="H2072" s="492">
        <v>52.99</v>
      </c>
      <c r="I2072" s="492">
        <v>5.59</v>
      </c>
      <c r="J2072" s="492">
        <v>5.82</v>
      </c>
      <c r="K2072" s="492">
        <v>4518.0</v>
      </c>
      <c r="L2072" s="492">
        <v>80869.0</v>
      </c>
      <c r="M2072" s="492">
        <v>1.0148</v>
      </c>
      <c r="N2072" s="6">
        <v>1.9152</v>
      </c>
    </row>
    <row r="2073">
      <c r="A2073" s="491" t="s">
        <v>2023</v>
      </c>
      <c r="B2073" s="491" t="s">
        <v>1857</v>
      </c>
      <c r="C2073" s="491" t="s">
        <v>72</v>
      </c>
      <c r="D2073" s="491" t="s">
        <v>565</v>
      </c>
      <c r="E2073" s="492" t="s">
        <v>134</v>
      </c>
      <c r="F2073" s="492">
        <v>4452.0</v>
      </c>
      <c r="G2073" s="492">
        <v>1073.0</v>
      </c>
      <c r="H2073" s="492">
        <v>24.1</v>
      </c>
      <c r="I2073" s="492">
        <v>5.16</v>
      </c>
      <c r="J2073" s="492">
        <v>3.44</v>
      </c>
      <c r="K2073" s="492">
        <v>4170.0</v>
      </c>
      <c r="L2073" s="492">
        <v>80869.0</v>
      </c>
      <c r="M2073" s="492">
        <v>0.9367</v>
      </c>
      <c r="N2073" s="6">
        <v>3.8863</v>
      </c>
    </row>
    <row r="2074">
      <c r="A2074" s="491" t="s">
        <v>2023</v>
      </c>
      <c r="B2074" s="491" t="s">
        <v>1857</v>
      </c>
      <c r="C2074" s="491" t="s">
        <v>72</v>
      </c>
      <c r="D2074" s="491" t="s">
        <v>565</v>
      </c>
      <c r="E2074" s="492" t="s">
        <v>367</v>
      </c>
      <c r="F2074" s="492">
        <v>4452.0</v>
      </c>
      <c r="G2074" s="492">
        <v>2245.0</v>
      </c>
      <c r="H2074" s="492">
        <v>50.43</v>
      </c>
      <c r="I2074" s="492">
        <v>3.85</v>
      </c>
      <c r="J2074" s="492">
        <v>3.98</v>
      </c>
      <c r="K2074" s="492">
        <v>3112.0</v>
      </c>
      <c r="L2074" s="492">
        <v>80869.0</v>
      </c>
      <c r="M2074" s="492">
        <v>0.699</v>
      </c>
      <c r="N2074" s="6">
        <v>1.3862</v>
      </c>
    </row>
    <row r="2075">
      <c r="A2075" s="491" t="s">
        <v>2023</v>
      </c>
      <c r="B2075" s="491" t="s">
        <v>1857</v>
      </c>
      <c r="C2075" s="491" t="s">
        <v>72</v>
      </c>
      <c r="D2075" s="491" t="s">
        <v>565</v>
      </c>
      <c r="E2075" s="492" t="s">
        <v>44</v>
      </c>
      <c r="F2075" s="492">
        <v>4452.0</v>
      </c>
      <c r="G2075" s="492">
        <v>2357.0</v>
      </c>
      <c r="H2075" s="492">
        <v>52.94</v>
      </c>
      <c r="I2075" s="492">
        <v>3.71</v>
      </c>
      <c r="J2075" s="492">
        <v>4.6</v>
      </c>
      <c r="K2075" s="492">
        <v>3000.0</v>
      </c>
      <c r="L2075" s="492">
        <v>80869.0</v>
      </c>
      <c r="M2075" s="492">
        <v>0.6739</v>
      </c>
      <c r="N2075" s="6">
        <v>1.2728</v>
      </c>
    </row>
    <row r="2076">
      <c r="A2076" s="491" t="s">
        <v>2023</v>
      </c>
      <c r="B2076" s="491" t="s">
        <v>1857</v>
      </c>
      <c r="C2076" s="491" t="s">
        <v>72</v>
      </c>
      <c r="D2076" s="491" t="s">
        <v>565</v>
      </c>
      <c r="E2076" s="492" t="s">
        <v>365</v>
      </c>
      <c r="F2076" s="492">
        <v>4452.0</v>
      </c>
      <c r="G2076" s="492">
        <v>1017.0</v>
      </c>
      <c r="H2076" s="492">
        <v>22.84</v>
      </c>
      <c r="I2076" s="492">
        <v>2.97</v>
      </c>
      <c r="J2076" s="492">
        <v>2.18</v>
      </c>
      <c r="K2076" s="492">
        <v>2400.0</v>
      </c>
      <c r="L2076" s="492">
        <v>80869.0</v>
      </c>
      <c r="M2076" s="492">
        <v>0.5391</v>
      </c>
      <c r="N2076" s="6">
        <v>2.3599</v>
      </c>
    </row>
    <row r="2077">
      <c r="A2077" s="491" t="s">
        <v>2023</v>
      </c>
      <c r="B2077" s="491" t="s">
        <v>1857</v>
      </c>
      <c r="C2077" s="491" t="s">
        <v>72</v>
      </c>
      <c r="D2077" s="491" t="s">
        <v>565</v>
      </c>
      <c r="E2077" s="492" t="s">
        <v>40</v>
      </c>
      <c r="F2077" s="492">
        <v>4452.0</v>
      </c>
      <c r="G2077" s="492">
        <v>955.0</v>
      </c>
      <c r="H2077" s="492">
        <v>21.45</v>
      </c>
      <c r="I2077" s="492">
        <v>2.29</v>
      </c>
      <c r="J2077" s="492">
        <v>2.1</v>
      </c>
      <c r="K2077" s="492">
        <v>1848.0</v>
      </c>
      <c r="L2077" s="492">
        <v>80869.0</v>
      </c>
      <c r="M2077" s="492">
        <v>0.4151</v>
      </c>
      <c r="N2077" s="6">
        <v>1.9351</v>
      </c>
    </row>
    <row r="2078">
      <c r="A2078" s="491" t="s">
        <v>2023</v>
      </c>
      <c r="B2078" s="491" t="s">
        <v>1857</v>
      </c>
      <c r="C2078" s="491" t="s">
        <v>72</v>
      </c>
      <c r="D2078" s="491" t="s">
        <v>565</v>
      </c>
      <c r="E2078" s="492" t="s">
        <v>369</v>
      </c>
      <c r="F2078" s="492">
        <v>4452.0</v>
      </c>
      <c r="G2078" s="492">
        <v>1067.0</v>
      </c>
      <c r="H2078" s="492">
        <v>23.97</v>
      </c>
      <c r="I2078" s="492">
        <v>1.46</v>
      </c>
      <c r="J2078" s="492">
        <v>1.35</v>
      </c>
      <c r="K2078" s="492">
        <v>1178.0</v>
      </c>
      <c r="L2078" s="492">
        <v>80869.0</v>
      </c>
      <c r="M2078" s="492">
        <v>0.2646</v>
      </c>
      <c r="N2078" s="6">
        <v>1.104</v>
      </c>
    </row>
    <row r="2079">
      <c r="A2079" s="491" t="s">
        <v>2023</v>
      </c>
      <c r="B2079" s="491" t="s">
        <v>1857</v>
      </c>
      <c r="C2079" s="491" t="s">
        <v>72</v>
      </c>
      <c r="D2079" s="491" t="s">
        <v>565</v>
      </c>
      <c r="E2079" s="492" t="s">
        <v>50</v>
      </c>
      <c r="F2079" s="492">
        <v>4452.0</v>
      </c>
      <c r="G2079" s="492">
        <v>663.0</v>
      </c>
      <c r="H2079" s="492">
        <v>14.89</v>
      </c>
      <c r="I2079" s="492">
        <v>1.0</v>
      </c>
      <c r="J2079" s="492">
        <v>0.97</v>
      </c>
      <c r="K2079" s="492">
        <v>809.0</v>
      </c>
      <c r="L2079" s="492">
        <v>80869.0</v>
      </c>
      <c r="M2079" s="492">
        <v>0.1817</v>
      </c>
      <c r="N2079" s="6">
        <v>1.2202</v>
      </c>
    </row>
    <row r="2080">
      <c r="A2080" s="491" t="s">
        <v>2023</v>
      </c>
      <c r="B2080" s="491" t="s">
        <v>1857</v>
      </c>
      <c r="C2080" s="491" t="s">
        <v>72</v>
      </c>
      <c r="D2080" s="491" t="s">
        <v>565</v>
      </c>
      <c r="E2080" s="492" t="s">
        <v>42</v>
      </c>
      <c r="F2080" s="492">
        <v>4452.0</v>
      </c>
      <c r="G2080" s="492">
        <v>529.0</v>
      </c>
      <c r="H2080" s="492">
        <v>11.88</v>
      </c>
      <c r="I2080" s="492">
        <v>0.77</v>
      </c>
      <c r="J2080" s="492">
        <v>0.92</v>
      </c>
      <c r="K2080" s="492">
        <v>620.0</v>
      </c>
      <c r="L2080" s="492">
        <v>80869.0</v>
      </c>
      <c r="M2080" s="492">
        <v>0.1393</v>
      </c>
      <c r="N2080" s="6">
        <v>1.172</v>
      </c>
    </row>
    <row r="2081">
      <c r="A2081" s="491" t="s">
        <v>2023</v>
      </c>
      <c r="B2081" s="491" t="s">
        <v>1857</v>
      </c>
      <c r="C2081" s="491" t="s">
        <v>72</v>
      </c>
      <c r="D2081" s="491" t="s">
        <v>565</v>
      </c>
      <c r="E2081" s="492" t="s">
        <v>189</v>
      </c>
      <c r="F2081" s="492">
        <v>4452.0</v>
      </c>
      <c r="G2081" s="492">
        <v>467.0</v>
      </c>
      <c r="H2081" s="492">
        <v>10.49</v>
      </c>
      <c r="I2081" s="492">
        <v>0.58</v>
      </c>
      <c r="J2081" s="492">
        <v>0.54</v>
      </c>
      <c r="K2081" s="492">
        <v>473.0</v>
      </c>
      <c r="L2081" s="492">
        <v>80869.0</v>
      </c>
      <c r="M2081" s="492">
        <v>0.1062</v>
      </c>
      <c r="N2081" s="6">
        <v>1.0128</v>
      </c>
    </row>
    <row r="2082">
      <c r="A2082" s="491" t="s">
        <v>2023</v>
      </c>
      <c r="B2082" s="491" t="s">
        <v>1857</v>
      </c>
      <c r="C2082" s="491" t="s">
        <v>72</v>
      </c>
      <c r="D2082" s="491" t="s">
        <v>565</v>
      </c>
      <c r="E2082" s="492" t="s">
        <v>312</v>
      </c>
      <c r="F2082" s="492">
        <v>4452.0</v>
      </c>
      <c r="G2082" s="492">
        <v>213.0</v>
      </c>
      <c r="H2082" s="492">
        <v>4.78</v>
      </c>
      <c r="I2082" s="492">
        <v>0.28</v>
      </c>
      <c r="J2082" s="492">
        <v>0.3</v>
      </c>
      <c r="K2082" s="492">
        <v>223.0</v>
      </c>
      <c r="L2082" s="492">
        <v>80869.0</v>
      </c>
      <c r="M2082" s="492">
        <v>0.0501</v>
      </c>
      <c r="N2082" s="6">
        <v>1.0469</v>
      </c>
    </row>
    <row r="2083">
      <c r="A2083" s="491" t="s">
        <v>2023</v>
      </c>
      <c r="B2083" s="491" t="s">
        <v>1857</v>
      </c>
      <c r="C2083" s="491" t="s">
        <v>72</v>
      </c>
      <c r="D2083" s="491" t="s">
        <v>565</v>
      </c>
      <c r="E2083" s="492" t="s">
        <v>43</v>
      </c>
      <c r="F2083" s="492">
        <v>4452.0</v>
      </c>
      <c r="G2083" s="492">
        <v>141.0</v>
      </c>
      <c r="H2083" s="492">
        <v>3.17</v>
      </c>
      <c r="I2083" s="492">
        <v>0.18</v>
      </c>
      <c r="J2083" s="492">
        <v>0.24</v>
      </c>
      <c r="K2083" s="492">
        <v>149.0</v>
      </c>
      <c r="L2083" s="492">
        <v>80869.0</v>
      </c>
      <c r="M2083" s="492">
        <v>0.0335</v>
      </c>
      <c r="N2083" s="6">
        <v>1.0567</v>
      </c>
    </row>
    <row r="2084">
      <c r="A2084" s="491" t="s">
        <v>2023</v>
      </c>
      <c r="B2084" s="491" t="s">
        <v>1857</v>
      </c>
      <c r="C2084" s="491" t="s">
        <v>72</v>
      </c>
      <c r="D2084" s="491" t="s">
        <v>565</v>
      </c>
      <c r="E2084" s="492" t="s">
        <v>310</v>
      </c>
      <c r="F2084" s="492">
        <v>4452.0</v>
      </c>
      <c r="G2084" s="492">
        <v>124.0</v>
      </c>
      <c r="H2084" s="492">
        <v>2.79</v>
      </c>
      <c r="I2084" s="492">
        <v>0.16</v>
      </c>
      <c r="J2084" s="492">
        <v>0.2</v>
      </c>
      <c r="K2084" s="492">
        <v>130.0</v>
      </c>
      <c r="L2084" s="492">
        <v>80869.0</v>
      </c>
      <c r="M2084" s="492">
        <v>0.0292</v>
      </c>
      <c r="N2084" s="6">
        <v>1.0484</v>
      </c>
    </row>
    <row r="2085">
      <c r="A2085" s="491" t="s">
        <v>2023</v>
      </c>
      <c r="B2085" s="491" t="s">
        <v>1857</v>
      </c>
      <c r="C2085" s="491" t="s">
        <v>72</v>
      </c>
      <c r="D2085" s="491" t="s">
        <v>565</v>
      </c>
      <c r="E2085" s="492" t="s">
        <v>32</v>
      </c>
      <c r="F2085" s="492">
        <v>4452.0</v>
      </c>
      <c r="G2085" s="492">
        <v>89.0</v>
      </c>
      <c r="H2085" s="492">
        <v>2.0</v>
      </c>
      <c r="I2085" s="492">
        <v>0.11</v>
      </c>
      <c r="J2085" s="492">
        <v>0.18</v>
      </c>
      <c r="K2085" s="492">
        <v>91.0</v>
      </c>
      <c r="L2085" s="492">
        <v>80869.0</v>
      </c>
      <c r="M2085" s="492">
        <v>0.0204</v>
      </c>
      <c r="N2085" s="6">
        <v>1.0225</v>
      </c>
    </row>
    <row r="2086">
      <c r="A2086" s="491" t="s">
        <v>2023</v>
      </c>
      <c r="B2086" s="491" t="s">
        <v>1857</v>
      </c>
      <c r="C2086" s="491" t="s">
        <v>72</v>
      </c>
      <c r="D2086" s="491" t="s">
        <v>565</v>
      </c>
      <c r="E2086" s="492" t="s">
        <v>311</v>
      </c>
      <c r="F2086" s="492">
        <v>4452.0</v>
      </c>
      <c r="G2086" s="492">
        <v>45.0</v>
      </c>
      <c r="H2086" s="492">
        <v>1.01</v>
      </c>
      <c r="I2086" s="492">
        <v>0.06</v>
      </c>
      <c r="J2086" s="492">
        <v>0.08</v>
      </c>
      <c r="K2086" s="492">
        <v>46.0</v>
      </c>
      <c r="L2086" s="492">
        <v>80869.0</v>
      </c>
      <c r="M2086" s="492">
        <v>0.0103</v>
      </c>
      <c r="N2086" s="6">
        <v>1.0222</v>
      </c>
    </row>
    <row r="2087">
      <c r="A2087" s="491" t="s">
        <v>2023</v>
      </c>
      <c r="B2087" s="491" t="s">
        <v>1857</v>
      </c>
      <c r="C2087" s="491" t="s">
        <v>1873</v>
      </c>
      <c r="D2087" s="491" t="s">
        <v>2018</v>
      </c>
      <c r="E2087" s="492" t="s">
        <v>372</v>
      </c>
      <c r="F2087" s="492">
        <v>3241.0</v>
      </c>
      <c r="G2087" s="492">
        <v>1240.0</v>
      </c>
      <c r="H2087" s="492">
        <v>38.26</v>
      </c>
      <c r="I2087" s="492">
        <v>30.28</v>
      </c>
      <c r="J2087" s="492">
        <v>23.83</v>
      </c>
      <c r="K2087" s="492">
        <v>38305.0</v>
      </c>
      <c r="L2087" s="492">
        <v>126495.0</v>
      </c>
      <c r="M2087" s="492">
        <v>11.8189</v>
      </c>
      <c r="N2087" s="6">
        <v>30.8911</v>
      </c>
    </row>
    <row r="2088">
      <c r="A2088" s="491" t="s">
        <v>2023</v>
      </c>
      <c r="B2088" s="491" t="s">
        <v>1857</v>
      </c>
      <c r="C2088" s="491" t="s">
        <v>1873</v>
      </c>
      <c r="D2088" s="491" t="s">
        <v>2018</v>
      </c>
      <c r="E2088" s="492" t="s">
        <v>369</v>
      </c>
      <c r="F2088" s="492">
        <v>3241.0</v>
      </c>
      <c r="G2088" s="492">
        <v>1681.0</v>
      </c>
      <c r="H2088" s="492">
        <v>51.87</v>
      </c>
      <c r="I2088" s="492">
        <v>25.57</v>
      </c>
      <c r="J2088" s="492">
        <v>31.16</v>
      </c>
      <c r="K2088" s="492">
        <v>32340.0</v>
      </c>
      <c r="L2088" s="492">
        <v>126495.0</v>
      </c>
      <c r="M2088" s="492">
        <v>9.9784</v>
      </c>
      <c r="N2088" s="6">
        <v>19.2385</v>
      </c>
    </row>
    <row r="2089">
      <c r="A2089" s="491" t="s">
        <v>2023</v>
      </c>
      <c r="B2089" s="491" t="s">
        <v>1857</v>
      </c>
      <c r="C2089" s="491" t="s">
        <v>1873</v>
      </c>
      <c r="D2089" s="491" t="s">
        <v>2018</v>
      </c>
      <c r="E2089" s="492" t="s">
        <v>134</v>
      </c>
      <c r="F2089" s="492">
        <v>3241.0</v>
      </c>
      <c r="G2089" s="492">
        <v>986.0</v>
      </c>
      <c r="H2089" s="492">
        <v>30.42</v>
      </c>
      <c r="I2089" s="492">
        <v>18.83</v>
      </c>
      <c r="J2089" s="492">
        <v>17.22</v>
      </c>
      <c r="K2089" s="492">
        <v>23825.0</v>
      </c>
      <c r="L2089" s="492">
        <v>126495.0</v>
      </c>
      <c r="M2089" s="492">
        <v>7.3511</v>
      </c>
      <c r="N2089" s="6">
        <v>24.1633</v>
      </c>
    </row>
    <row r="2090">
      <c r="A2090" s="491" t="s">
        <v>2023</v>
      </c>
      <c r="B2090" s="491" t="s">
        <v>1857</v>
      </c>
      <c r="C2090" s="491" t="s">
        <v>1873</v>
      </c>
      <c r="D2090" s="491" t="s">
        <v>2018</v>
      </c>
      <c r="E2090" s="492" t="s">
        <v>189</v>
      </c>
      <c r="F2090" s="492">
        <v>3241.0</v>
      </c>
      <c r="G2090" s="492">
        <v>770.0</v>
      </c>
      <c r="H2090" s="492">
        <v>23.76</v>
      </c>
      <c r="I2090" s="492">
        <v>11.3</v>
      </c>
      <c r="J2090" s="492">
        <v>13.72</v>
      </c>
      <c r="K2090" s="492">
        <v>14295.0</v>
      </c>
      <c r="L2090" s="492">
        <v>126495.0</v>
      </c>
      <c r="M2090" s="492">
        <v>4.4107</v>
      </c>
      <c r="N2090" s="6">
        <v>18.5649</v>
      </c>
    </row>
    <row r="2091">
      <c r="A2091" s="491" t="s">
        <v>2023</v>
      </c>
      <c r="B2091" s="491" t="s">
        <v>1857</v>
      </c>
      <c r="C2091" s="491" t="s">
        <v>1873</v>
      </c>
      <c r="D2091" s="491" t="s">
        <v>2018</v>
      </c>
      <c r="E2091" s="492" t="s">
        <v>35</v>
      </c>
      <c r="F2091" s="492">
        <v>3241.0</v>
      </c>
      <c r="G2091" s="492">
        <v>668.0</v>
      </c>
      <c r="H2091" s="492">
        <v>20.61</v>
      </c>
      <c r="I2091" s="492">
        <v>8.15</v>
      </c>
      <c r="J2091" s="492">
        <v>10.98</v>
      </c>
      <c r="K2091" s="492">
        <v>10305.0</v>
      </c>
      <c r="L2091" s="492">
        <v>126495.0</v>
      </c>
      <c r="M2091" s="492">
        <v>3.1796</v>
      </c>
      <c r="N2091" s="6">
        <v>15.4266</v>
      </c>
    </row>
    <row r="2092">
      <c r="A2092" s="491" t="s">
        <v>2023</v>
      </c>
      <c r="B2092" s="491" t="s">
        <v>1857</v>
      </c>
      <c r="C2092" s="491" t="s">
        <v>1873</v>
      </c>
      <c r="D2092" s="491" t="s">
        <v>2018</v>
      </c>
      <c r="E2092" s="492" t="s">
        <v>367</v>
      </c>
      <c r="F2092" s="492">
        <v>3241.0</v>
      </c>
      <c r="G2092" s="492">
        <v>211.0</v>
      </c>
      <c r="H2092" s="492">
        <v>6.51</v>
      </c>
      <c r="I2092" s="492">
        <v>5.1</v>
      </c>
      <c r="J2092" s="492">
        <v>2.51</v>
      </c>
      <c r="K2092" s="492">
        <v>6450.0</v>
      </c>
      <c r="L2092" s="492">
        <v>126495.0</v>
      </c>
      <c r="M2092" s="492">
        <v>1.9901</v>
      </c>
      <c r="N2092" s="6">
        <v>30.5687</v>
      </c>
    </row>
    <row r="2093">
      <c r="A2093" s="491" t="s">
        <v>2023</v>
      </c>
      <c r="B2093" s="491" t="s">
        <v>1857</v>
      </c>
      <c r="C2093" s="491" t="s">
        <v>1873</v>
      </c>
      <c r="D2093" s="491" t="s">
        <v>2018</v>
      </c>
      <c r="E2093" s="492" t="s">
        <v>370</v>
      </c>
      <c r="F2093" s="492">
        <v>3241.0</v>
      </c>
      <c r="G2093" s="492">
        <v>28.0</v>
      </c>
      <c r="H2093" s="492">
        <v>0.86</v>
      </c>
      <c r="I2093" s="492">
        <v>0.77</v>
      </c>
      <c r="J2093" s="492">
        <v>0.58</v>
      </c>
      <c r="K2093" s="492">
        <v>975.0</v>
      </c>
      <c r="L2093" s="492">
        <v>126495.0</v>
      </c>
      <c r="M2093" s="492">
        <v>0.3008</v>
      </c>
      <c r="N2093" s="6">
        <v>34.8214</v>
      </c>
    </row>
    <row r="2094">
      <c r="A2094" s="491" t="s">
        <v>2023</v>
      </c>
      <c r="B2094" s="491" t="s">
        <v>1857</v>
      </c>
      <c r="C2094" s="491" t="s">
        <v>1874</v>
      </c>
      <c r="D2094" s="491" t="s">
        <v>2018</v>
      </c>
      <c r="E2094" s="492" t="s">
        <v>372</v>
      </c>
      <c r="F2094" s="492">
        <v>4050.0</v>
      </c>
      <c r="G2094" s="492">
        <v>2683.0</v>
      </c>
      <c r="H2094" s="492">
        <v>66.25</v>
      </c>
      <c r="I2094" s="492">
        <v>37.19</v>
      </c>
      <c r="J2094" s="492">
        <v>36.43</v>
      </c>
      <c r="K2094" s="492">
        <v>103345.0</v>
      </c>
      <c r="L2094" s="492">
        <v>277850.0</v>
      </c>
      <c r="M2094" s="492">
        <v>25.5173</v>
      </c>
      <c r="N2094" s="6">
        <v>38.5184</v>
      </c>
    </row>
    <row r="2095">
      <c r="A2095" s="491" t="s">
        <v>2023</v>
      </c>
      <c r="B2095" s="491" t="s">
        <v>1857</v>
      </c>
      <c r="C2095" s="491" t="s">
        <v>1874</v>
      </c>
      <c r="D2095" s="491" t="s">
        <v>2018</v>
      </c>
      <c r="E2095" s="492" t="s">
        <v>134</v>
      </c>
      <c r="F2095" s="492">
        <v>4050.0</v>
      </c>
      <c r="G2095" s="492">
        <v>1267.0</v>
      </c>
      <c r="H2095" s="492">
        <v>31.28</v>
      </c>
      <c r="I2095" s="492">
        <v>25.07</v>
      </c>
      <c r="J2095" s="492">
        <v>14.02</v>
      </c>
      <c r="K2095" s="492">
        <v>69650.0</v>
      </c>
      <c r="L2095" s="492">
        <v>277850.0</v>
      </c>
      <c r="M2095" s="492">
        <v>17.1975</v>
      </c>
      <c r="N2095" s="6">
        <v>54.9724</v>
      </c>
    </row>
    <row r="2096">
      <c r="A2096" s="491" t="s">
        <v>2023</v>
      </c>
      <c r="B2096" s="491" t="s">
        <v>1857</v>
      </c>
      <c r="C2096" s="491" t="s">
        <v>1874</v>
      </c>
      <c r="D2096" s="491" t="s">
        <v>2018</v>
      </c>
      <c r="E2096" s="492" t="s">
        <v>369</v>
      </c>
      <c r="F2096" s="492">
        <v>4050.0</v>
      </c>
      <c r="G2096" s="492">
        <v>1819.0</v>
      </c>
      <c r="H2096" s="492">
        <v>44.91</v>
      </c>
      <c r="I2096" s="492">
        <v>13.24</v>
      </c>
      <c r="J2096" s="492">
        <v>16.4</v>
      </c>
      <c r="K2096" s="492">
        <v>36785.0</v>
      </c>
      <c r="L2096" s="492">
        <v>277850.0</v>
      </c>
      <c r="M2096" s="492">
        <v>9.0827</v>
      </c>
      <c r="N2096" s="6">
        <v>20.2226</v>
      </c>
    </row>
    <row r="2097">
      <c r="A2097" s="491" t="s">
        <v>2023</v>
      </c>
      <c r="B2097" s="491" t="s">
        <v>1857</v>
      </c>
      <c r="C2097" s="491" t="s">
        <v>1874</v>
      </c>
      <c r="D2097" s="491" t="s">
        <v>2018</v>
      </c>
      <c r="E2097" s="492" t="s">
        <v>44</v>
      </c>
      <c r="F2097" s="492">
        <v>4050.0</v>
      </c>
      <c r="G2097" s="492">
        <v>2234.0</v>
      </c>
      <c r="H2097" s="492">
        <v>55.16</v>
      </c>
      <c r="I2097" s="492">
        <v>10.17</v>
      </c>
      <c r="J2097" s="492">
        <v>16.98</v>
      </c>
      <c r="K2097" s="492">
        <v>28260.0</v>
      </c>
      <c r="L2097" s="492">
        <v>277850.0</v>
      </c>
      <c r="M2097" s="492">
        <v>6.9778</v>
      </c>
      <c r="N2097" s="6">
        <v>12.65</v>
      </c>
    </row>
    <row r="2098">
      <c r="A2098" s="491" t="s">
        <v>2023</v>
      </c>
      <c r="B2098" s="491" t="s">
        <v>1857</v>
      </c>
      <c r="C2098" s="491" t="s">
        <v>1874</v>
      </c>
      <c r="D2098" s="491" t="s">
        <v>2018</v>
      </c>
      <c r="E2098" s="492" t="s">
        <v>189</v>
      </c>
      <c r="F2098" s="492">
        <v>4050.0</v>
      </c>
      <c r="G2098" s="492">
        <v>811.0</v>
      </c>
      <c r="H2098" s="492">
        <v>20.02</v>
      </c>
      <c r="I2098" s="492">
        <v>5.32</v>
      </c>
      <c r="J2098" s="492">
        <v>7.75</v>
      </c>
      <c r="K2098" s="492">
        <v>14790.0</v>
      </c>
      <c r="L2098" s="492">
        <v>277850.0</v>
      </c>
      <c r="M2098" s="492">
        <v>3.6519</v>
      </c>
      <c r="N2098" s="6">
        <v>18.2367</v>
      </c>
    </row>
    <row r="2099">
      <c r="A2099" s="491" t="s">
        <v>2023</v>
      </c>
      <c r="B2099" s="491" t="s">
        <v>1857</v>
      </c>
      <c r="C2099" s="491" t="s">
        <v>1874</v>
      </c>
      <c r="D2099" s="491" t="s">
        <v>2018</v>
      </c>
      <c r="E2099" s="492" t="s">
        <v>367</v>
      </c>
      <c r="F2099" s="492">
        <v>4050.0</v>
      </c>
      <c r="G2099" s="492">
        <v>214.0</v>
      </c>
      <c r="H2099" s="492">
        <v>5.28</v>
      </c>
      <c r="I2099" s="492">
        <v>4.69</v>
      </c>
      <c r="J2099" s="492">
        <v>1.85</v>
      </c>
      <c r="K2099" s="492">
        <v>13020.0</v>
      </c>
      <c r="L2099" s="492">
        <v>277850.0</v>
      </c>
      <c r="M2099" s="492">
        <v>3.2148</v>
      </c>
      <c r="N2099" s="6">
        <v>60.8411</v>
      </c>
    </row>
    <row r="2100">
      <c r="A2100" s="491" t="s">
        <v>2023</v>
      </c>
      <c r="B2100" s="491" t="s">
        <v>1857</v>
      </c>
      <c r="C2100" s="491" t="s">
        <v>1874</v>
      </c>
      <c r="D2100" s="491" t="s">
        <v>2018</v>
      </c>
      <c r="E2100" s="492" t="s">
        <v>35</v>
      </c>
      <c r="F2100" s="492">
        <v>4050.0</v>
      </c>
      <c r="G2100" s="492">
        <v>718.0</v>
      </c>
      <c r="H2100" s="492">
        <v>17.73</v>
      </c>
      <c r="I2100" s="492">
        <v>3.96</v>
      </c>
      <c r="J2100" s="492">
        <v>6.23</v>
      </c>
      <c r="K2100" s="492">
        <v>10995.0</v>
      </c>
      <c r="L2100" s="492">
        <v>277850.0</v>
      </c>
      <c r="M2100" s="492">
        <v>2.7148</v>
      </c>
      <c r="N2100" s="6">
        <v>15.3134</v>
      </c>
    </row>
    <row r="2101">
      <c r="A2101" s="491" t="s">
        <v>2023</v>
      </c>
      <c r="B2101" s="491" t="s">
        <v>1857</v>
      </c>
      <c r="C2101" s="491" t="s">
        <v>1874</v>
      </c>
      <c r="D2101" s="491" t="s">
        <v>2018</v>
      </c>
      <c r="E2101" s="492" t="s">
        <v>370</v>
      </c>
      <c r="F2101" s="492">
        <v>4050.0</v>
      </c>
      <c r="G2101" s="492">
        <v>30.0</v>
      </c>
      <c r="H2101" s="492">
        <v>0.74</v>
      </c>
      <c r="I2101" s="492">
        <v>0.36</v>
      </c>
      <c r="J2101" s="492">
        <v>0.34</v>
      </c>
      <c r="K2101" s="492">
        <v>1005.0</v>
      </c>
      <c r="L2101" s="492">
        <v>277850.0</v>
      </c>
      <c r="M2101" s="492">
        <v>0.2481</v>
      </c>
      <c r="N2101" s="6">
        <v>33.5</v>
      </c>
    </row>
    <row r="2102">
      <c r="A2102" s="491" t="s">
        <v>2023</v>
      </c>
      <c r="B2102" s="491" t="s">
        <v>1857</v>
      </c>
      <c r="C2102" s="491" t="s">
        <v>1875</v>
      </c>
      <c r="D2102" s="491" t="s">
        <v>2018</v>
      </c>
      <c r="E2102" s="492" t="s">
        <v>372</v>
      </c>
      <c r="F2102" s="492">
        <v>4181.0</v>
      </c>
      <c r="G2102" s="492">
        <v>3376.0</v>
      </c>
      <c r="H2102" s="492">
        <v>80.75</v>
      </c>
      <c r="I2102" s="492">
        <v>38.44</v>
      </c>
      <c r="J2102" s="492">
        <v>46.32</v>
      </c>
      <c r="K2102" s="492">
        <v>136765.0</v>
      </c>
      <c r="L2102" s="492">
        <v>355790.0</v>
      </c>
      <c r="M2102" s="492">
        <v>32.7111</v>
      </c>
      <c r="N2102" s="6">
        <v>40.511</v>
      </c>
    </row>
    <row r="2103">
      <c r="A2103" s="491" t="s">
        <v>2023</v>
      </c>
      <c r="B2103" s="491" t="s">
        <v>1857</v>
      </c>
      <c r="C2103" s="491" t="s">
        <v>1875</v>
      </c>
      <c r="D2103" s="491" t="s">
        <v>2018</v>
      </c>
      <c r="E2103" s="492" t="s">
        <v>134</v>
      </c>
      <c r="F2103" s="492">
        <v>4181.0</v>
      </c>
      <c r="G2103" s="492">
        <v>1179.0</v>
      </c>
      <c r="H2103" s="492">
        <v>28.2</v>
      </c>
      <c r="I2103" s="492">
        <v>28.0</v>
      </c>
      <c r="J2103" s="492">
        <v>13.46</v>
      </c>
      <c r="K2103" s="492">
        <v>99635.0</v>
      </c>
      <c r="L2103" s="492">
        <v>355790.0</v>
      </c>
      <c r="M2103" s="492">
        <v>23.8304</v>
      </c>
      <c r="N2103" s="6">
        <v>84.5081</v>
      </c>
    </row>
    <row r="2104">
      <c r="A2104" s="491" t="s">
        <v>2023</v>
      </c>
      <c r="B2104" s="491" t="s">
        <v>1857</v>
      </c>
      <c r="C2104" s="491" t="s">
        <v>1875</v>
      </c>
      <c r="D2104" s="491" t="s">
        <v>2018</v>
      </c>
      <c r="E2104" s="492" t="s">
        <v>369</v>
      </c>
      <c r="F2104" s="492">
        <v>4181.0</v>
      </c>
      <c r="G2104" s="492">
        <v>1799.0</v>
      </c>
      <c r="H2104" s="492">
        <v>43.03</v>
      </c>
      <c r="I2104" s="492">
        <v>11.52</v>
      </c>
      <c r="J2104" s="492">
        <v>13.15</v>
      </c>
      <c r="K2104" s="492">
        <v>40990.0</v>
      </c>
      <c r="L2104" s="492">
        <v>355790.0</v>
      </c>
      <c r="M2104" s="492">
        <v>9.8039</v>
      </c>
      <c r="N2104" s="6">
        <v>22.7849</v>
      </c>
    </row>
    <row r="2105">
      <c r="A2105" s="491" t="s">
        <v>2023</v>
      </c>
      <c r="B2105" s="491" t="s">
        <v>1857</v>
      </c>
      <c r="C2105" s="491" t="s">
        <v>1875</v>
      </c>
      <c r="D2105" s="491" t="s">
        <v>2018</v>
      </c>
      <c r="E2105" s="492" t="s">
        <v>44</v>
      </c>
      <c r="F2105" s="492">
        <v>4181.0</v>
      </c>
      <c r="G2105" s="492">
        <v>2357.0</v>
      </c>
      <c r="H2105" s="492">
        <v>56.37</v>
      </c>
      <c r="I2105" s="492">
        <v>8.37</v>
      </c>
      <c r="J2105" s="492">
        <v>13.14</v>
      </c>
      <c r="K2105" s="492">
        <v>29780.0</v>
      </c>
      <c r="L2105" s="492">
        <v>355790.0</v>
      </c>
      <c r="M2105" s="492">
        <v>7.1227</v>
      </c>
      <c r="N2105" s="6">
        <v>12.6347</v>
      </c>
    </row>
    <row r="2106">
      <c r="A2106" s="491" t="s">
        <v>2023</v>
      </c>
      <c r="B2106" s="491" t="s">
        <v>1857</v>
      </c>
      <c r="C2106" s="491" t="s">
        <v>1875</v>
      </c>
      <c r="D2106" s="491" t="s">
        <v>2018</v>
      </c>
      <c r="E2106" s="492" t="s">
        <v>367</v>
      </c>
      <c r="F2106" s="492">
        <v>4181.0</v>
      </c>
      <c r="G2106" s="492">
        <v>337.0</v>
      </c>
      <c r="H2106" s="492">
        <v>8.06</v>
      </c>
      <c r="I2106" s="492">
        <v>5.73</v>
      </c>
      <c r="J2106" s="492">
        <v>2.92</v>
      </c>
      <c r="K2106" s="492">
        <v>20400.0</v>
      </c>
      <c r="L2106" s="492">
        <v>355790.0</v>
      </c>
      <c r="M2106" s="492">
        <v>4.8792</v>
      </c>
      <c r="N2106" s="6">
        <v>60.5341</v>
      </c>
    </row>
    <row r="2107">
      <c r="A2107" s="491" t="s">
        <v>2023</v>
      </c>
      <c r="B2107" s="491" t="s">
        <v>1857</v>
      </c>
      <c r="C2107" s="491" t="s">
        <v>1875</v>
      </c>
      <c r="D2107" s="491" t="s">
        <v>2018</v>
      </c>
      <c r="E2107" s="492" t="s">
        <v>189</v>
      </c>
      <c r="F2107" s="492">
        <v>4181.0</v>
      </c>
      <c r="G2107" s="492">
        <v>785.0</v>
      </c>
      <c r="H2107" s="492">
        <v>18.78</v>
      </c>
      <c r="I2107" s="492">
        <v>4.5</v>
      </c>
      <c r="J2107" s="492">
        <v>6.04</v>
      </c>
      <c r="K2107" s="492">
        <v>16010.0</v>
      </c>
      <c r="L2107" s="492">
        <v>355790.0</v>
      </c>
      <c r="M2107" s="492">
        <v>3.8292</v>
      </c>
      <c r="N2107" s="6">
        <v>20.3949</v>
      </c>
    </row>
    <row r="2108">
      <c r="A2108" s="491" t="s">
        <v>2023</v>
      </c>
      <c r="B2108" s="491" t="s">
        <v>1857</v>
      </c>
      <c r="C2108" s="491" t="s">
        <v>1875</v>
      </c>
      <c r="D2108" s="491" t="s">
        <v>2018</v>
      </c>
      <c r="E2108" s="492" t="s">
        <v>35</v>
      </c>
      <c r="F2108" s="492">
        <v>4181.0</v>
      </c>
      <c r="G2108" s="492">
        <v>736.0</v>
      </c>
      <c r="H2108" s="492">
        <v>17.6</v>
      </c>
      <c r="I2108" s="492">
        <v>3.15</v>
      </c>
      <c r="J2108" s="492">
        <v>4.72</v>
      </c>
      <c r="K2108" s="492">
        <v>11205.0</v>
      </c>
      <c r="L2108" s="492">
        <v>355790.0</v>
      </c>
      <c r="M2108" s="492">
        <v>2.68</v>
      </c>
      <c r="N2108" s="6">
        <v>15.2242</v>
      </c>
    </row>
    <row r="2109">
      <c r="A2109" s="491" t="s">
        <v>2023</v>
      </c>
      <c r="B2109" s="491" t="s">
        <v>1857</v>
      </c>
      <c r="C2109" s="491" t="s">
        <v>1875</v>
      </c>
      <c r="D2109" s="491" t="s">
        <v>2018</v>
      </c>
      <c r="E2109" s="492" t="s">
        <v>370</v>
      </c>
      <c r="F2109" s="492">
        <v>4181.0</v>
      </c>
      <c r="G2109" s="492">
        <v>30.0</v>
      </c>
      <c r="H2109" s="492">
        <v>0.72</v>
      </c>
      <c r="I2109" s="492">
        <v>0.28</v>
      </c>
      <c r="J2109" s="492">
        <v>0.26</v>
      </c>
      <c r="K2109" s="492">
        <v>1005.0</v>
      </c>
      <c r="L2109" s="492">
        <v>355790.0</v>
      </c>
      <c r="M2109" s="492">
        <v>0.2404</v>
      </c>
      <c r="N2109" s="6">
        <v>33.5</v>
      </c>
    </row>
    <row r="2110">
      <c r="A2110" s="491" t="s">
        <v>2023</v>
      </c>
      <c r="B2110" s="491" t="s">
        <v>1857</v>
      </c>
      <c r="C2110" s="491" t="s">
        <v>75</v>
      </c>
      <c r="D2110" s="491" t="s">
        <v>2018</v>
      </c>
      <c r="E2110" s="492" t="s">
        <v>371</v>
      </c>
      <c r="F2110" s="492">
        <v>4465.0</v>
      </c>
      <c r="G2110" s="492">
        <v>4462.0</v>
      </c>
      <c r="H2110" s="492">
        <v>99.93</v>
      </c>
      <c r="I2110" s="492">
        <v>48.77</v>
      </c>
      <c r="J2110" s="492">
        <v>46.6</v>
      </c>
      <c r="K2110" s="492">
        <v>3922640.0</v>
      </c>
      <c r="L2110" s="492">
        <v>8042396.0</v>
      </c>
      <c r="M2110" s="492">
        <v>878.5308</v>
      </c>
      <c r="N2110" s="6">
        <v>879.1215</v>
      </c>
    </row>
    <row r="2111">
      <c r="A2111" s="491" t="s">
        <v>2023</v>
      </c>
      <c r="B2111" s="491" t="s">
        <v>1857</v>
      </c>
      <c r="C2111" s="491" t="s">
        <v>75</v>
      </c>
      <c r="D2111" s="491" t="s">
        <v>2018</v>
      </c>
      <c r="E2111" s="492" t="s">
        <v>372</v>
      </c>
      <c r="F2111" s="492">
        <v>4465.0</v>
      </c>
      <c r="G2111" s="492">
        <v>3322.0</v>
      </c>
      <c r="H2111" s="492">
        <v>74.4</v>
      </c>
      <c r="I2111" s="492">
        <v>12.48</v>
      </c>
      <c r="J2111" s="492">
        <v>13.92</v>
      </c>
      <c r="K2111" s="492">
        <v>1003650.0</v>
      </c>
      <c r="L2111" s="492">
        <v>8042396.0</v>
      </c>
      <c r="M2111" s="492">
        <v>224.7816</v>
      </c>
      <c r="N2111" s="6">
        <v>302.1222</v>
      </c>
    </row>
    <row r="2112">
      <c r="A2112" s="491" t="s">
        <v>2023</v>
      </c>
      <c r="B2112" s="491" t="s">
        <v>1857</v>
      </c>
      <c r="C2112" s="491" t="s">
        <v>75</v>
      </c>
      <c r="D2112" s="491" t="s">
        <v>2018</v>
      </c>
      <c r="E2112" s="492" t="s">
        <v>366</v>
      </c>
      <c r="F2112" s="492">
        <v>4465.0</v>
      </c>
      <c r="G2112" s="492">
        <v>4128.0</v>
      </c>
      <c r="H2112" s="492">
        <v>92.45</v>
      </c>
      <c r="I2112" s="492">
        <v>11.81</v>
      </c>
      <c r="J2112" s="492">
        <v>13.0</v>
      </c>
      <c r="K2112" s="492">
        <v>950010.0</v>
      </c>
      <c r="L2112" s="492">
        <v>8042396.0</v>
      </c>
      <c r="M2112" s="492">
        <v>212.7682</v>
      </c>
      <c r="N2112" s="6">
        <v>230.1381</v>
      </c>
    </row>
    <row r="2113">
      <c r="A2113" s="491" t="s">
        <v>2023</v>
      </c>
      <c r="B2113" s="491" t="s">
        <v>1857</v>
      </c>
      <c r="C2113" s="491" t="s">
        <v>75</v>
      </c>
      <c r="D2113" s="491" t="s">
        <v>2018</v>
      </c>
      <c r="E2113" s="492" t="s">
        <v>49</v>
      </c>
      <c r="F2113" s="492">
        <v>4465.0</v>
      </c>
      <c r="G2113" s="492">
        <v>3323.0</v>
      </c>
      <c r="H2113" s="492">
        <v>74.42</v>
      </c>
      <c r="I2113" s="492">
        <v>5.73</v>
      </c>
      <c r="J2113" s="492">
        <v>6.16</v>
      </c>
      <c r="K2113" s="492">
        <v>460620.0</v>
      </c>
      <c r="L2113" s="492">
        <v>8042396.0</v>
      </c>
      <c r="M2113" s="492">
        <v>103.1624</v>
      </c>
      <c r="N2113" s="6">
        <v>138.6157</v>
      </c>
    </row>
    <row r="2114">
      <c r="A2114" s="491" t="s">
        <v>2023</v>
      </c>
      <c r="B2114" s="491" t="s">
        <v>1857</v>
      </c>
      <c r="C2114" s="491" t="s">
        <v>75</v>
      </c>
      <c r="D2114" s="491" t="s">
        <v>2018</v>
      </c>
      <c r="E2114" s="492" t="s">
        <v>370</v>
      </c>
      <c r="F2114" s="492">
        <v>4465.0</v>
      </c>
      <c r="G2114" s="492">
        <v>1656.0</v>
      </c>
      <c r="H2114" s="492">
        <v>37.09</v>
      </c>
      <c r="I2114" s="492">
        <v>4.78</v>
      </c>
      <c r="J2114" s="492">
        <v>2.39</v>
      </c>
      <c r="K2114" s="492">
        <v>384266.0</v>
      </c>
      <c r="L2114" s="492">
        <v>8042396.0</v>
      </c>
      <c r="M2114" s="492">
        <v>86.0618</v>
      </c>
      <c r="N2114" s="6">
        <v>232.0447</v>
      </c>
    </row>
    <row r="2115">
      <c r="A2115" s="491" t="s">
        <v>2023</v>
      </c>
      <c r="B2115" s="491" t="s">
        <v>1857</v>
      </c>
      <c r="C2115" s="491" t="s">
        <v>75</v>
      </c>
      <c r="D2115" s="491" t="s">
        <v>2018</v>
      </c>
      <c r="E2115" s="492" t="s">
        <v>44</v>
      </c>
      <c r="F2115" s="492">
        <v>4465.0</v>
      </c>
      <c r="G2115" s="492">
        <v>2689.0</v>
      </c>
      <c r="H2115" s="492">
        <v>60.22</v>
      </c>
      <c r="I2115" s="492">
        <v>3.69</v>
      </c>
      <c r="J2115" s="492">
        <v>4.81</v>
      </c>
      <c r="K2115" s="492">
        <v>296580.0</v>
      </c>
      <c r="L2115" s="492">
        <v>8042396.0</v>
      </c>
      <c r="M2115" s="492">
        <v>66.4233</v>
      </c>
      <c r="N2115" s="6">
        <v>110.2938</v>
      </c>
    </row>
    <row r="2116">
      <c r="A2116" s="491" t="s">
        <v>2023</v>
      </c>
      <c r="B2116" s="491" t="s">
        <v>1857</v>
      </c>
      <c r="C2116" s="491" t="s">
        <v>75</v>
      </c>
      <c r="D2116" s="491" t="s">
        <v>2018</v>
      </c>
      <c r="E2116" s="492" t="s">
        <v>367</v>
      </c>
      <c r="F2116" s="492">
        <v>4465.0</v>
      </c>
      <c r="G2116" s="492">
        <v>3144.0</v>
      </c>
      <c r="H2116" s="492">
        <v>70.41</v>
      </c>
      <c r="I2116" s="492">
        <v>2.77</v>
      </c>
      <c r="J2116" s="492">
        <v>2.49</v>
      </c>
      <c r="K2116" s="492">
        <v>222710.0</v>
      </c>
      <c r="L2116" s="492">
        <v>8042396.0</v>
      </c>
      <c r="M2116" s="492">
        <v>49.8791</v>
      </c>
      <c r="N2116" s="6">
        <v>70.8365</v>
      </c>
    </row>
    <row r="2117">
      <c r="A2117" s="491" t="s">
        <v>2023</v>
      </c>
      <c r="B2117" s="491" t="s">
        <v>1857</v>
      </c>
      <c r="C2117" s="491" t="s">
        <v>75</v>
      </c>
      <c r="D2117" s="491" t="s">
        <v>2018</v>
      </c>
      <c r="E2117" s="492" t="s">
        <v>369</v>
      </c>
      <c r="F2117" s="492">
        <v>4465.0</v>
      </c>
      <c r="G2117" s="492">
        <v>1838.0</v>
      </c>
      <c r="H2117" s="492">
        <v>41.16</v>
      </c>
      <c r="I2117" s="492">
        <v>2.64</v>
      </c>
      <c r="J2117" s="492">
        <v>3.02</v>
      </c>
      <c r="K2117" s="492">
        <v>212610.0</v>
      </c>
      <c r="L2117" s="492">
        <v>8042396.0</v>
      </c>
      <c r="M2117" s="492">
        <v>47.617</v>
      </c>
      <c r="N2117" s="6">
        <v>115.6746</v>
      </c>
    </row>
    <row r="2118">
      <c r="A2118" s="491" t="s">
        <v>2023</v>
      </c>
      <c r="B2118" s="491" t="s">
        <v>1857</v>
      </c>
      <c r="C2118" s="491" t="s">
        <v>75</v>
      </c>
      <c r="D2118" s="491" t="s">
        <v>2018</v>
      </c>
      <c r="E2118" s="492" t="s">
        <v>35</v>
      </c>
      <c r="F2118" s="492">
        <v>4465.0</v>
      </c>
      <c r="G2118" s="492">
        <v>1094.0</v>
      </c>
      <c r="H2118" s="492">
        <v>24.5</v>
      </c>
      <c r="I2118" s="492">
        <v>2.28</v>
      </c>
      <c r="J2118" s="492">
        <v>2.54</v>
      </c>
      <c r="K2118" s="492">
        <v>183090.0</v>
      </c>
      <c r="L2118" s="492">
        <v>8042396.0</v>
      </c>
      <c r="M2118" s="492">
        <v>41.0056</v>
      </c>
      <c r="N2118" s="6">
        <v>167.3583</v>
      </c>
    </row>
    <row r="2119">
      <c r="A2119" s="491" t="s">
        <v>2023</v>
      </c>
      <c r="B2119" s="491" t="s">
        <v>1857</v>
      </c>
      <c r="C2119" s="491" t="s">
        <v>75</v>
      </c>
      <c r="D2119" s="491" t="s">
        <v>2018</v>
      </c>
      <c r="E2119" s="492" t="s">
        <v>368</v>
      </c>
      <c r="F2119" s="492">
        <v>4465.0</v>
      </c>
      <c r="G2119" s="492">
        <v>2008.0</v>
      </c>
      <c r="H2119" s="492">
        <v>44.97</v>
      </c>
      <c r="I2119" s="492">
        <v>2.07</v>
      </c>
      <c r="J2119" s="492">
        <v>1.67</v>
      </c>
      <c r="K2119" s="492">
        <v>166670.0</v>
      </c>
      <c r="L2119" s="492">
        <v>8042396.0</v>
      </c>
      <c r="M2119" s="492">
        <v>37.3281</v>
      </c>
      <c r="N2119" s="6">
        <v>83.003</v>
      </c>
    </row>
    <row r="2120">
      <c r="A2120" s="491" t="s">
        <v>2023</v>
      </c>
      <c r="B2120" s="491" t="s">
        <v>1857</v>
      </c>
      <c r="C2120" s="491" t="s">
        <v>75</v>
      </c>
      <c r="D2120" s="491" t="s">
        <v>2018</v>
      </c>
      <c r="E2120" s="492" t="s">
        <v>189</v>
      </c>
      <c r="F2120" s="492">
        <v>4465.0</v>
      </c>
      <c r="G2120" s="492">
        <v>799.0</v>
      </c>
      <c r="H2120" s="492">
        <v>17.89</v>
      </c>
      <c r="I2120" s="492">
        <v>1.02</v>
      </c>
      <c r="J2120" s="492">
        <v>1.14</v>
      </c>
      <c r="K2120" s="492">
        <v>82110.0</v>
      </c>
      <c r="L2120" s="492">
        <v>8042396.0</v>
      </c>
      <c r="M2120" s="492">
        <v>18.3897</v>
      </c>
      <c r="N2120" s="6">
        <v>102.766</v>
      </c>
    </row>
    <row r="2121">
      <c r="A2121" s="491" t="s">
        <v>2023</v>
      </c>
      <c r="B2121" s="491" t="s">
        <v>1857</v>
      </c>
      <c r="C2121" s="491" t="s">
        <v>75</v>
      </c>
      <c r="D2121" s="491" t="s">
        <v>2018</v>
      </c>
      <c r="E2121" s="492" t="s">
        <v>43</v>
      </c>
      <c r="F2121" s="492">
        <v>4465.0</v>
      </c>
      <c r="G2121" s="492">
        <v>1712.0</v>
      </c>
      <c r="H2121" s="492">
        <v>38.34</v>
      </c>
      <c r="I2121" s="492">
        <v>0.77</v>
      </c>
      <c r="J2121" s="492">
        <v>0.96</v>
      </c>
      <c r="K2121" s="492">
        <v>61715.0</v>
      </c>
      <c r="L2121" s="492">
        <v>8042396.0</v>
      </c>
      <c r="M2121" s="492">
        <v>13.8219</v>
      </c>
      <c r="N2121" s="6">
        <v>36.0485</v>
      </c>
    </row>
    <row r="2122">
      <c r="A2122" s="491" t="s">
        <v>2023</v>
      </c>
      <c r="B2122" s="491" t="s">
        <v>1857</v>
      </c>
      <c r="C2122" s="491" t="s">
        <v>75</v>
      </c>
      <c r="D2122" s="491" t="s">
        <v>2018</v>
      </c>
      <c r="E2122" s="492" t="s">
        <v>32</v>
      </c>
      <c r="F2122" s="492">
        <v>4465.0</v>
      </c>
      <c r="G2122" s="492">
        <v>1014.0</v>
      </c>
      <c r="H2122" s="492">
        <v>22.71</v>
      </c>
      <c r="I2122" s="492">
        <v>0.46</v>
      </c>
      <c r="J2122" s="492">
        <v>0.63</v>
      </c>
      <c r="K2122" s="492">
        <v>36600.0</v>
      </c>
      <c r="L2122" s="492">
        <v>8042396.0</v>
      </c>
      <c r="M2122" s="492">
        <v>8.1971</v>
      </c>
      <c r="N2122" s="6">
        <v>36.0947</v>
      </c>
    </row>
    <row r="2123">
      <c r="A2123" s="491" t="s">
        <v>2023</v>
      </c>
      <c r="B2123" s="491" t="s">
        <v>1857</v>
      </c>
      <c r="C2123" s="491" t="s">
        <v>75</v>
      </c>
      <c r="D2123" s="491" t="s">
        <v>2018</v>
      </c>
      <c r="E2123" s="492" t="s">
        <v>365</v>
      </c>
      <c r="F2123" s="492">
        <v>4465.0</v>
      </c>
      <c r="G2123" s="492">
        <v>1227.0</v>
      </c>
      <c r="H2123" s="492">
        <v>27.48</v>
      </c>
      <c r="I2123" s="492">
        <v>0.45</v>
      </c>
      <c r="J2123" s="492">
        <v>0.39</v>
      </c>
      <c r="K2123" s="492">
        <v>36340.0</v>
      </c>
      <c r="L2123" s="492">
        <v>8042396.0</v>
      </c>
      <c r="M2123" s="492">
        <v>8.1389</v>
      </c>
      <c r="N2123" s="6">
        <v>29.617</v>
      </c>
    </row>
    <row r="2124">
      <c r="A2124" s="491" t="s">
        <v>2023</v>
      </c>
      <c r="B2124" s="491" t="s">
        <v>1857</v>
      </c>
      <c r="C2124" s="491" t="s">
        <v>75</v>
      </c>
      <c r="D2124" s="491" t="s">
        <v>2018</v>
      </c>
      <c r="E2124" s="492" t="s">
        <v>134</v>
      </c>
      <c r="F2124" s="492">
        <v>4465.0</v>
      </c>
      <c r="G2124" s="492">
        <v>454.0</v>
      </c>
      <c r="H2124" s="492">
        <v>10.17</v>
      </c>
      <c r="I2124" s="492">
        <v>0.26</v>
      </c>
      <c r="J2124" s="492">
        <v>0.24</v>
      </c>
      <c r="K2124" s="492">
        <v>20585.0</v>
      </c>
      <c r="L2124" s="492">
        <v>8042396.0</v>
      </c>
      <c r="M2124" s="492">
        <v>4.6103</v>
      </c>
      <c r="N2124" s="6">
        <v>45.3414</v>
      </c>
    </row>
    <row r="2125">
      <c r="A2125" s="491" t="s">
        <v>2023</v>
      </c>
      <c r="B2125" s="491" t="s">
        <v>1857</v>
      </c>
      <c r="C2125" s="491" t="s">
        <v>75</v>
      </c>
      <c r="D2125" s="491" t="s">
        <v>2018</v>
      </c>
      <c r="E2125" s="492" t="s">
        <v>50</v>
      </c>
      <c r="F2125" s="492">
        <v>4465.0</v>
      </c>
      <c r="G2125" s="492">
        <v>44.0</v>
      </c>
      <c r="H2125" s="492">
        <v>0.99</v>
      </c>
      <c r="I2125" s="492">
        <v>0.03</v>
      </c>
      <c r="J2125" s="492">
        <v>0.05</v>
      </c>
      <c r="K2125" s="492">
        <v>2180.0</v>
      </c>
      <c r="L2125" s="492">
        <v>8042396.0</v>
      </c>
      <c r="M2125" s="492">
        <v>0.4882</v>
      </c>
      <c r="N2125" s="6">
        <v>49.5455</v>
      </c>
    </row>
    <row r="2126">
      <c r="A2126" s="491" t="s">
        <v>2023</v>
      </c>
      <c r="B2126" s="491" t="s">
        <v>1857</v>
      </c>
      <c r="C2126" s="491" t="s">
        <v>75</v>
      </c>
      <c r="D2126" s="491" t="s">
        <v>2018</v>
      </c>
      <c r="E2126" s="492" t="s">
        <v>42</v>
      </c>
      <c r="F2126" s="492">
        <v>4465.0</v>
      </c>
      <c r="G2126" s="492">
        <v>1.0</v>
      </c>
      <c r="H2126" s="492">
        <v>0.02</v>
      </c>
      <c r="I2126" s="492">
        <v>0.0</v>
      </c>
      <c r="J2126" s="492">
        <v>0.0</v>
      </c>
      <c r="K2126" s="492">
        <v>20.0</v>
      </c>
      <c r="L2126" s="492">
        <v>8042396.0</v>
      </c>
      <c r="M2126" s="492">
        <v>0.0045</v>
      </c>
      <c r="N2126" s="6">
        <v>20.0</v>
      </c>
    </row>
    <row r="2127">
      <c r="A2127" s="491"/>
      <c r="B2127" s="491"/>
      <c r="C2127" s="491"/>
      <c r="D2127" s="491"/>
      <c r="E2127" s="492"/>
      <c r="F2127" s="492"/>
      <c r="G2127" s="492"/>
      <c r="H2127" s="492"/>
      <c r="I2127" s="492"/>
      <c r="J2127" s="492"/>
      <c r="K2127" s="492"/>
      <c r="L2127" s="492"/>
      <c r="M2127" s="492"/>
    </row>
    <row r="2128">
      <c r="A2128" s="491"/>
      <c r="B2128" s="491"/>
      <c r="C2128" s="491"/>
      <c r="D2128" s="491"/>
      <c r="E2128" s="492"/>
      <c r="F2128" s="492"/>
      <c r="G2128" s="492"/>
      <c r="H2128" s="492"/>
      <c r="I2128" s="492"/>
      <c r="J2128" s="492"/>
      <c r="K2128" s="492"/>
      <c r="L2128" s="492"/>
      <c r="M2128" s="492"/>
    </row>
    <row r="2129">
      <c r="A2129" s="491"/>
      <c r="B2129" s="491"/>
      <c r="C2129" s="491"/>
      <c r="D2129" s="491"/>
      <c r="E2129" s="492"/>
      <c r="F2129" s="492"/>
      <c r="G2129" s="492"/>
      <c r="H2129" s="492"/>
      <c r="I2129" s="492"/>
      <c r="J2129" s="492"/>
      <c r="K2129" s="492"/>
      <c r="L2129" s="492"/>
      <c r="M2129" s="492"/>
    </row>
    <row r="2130">
      <c r="A2130" s="491"/>
      <c r="B2130" s="491"/>
      <c r="C2130" s="491"/>
      <c r="D2130" s="491"/>
      <c r="E2130" s="492"/>
      <c r="F2130" s="492"/>
      <c r="G2130" s="492"/>
      <c r="H2130" s="492"/>
      <c r="I2130" s="492"/>
      <c r="J2130" s="492"/>
      <c r="K2130" s="492"/>
      <c r="L2130" s="492"/>
      <c r="M2130" s="492"/>
    </row>
    <row r="2131">
      <c r="A2131" s="491"/>
      <c r="B2131" s="491"/>
      <c r="C2131" s="491"/>
      <c r="D2131" s="491"/>
      <c r="E2131" s="492"/>
      <c r="F2131" s="492"/>
      <c r="G2131" s="492"/>
      <c r="H2131" s="492"/>
      <c r="I2131" s="492"/>
      <c r="J2131" s="492"/>
      <c r="K2131" s="492"/>
      <c r="L2131" s="492"/>
      <c r="M2131" s="492"/>
    </row>
    <row r="2132">
      <c r="A2132" s="491"/>
      <c r="B2132" s="491"/>
      <c r="C2132" s="491"/>
      <c r="D2132" s="491"/>
      <c r="E2132" s="492"/>
      <c r="F2132" s="492"/>
      <c r="G2132" s="492"/>
      <c r="H2132" s="492"/>
      <c r="I2132" s="492"/>
      <c r="J2132" s="492"/>
      <c r="K2132" s="492"/>
      <c r="L2132" s="492"/>
      <c r="M2132" s="492"/>
    </row>
    <row r="2133">
      <c r="A2133" s="491"/>
      <c r="B2133" s="491"/>
      <c r="C2133" s="491"/>
      <c r="D2133" s="491"/>
      <c r="E2133" s="492"/>
      <c r="F2133" s="492"/>
      <c r="G2133" s="492"/>
      <c r="H2133" s="492"/>
      <c r="I2133" s="492"/>
      <c r="J2133" s="492"/>
      <c r="K2133" s="492"/>
      <c r="L2133" s="492"/>
      <c r="M2133" s="492"/>
    </row>
    <row r="2134">
      <c r="A2134" s="491"/>
      <c r="B2134" s="491"/>
      <c r="C2134" s="491"/>
      <c r="D2134" s="491"/>
      <c r="E2134" s="492"/>
      <c r="F2134" s="492"/>
      <c r="G2134" s="492"/>
      <c r="H2134" s="492"/>
      <c r="I2134" s="492"/>
      <c r="J2134" s="492"/>
      <c r="K2134" s="492"/>
      <c r="L2134" s="492"/>
      <c r="M2134" s="492"/>
    </row>
    <row r="2135">
      <c r="A2135" s="491"/>
      <c r="B2135" s="491"/>
      <c r="C2135" s="491"/>
      <c r="D2135" s="491"/>
      <c r="E2135" s="492"/>
      <c r="F2135" s="492"/>
      <c r="G2135" s="492"/>
      <c r="H2135" s="492"/>
      <c r="I2135" s="492"/>
      <c r="J2135" s="492"/>
      <c r="K2135" s="492"/>
      <c r="L2135" s="492"/>
      <c r="M2135" s="492"/>
    </row>
    <row r="2136">
      <c r="A2136" s="491"/>
      <c r="B2136" s="491"/>
      <c r="C2136" s="491"/>
      <c r="D2136" s="491"/>
      <c r="E2136" s="492"/>
      <c r="F2136" s="492"/>
      <c r="G2136" s="492"/>
      <c r="H2136" s="492"/>
      <c r="I2136" s="492"/>
      <c r="J2136" s="492"/>
      <c r="K2136" s="492"/>
      <c r="L2136" s="492"/>
      <c r="M2136" s="492"/>
    </row>
    <row r="2137">
      <c r="A2137" s="491"/>
      <c r="B2137" s="491"/>
      <c r="C2137" s="491"/>
      <c r="D2137" s="491"/>
      <c r="E2137" s="492"/>
      <c r="F2137" s="492"/>
      <c r="G2137" s="492"/>
      <c r="H2137" s="492"/>
      <c r="I2137" s="492"/>
      <c r="J2137" s="492"/>
      <c r="K2137" s="492"/>
      <c r="L2137" s="492"/>
      <c r="M2137" s="492"/>
    </row>
    <row r="2138">
      <c r="A2138" s="491"/>
      <c r="B2138" s="491"/>
      <c r="C2138" s="491"/>
      <c r="D2138" s="491"/>
      <c r="E2138" s="492"/>
      <c r="F2138" s="492"/>
      <c r="G2138" s="492"/>
      <c r="H2138" s="492"/>
      <c r="I2138" s="492"/>
      <c r="J2138" s="492"/>
      <c r="K2138" s="492"/>
      <c r="L2138" s="492"/>
      <c r="M2138" s="492"/>
    </row>
    <row r="2139">
      <c r="A2139" s="491"/>
      <c r="B2139" s="491"/>
      <c r="C2139" s="491"/>
      <c r="D2139" s="491"/>
      <c r="E2139" s="492"/>
      <c r="F2139" s="492"/>
      <c r="G2139" s="492"/>
      <c r="H2139" s="492"/>
      <c r="I2139" s="492"/>
      <c r="J2139" s="492"/>
      <c r="K2139" s="492"/>
      <c r="L2139" s="492"/>
      <c r="M2139" s="492"/>
    </row>
    <row r="2140">
      <c r="A2140" s="491"/>
      <c r="B2140" s="491"/>
      <c r="C2140" s="491"/>
      <c r="D2140" s="491"/>
      <c r="E2140" s="492"/>
      <c r="F2140" s="492"/>
      <c r="G2140" s="492"/>
      <c r="H2140" s="492"/>
      <c r="I2140" s="492"/>
      <c r="J2140" s="492"/>
      <c r="K2140" s="492"/>
      <c r="L2140" s="492"/>
      <c r="M2140" s="492"/>
    </row>
    <row r="2141">
      <c r="A2141" s="491"/>
      <c r="B2141" s="491"/>
      <c r="C2141" s="491"/>
      <c r="D2141" s="491"/>
      <c r="E2141" s="492"/>
      <c r="F2141" s="492"/>
      <c r="G2141" s="492"/>
      <c r="H2141" s="492"/>
      <c r="I2141" s="492"/>
      <c r="J2141" s="492"/>
      <c r="K2141" s="492"/>
      <c r="L2141" s="492"/>
      <c r="M2141" s="492"/>
    </row>
    <row r="2142">
      <c r="A2142" s="491"/>
      <c r="B2142" s="491"/>
      <c r="C2142" s="491"/>
      <c r="D2142" s="491"/>
      <c r="E2142" s="492"/>
      <c r="F2142" s="492"/>
      <c r="G2142" s="492"/>
      <c r="H2142" s="492"/>
      <c r="I2142" s="492"/>
      <c r="J2142" s="492"/>
      <c r="K2142" s="492"/>
      <c r="L2142" s="492"/>
      <c r="M2142" s="492"/>
    </row>
    <row r="2143">
      <c r="A2143" s="491"/>
      <c r="B2143" s="491"/>
      <c r="C2143" s="491"/>
      <c r="D2143" s="491"/>
      <c r="E2143" s="492"/>
      <c r="F2143" s="492"/>
      <c r="G2143" s="492"/>
      <c r="H2143" s="492"/>
      <c r="I2143" s="492"/>
      <c r="J2143" s="492"/>
      <c r="K2143" s="492"/>
      <c r="L2143" s="492"/>
      <c r="M2143" s="492"/>
    </row>
    <row r="2144">
      <c r="A2144" s="491"/>
      <c r="B2144" s="491"/>
      <c r="C2144" s="491"/>
      <c r="D2144" s="491"/>
      <c r="E2144" s="492"/>
      <c r="F2144" s="492"/>
      <c r="G2144" s="492"/>
      <c r="H2144" s="492"/>
      <c r="I2144" s="492"/>
      <c r="J2144" s="492"/>
      <c r="K2144" s="492"/>
      <c r="L2144" s="492"/>
      <c r="M2144" s="492"/>
    </row>
    <row r="2145">
      <c r="A2145" s="491"/>
      <c r="B2145" s="491"/>
      <c r="C2145" s="491"/>
      <c r="D2145" s="491"/>
      <c r="E2145" s="492"/>
      <c r="F2145" s="492"/>
      <c r="G2145" s="492"/>
      <c r="H2145" s="492"/>
      <c r="I2145" s="492"/>
      <c r="J2145" s="492"/>
      <c r="K2145" s="492"/>
      <c r="L2145" s="492"/>
      <c r="M2145" s="492"/>
    </row>
    <row r="2146">
      <c r="A2146" s="491"/>
      <c r="B2146" s="491"/>
      <c r="C2146" s="491"/>
      <c r="D2146" s="491"/>
      <c r="E2146" s="492"/>
      <c r="F2146" s="492"/>
      <c r="G2146" s="492"/>
      <c r="H2146" s="492"/>
      <c r="I2146" s="492"/>
      <c r="J2146" s="492"/>
      <c r="K2146" s="492"/>
      <c r="L2146" s="492"/>
      <c r="M2146" s="492"/>
    </row>
    <row r="2147">
      <c r="A2147" s="491"/>
      <c r="B2147" s="491"/>
      <c r="C2147" s="491"/>
      <c r="D2147" s="491"/>
      <c r="E2147" s="492"/>
      <c r="F2147" s="492"/>
      <c r="G2147" s="492"/>
      <c r="H2147" s="492"/>
      <c r="I2147" s="492"/>
      <c r="J2147" s="492"/>
      <c r="K2147" s="492"/>
      <c r="L2147" s="492"/>
      <c r="M2147" s="492"/>
    </row>
    <row r="2148">
      <c r="A2148" s="491"/>
      <c r="B2148" s="491"/>
      <c r="C2148" s="491"/>
      <c r="D2148" s="491"/>
      <c r="E2148" s="492"/>
      <c r="F2148" s="492"/>
      <c r="G2148" s="492"/>
      <c r="H2148" s="492"/>
      <c r="I2148" s="492"/>
      <c r="J2148" s="492"/>
      <c r="K2148" s="492"/>
      <c r="L2148" s="492"/>
      <c r="M2148" s="492"/>
    </row>
    <row r="2149">
      <c r="A2149" s="491"/>
      <c r="B2149" s="491"/>
      <c r="C2149" s="491"/>
      <c r="D2149" s="491"/>
      <c r="E2149" s="492"/>
      <c r="F2149" s="492"/>
      <c r="G2149" s="492"/>
      <c r="H2149" s="492"/>
      <c r="I2149" s="492"/>
      <c r="J2149" s="492"/>
      <c r="K2149" s="492"/>
      <c r="L2149" s="492"/>
      <c r="M2149" s="492"/>
    </row>
    <row r="2150">
      <c r="A2150" s="491"/>
      <c r="B2150" s="491"/>
      <c r="C2150" s="491"/>
      <c r="D2150" s="491"/>
      <c r="E2150" s="492"/>
      <c r="F2150" s="492"/>
      <c r="G2150" s="492"/>
      <c r="H2150" s="492"/>
      <c r="I2150" s="492"/>
      <c r="J2150" s="492"/>
      <c r="K2150" s="492"/>
      <c r="L2150" s="492"/>
      <c r="M2150" s="492"/>
    </row>
    <row r="2151">
      <c r="A2151" s="491"/>
      <c r="B2151" s="491"/>
      <c r="C2151" s="491"/>
      <c r="D2151" s="491"/>
      <c r="E2151" s="492"/>
      <c r="F2151" s="492"/>
      <c r="G2151" s="492"/>
      <c r="H2151" s="492"/>
      <c r="I2151" s="492"/>
      <c r="J2151" s="492"/>
      <c r="K2151" s="492"/>
      <c r="L2151" s="492"/>
      <c r="M2151" s="492"/>
    </row>
  </sheetData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489" t="s">
        <v>2024</v>
      </c>
      <c r="B1" s="489" t="s">
        <v>2005</v>
      </c>
      <c r="C1" s="489" t="s">
        <v>2025</v>
      </c>
      <c r="D1" s="489" t="s">
        <v>2026</v>
      </c>
      <c r="E1" s="489" t="s">
        <v>2027</v>
      </c>
      <c r="F1" s="489" t="s">
        <v>2028</v>
      </c>
      <c r="G1" s="489" t="s">
        <v>2029</v>
      </c>
      <c r="H1" s="489" t="s">
        <v>2030</v>
      </c>
      <c r="I1" s="489" t="s">
        <v>2031</v>
      </c>
      <c r="J1" s="489" t="s">
        <v>2032</v>
      </c>
      <c r="K1" s="489" t="s">
        <v>2033</v>
      </c>
      <c r="L1" s="489" t="s">
        <v>2034</v>
      </c>
      <c r="M1" s="489" t="s">
        <v>2035</v>
      </c>
      <c r="N1" s="489" t="s">
        <v>2036</v>
      </c>
      <c r="O1" s="489" t="s">
        <v>2037</v>
      </c>
      <c r="P1" s="489" t="s">
        <v>2038</v>
      </c>
      <c r="Q1" s="489" t="s">
        <v>2039</v>
      </c>
      <c r="R1" s="489" t="s">
        <v>2040</v>
      </c>
      <c r="S1" s="489" t="s">
        <v>2041</v>
      </c>
      <c r="T1" s="489" t="s">
        <v>2042</v>
      </c>
      <c r="U1" s="489" t="s">
        <v>2043</v>
      </c>
      <c r="V1" s="489" t="s">
        <v>2044</v>
      </c>
      <c r="W1" s="489" t="s">
        <v>2045</v>
      </c>
      <c r="X1" s="489" t="s">
        <v>2046</v>
      </c>
      <c r="Y1" s="489" t="s">
        <v>2047</v>
      </c>
      <c r="Z1" s="489" t="s">
        <v>2048</v>
      </c>
      <c r="AA1" s="489" t="s">
        <v>2049</v>
      </c>
      <c r="AB1" s="489" t="s">
        <v>2050</v>
      </c>
      <c r="AC1" s="489" t="s">
        <v>2051</v>
      </c>
      <c r="AD1" s="489" t="s">
        <v>2052</v>
      </c>
      <c r="AE1" s="489" t="s">
        <v>2053</v>
      </c>
      <c r="AF1" s="489" t="s">
        <v>2054</v>
      </c>
      <c r="AG1" s="489" t="s">
        <v>2055</v>
      </c>
      <c r="AH1" s="489" t="s">
        <v>2056</v>
      </c>
      <c r="AI1" s="489" t="s">
        <v>2057</v>
      </c>
      <c r="AJ1" s="489" t="s">
        <v>2058</v>
      </c>
    </row>
    <row r="2">
      <c r="A2" s="5" t="s">
        <v>56</v>
      </c>
      <c r="B2" s="5" t="s">
        <v>163</v>
      </c>
      <c r="C2" s="6">
        <v>1.0</v>
      </c>
      <c r="D2" s="6">
        <v>140400.0</v>
      </c>
      <c r="E2" s="6">
        <v>1318733.0</v>
      </c>
      <c r="F2" s="6">
        <v>38786.0</v>
      </c>
      <c r="G2" s="6">
        <v>37.69</v>
      </c>
      <c r="H2" s="6">
        <v>9.28</v>
      </c>
      <c r="I2" s="6">
        <v>1.0</v>
      </c>
      <c r="J2" s="6">
        <v>5.0</v>
      </c>
      <c r="K2" s="6">
        <v>15.0</v>
      </c>
      <c r="L2" s="6">
        <v>25.0</v>
      </c>
      <c r="M2" s="6">
        <v>0.2752</v>
      </c>
      <c r="N2" s="6">
        <v>0.2671</v>
      </c>
      <c r="O2" s="6">
        <v>0.2755</v>
      </c>
      <c r="P2" s="6">
        <v>0.2779</v>
      </c>
      <c r="Q2" s="6">
        <v>0.2781</v>
      </c>
      <c r="R2" s="6">
        <v>0.2716</v>
      </c>
      <c r="S2" s="6">
        <v>0.2736</v>
      </c>
      <c r="T2" s="6">
        <v>0.2643</v>
      </c>
      <c r="U2" s="6">
        <v>0.2699</v>
      </c>
      <c r="V2" s="6">
        <v>3.93</v>
      </c>
      <c r="W2" s="6">
        <v>2.0</v>
      </c>
      <c r="X2" s="6">
        <v>5.0</v>
      </c>
      <c r="Y2" s="6">
        <v>10.0</v>
      </c>
      <c r="Z2" s="5" t="s">
        <v>1986</v>
      </c>
      <c r="AA2" s="6">
        <v>5.4477</v>
      </c>
      <c r="AB2" s="6">
        <v>13.8378</v>
      </c>
      <c r="AC2" s="6">
        <v>5.5682</v>
      </c>
      <c r="AD2" s="6">
        <v>29.9653</v>
      </c>
      <c r="AE2" s="6">
        <v>90.41</v>
      </c>
      <c r="AF2" s="6">
        <v>17.2489</v>
      </c>
      <c r="AG2" s="6">
        <v>3.94</v>
      </c>
      <c r="AH2" s="6">
        <v>3.0</v>
      </c>
      <c r="AI2" s="6">
        <v>5.0</v>
      </c>
      <c r="AJ2" s="6">
        <v>9.0</v>
      </c>
    </row>
    <row r="3">
      <c r="A3" s="5" t="s">
        <v>56</v>
      </c>
      <c r="B3" s="5" t="s">
        <v>1857</v>
      </c>
      <c r="C3" s="6">
        <v>1.0</v>
      </c>
      <c r="D3" s="6">
        <v>84915.0</v>
      </c>
      <c r="E3" s="6">
        <v>1021633.0</v>
      </c>
      <c r="F3" s="6">
        <v>30048.0</v>
      </c>
      <c r="G3" s="6">
        <v>37.69</v>
      </c>
      <c r="H3" s="6">
        <v>12.27</v>
      </c>
      <c r="I3" s="6">
        <v>3.0</v>
      </c>
      <c r="J3" s="6">
        <v>10.0</v>
      </c>
      <c r="K3" s="6">
        <v>21.0</v>
      </c>
      <c r="L3" s="6">
        <v>28.0</v>
      </c>
      <c r="M3" s="6">
        <v>0.3647</v>
      </c>
      <c r="N3" s="6">
        <v>0.3515</v>
      </c>
      <c r="O3" s="6">
        <v>0.3701</v>
      </c>
      <c r="P3" s="6">
        <v>0.3679</v>
      </c>
      <c r="Q3" s="6">
        <v>0.3668</v>
      </c>
      <c r="R3" s="6">
        <v>0.3555</v>
      </c>
      <c r="S3" s="6">
        <v>0.364</v>
      </c>
      <c r="T3" s="6">
        <v>0.3479</v>
      </c>
      <c r="U3" s="6">
        <v>0.355</v>
      </c>
      <c r="V3" s="6">
        <v>5.07</v>
      </c>
      <c r="W3" s="6">
        <v>3.0</v>
      </c>
      <c r="X3" s="6">
        <v>6.0</v>
      </c>
      <c r="Y3" s="6">
        <v>12.0</v>
      </c>
      <c r="Z3" s="5" t="s">
        <v>1986</v>
      </c>
      <c r="AA3" s="6">
        <v>5.2732</v>
      </c>
      <c r="AB3" s="6">
        <v>17.7077</v>
      </c>
      <c r="AC3" s="6">
        <v>5.398</v>
      </c>
      <c r="AD3" s="6">
        <v>33.2053</v>
      </c>
      <c r="AE3" s="6">
        <v>91.33</v>
      </c>
      <c r="AF3" s="6">
        <v>18.2361</v>
      </c>
      <c r="AG3" s="6">
        <v>3.59</v>
      </c>
      <c r="AH3" s="6">
        <v>2.0</v>
      </c>
      <c r="AI3" s="6">
        <v>5.0</v>
      </c>
      <c r="AJ3" s="6">
        <v>8.0</v>
      </c>
    </row>
    <row r="4">
      <c r="A4" s="5" t="s">
        <v>57</v>
      </c>
      <c r="B4" s="5" t="s">
        <v>163</v>
      </c>
      <c r="C4" s="6">
        <v>2.0</v>
      </c>
      <c r="D4" s="6">
        <v>74989.0</v>
      </c>
      <c r="E4" s="6">
        <v>891426.0</v>
      </c>
      <c r="F4" s="6">
        <v>26218.0</v>
      </c>
      <c r="G4" s="6">
        <v>34.08</v>
      </c>
      <c r="H4" s="6">
        <v>11.92</v>
      </c>
      <c r="I4" s="6">
        <v>2.0</v>
      </c>
      <c r="J4" s="6">
        <v>8.0</v>
      </c>
      <c r="K4" s="6">
        <v>21.0</v>
      </c>
      <c r="L4" s="6">
        <v>30.0</v>
      </c>
      <c r="M4" s="6">
        <v>0.3576</v>
      </c>
      <c r="N4" s="6">
        <v>0.3342</v>
      </c>
      <c r="O4" s="6">
        <v>0.373</v>
      </c>
      <c r="P4" s="6">
        <v>0.3728</v>
      </c>
      <c r="Q4" s="6">
        <v>0.3592</v>
      </c>
      <c r="R4" s="6">
        <v>0.3447</v>
      </c>
      <c r="S4" s="6">
        <v>0.3415</v>
      </c>
      <c r="T4" s="6">
        <v>0.3315</v>
      </c>
      <c r="U4" s="6">
        <v>0.337</v>
      </c>
      <c r="V4" s="6">
        <v>6.01</v>
      </c>
      <c r="W4" s="6">
        <v>3.0</v>
      </c>
      <c r="X4" s="6">
        <v>8.0</v>
      </c>
      <c r="Y4" s="6">
        <v>16.0</v>
      </c>
      <c r="Z4" s="5" t="s">
        <v>1986</v>
      </c>
      <c r="AA4" s="6">
        <v>13.7652</v>
      </c>
      <c r="AB4" s="6">
        <v>27.0903</v>
      </c>
      <c r="AC4" s="6">
        <v>14.3959</v>
      </c>
      <c r="AD4" s="6">
        <v>56.2064</v>
      </c>
      <c r="AE4" s="6">
        <v>89.22</v>
      </c>
      <c r="AF4" s="6">
        <v>17.8913</v>
      </c>
      <c r="AG4" s="6">
        <v>9.5</v>
      </c>
      <c r="AH4" s="6">
        <v>7.0</v>
      </c>
      <c r="AI4" s="6">
        <v>13.0</v>
      </c>
      <c r="AJ4" s="6">
        <v>20.0</v>
      </c>
    </row>
    <row r="5">
      <c r="A5" s="5" t="s">
        <v>57</v>
      </c>
      <c r="B5" s="5" t="s">
        <v>1857</v>
      </c>
      <c r="C5" s="6">
        <v>2.0</v>
      </c>
      <c r="D5" s="6">
        <v>38765.0</v>
      </c>
      <c r="E5" s="6">
        <v>506618.0</v>
      </c>
      <c r="F5" s="6">
        <v>14901.0</v>
      </c>
      <c r="G5" s="6">
        <v>34.08</v>
      </c>
      <c r="H5" s="6">
        <v>12.6</v>
      </c>
      <c r="I5" s="6">
        <v>2.0</v>
      </c>
      <c r="J5" s="6">
        <v>9.0</v>
      </c>
      <c r="K5" s="6">
        <v>23.0</v>
      </c>
      <c r="L5" s="6">
        <v>30.0</v>
      </c>
      <c r="M5" s="6">
        <v>0.3781</v>
      </c>
      <c r="N5" s="6">
        <v>0.3521</v>
      </c>
      <c r="O5" s="6">
        <v>0.3946</v>
      </c>
      <c r="P5" s="6">
        <v>0.3927</v>
      </c>
      <c r="Q5" s="6">
        <v>0.3809</v>
      </c>
      <c r="R5" s="6">
        <v>0.3639</v>
      </c>
      <c r="S5" s="6">
        <v>0.3614</v>
      </c>
      <c r="T5" s="6">
        <v>0.3503</v>
      </c>
      <c r="U5" s="6">
        <v>0.3539</v>
      </c>
      <c r="V5" s="6">
        <v>6.24</v>
      </c>
      <c r="W5" s="6">
        <v>3.0</v>
      </c>
      <c r="X5" s="6">
        <v>8.0</v>
      </c>
      <c r="Y5" s="6">
        <v>17.0</v>
      </c>
      <c r="Z5" s="5" t="s">
        <v>1986</v>
      </c>
      <c r="AA5" s="6">
        <v>13.5773</v>
      </c>
      <c r="AB5" s="6">
        <v>33.9006</v>
      </c>
      <c r="AC5" s="6">
        <v>14.2278</v>
      </c>
      <c r="AD5" s="6">
        <v>59.5645</v>
      </c>
      <c r="AE5" s="6">
        <v>90.07</v>
      </c>
      <c r="AF5" s="6">
        <v>18.446</v>
      </c>
      <c r="AG5" s="6">
        <v>9.09</v>
      </c>
      <c r="AH5" s="6">
        <v>6.0</v>
      </c>
      <c r="AI5" s="6">
        <v>13.0</v>
      </c>
      <c r="AJ5" s="6">
        <v>20.0</v>
      </c>
    </row>
    <row r="6">
      <c r="A6" s="5" t="s">
        <v>58</v>
      </c>
      <c r="B6" s="5" t="s">
        <v>163</v>
      </c>
      <c r="C6" s="6">
        <v>3.0</v>
      </c>
      <c r="D6" s="6">
        <v>48166.0</v>
      </c>
      <c r="E6" s="6">
        <v>525761.0</v>
      </c>
      <c r="F6" s="6">
        <v>15464.0</v>
      </c>
      <c r="G6" s="6">
        <v>34.03</v>
      </c>
      <c r="H6" s="6">
        <v>11.08</v>
      </c>
      <c r="I6" s="6">
        <v>2.0</v>
      </c>
      <c r="J6" s="6">
        <v>6.0</v>
      </c>
      <c r="K6" s="6">
        <v>19.0</v>
      </c>
      <c r="L6" s="6">
        <v>30.0</v>
      </c>
      <c r="M6" s="6">
        <v>0.3299</v>
      </c>
      <c r="N6" s="6">
        <v>0.3165</v>
      </c>
      <c r="O6" s="6">
        <v>0.3567</v>
      </c>
      <c r="P6" s="6">
        <v>0.3429</v>
      </c>
      <c r="Q6" s="6">
        <v>0.3209</v>
      </c>
      <c r="R6" s="6">
        <v>0.3158</v>
      </c>
      <c r="S6" s="6">
        <v>0.3158</v>
      </c>
      <c r="T6" s="6">
        <v>0.3125</v>
      </c>
      <c r="U6" s="6">
        <v>0.3205</v>
      </c>
      <c r="V6" s="6">
        <v>6.39</v>
      </c>
      <c r="W6" s="6">
        <v>3.0</v>
      </c>
      <c r="X6" s="6">
        <v>8.0</v>
      </c>
      <c r="Y6" s="6">
        <v>18.0</v>
      </c>
      <c r="Z6" s="5" t="s">
        <v>1986</v>
      </c>
      <c r="AA6" s="6">
        <v>26.5244</v>
      </c>
      <c r="AB6" s="6">
        <v>41.272</v>
      </c>
      <c r="AC6" s="6">
        <v>27.4915</v>
      </c>
      <c r="AD6" s="6">
        <v>80.5421</v>
      </c>
      <c r="AE6" s="6">
        <v>88.04</v>
      </c>
      <c r="AF6" s="6">
        <v>18.2265</v>
      </c>
      <c r="AG6" s="6">
        <v>18.28</v>
      </c>
      <c r="AH6" s="6">
        <v>14.0</v>
      </c>
      <c r="AI6" s="6">
        <v>25.0</v>
      </c>
      <c r="AJ6" s="6">
        <v>38.0</v>
      </c>
    </row>
    <row r="7">
      <c r="A7" s="5" t="s">
        <v>58</v>
      </c>
      <c r="B7" s="5" t="s">
        <v>1857</v>
      </c>
      <c r="C7" s="6">
        <v>3.0</v>
      </c>
      <c r="D7" s="6">
        <v>24849.0</v>
      </c>
      <c r="E7" s="6">
        <v>275372.0</v>
      </c>
      <c r="F7" s="6">
        <v>8099.0</v>
      </c>
      <c r="G7" s="6">
        <v>34.03</v>
      </c>
      <c r="H7" s="6">
        <v>10.97</v>
      </c>
      <c r="I7" s="6">
        <v>2.0</v>
      </c>
      <c r="J7" s="6">
        <v>6.0</v>
      </c>
      <c r="K7" s="6">
        <v>18.0</v>
      </c>
      <c r="L7" s="6">
        <v>30.0</v>
      </c>
      <c r="M7" s="6">
        <v>0.3263</v>
      </c>
      <c r="N7" s="6">
        <v>0.3142</v>
      </c>
      <c r="O7" s="6">
        <v>0.3458</v>
      </c>
      <c r="P7" s="6">
        <v>0.3367</v>
      </c>
      <c r="Q7" s="6">
        <v>0.3195</v>
      </c>
      <c r="R7" s="6">
        <v>0.3162</v>
      </c>
      <c r="S7" s="6">
        <v>0.3153</v>
      </c>
      <c r="T7" s="6">
        <v>0.3098</v>
      </c>
      <c r="U7" s="6">
        <v>0.3186</v>
      </c>
      <c r="V7" s="6">
        <v>6.21</v>
      </c>
      <c r="W7" s="6">
        <v>3.0</v>
      </c>
      <c r="X7" s="6">
        <v>7.0</v>
      </c>
      <c r="Y7" s="6">
        <v>17.0</v>
      </c>
      <c r="Z7" s="5" t="s">
        <v>1986</v>
      </c>
      <c r="AA7" s="6">
        <v>26.3517</v>
      </c>
      <c r="AB7" s="6">
        <v>49.4215</v>
      </c>
      <c r="AC7" s="6">
        <v>27.2499</v>
      </c>
      <c r="AD7" s="6">
        <v>83.3955</v>
      </c>
      <c r="AE7" s="6">
        <v>89.25</v>
      </c>
      <c r="AF7" s="6">
        <v>18.1153</v>
      </c>
      <c r="AG7" s="6">
        <v>17.97</v>
      </c>
      <c r="AH7" s="6">
        <v>13.0</v>
      </c>
      <c r="AI7" s="6">
        <v>26.0</v>
      </c>
      <c r="AJ7" s="6">
        <v>39.0</v>
      </c>
    </row>
    <row r="8">
      <c r="A8" s="5" t="s">
        <v>59</v>
      </c>
      <c r="B8" s="5" t="s">
        <v>163</v>
      </c>
      <c r="C8" s="6">
        <v>4.0</v>
      </c>
      <c r="D8" s="6">
        <v>25875.0</v>
      </c>
      <c r="E8" s="6">
        <v>249732.0</v>
      </c>
      <c r="F8" s="6">
        <v>7345.0</v>
      </c>
      <c r="G8" s="6">
        <v>32.98</v>
      </c>
      <c r="H8" s="6">
        <v>10.07</v>
      </c>
      <c r="I8" s="6">
        <v>2.0</v>
      </c>
      <c r="J8" s="6">
        <v>6.0</v>
      </c>
      <c r="K8" s="6">
        <v>14.0</v>
      </c>
      <c r="L8" s="6">
        <v>30.0</v>
      </c>
      <c r="M8" s="6">
        <v>0.2966</v>
      </c>
      <c r="N8" s="6">
        <v>0.2947</v>
      </c>
      <c r="O8" s="6">
        <v>0.3314</v>
      </c>
      <c r="P8" s="6">
        <v>0.296</v>
      </c>
      <c r="Q8" s="6">
        <v>0.2835</v>
      </c>
      <c r="R8" s="6">
        <v>0.2837</v>
      </c>
      <c r="S8" s="6">
        <v>0.2883</v>
      </c>
      <c r="T8" s="6">
        <v>0.2906</v>
      </c>
      <c r="U8" s="6">
        <v>0.2988</v>
      </c>
      <c r="V8" s="6">
        <v>6.98</v>
      </c>
      <c r="W8" s="6">
        <v>3.0</v>
      </c>
      <c r="X8" s="6">
        <v>8.0</v>
      </c>
      <c r="Y8" s="6">
        <v>20.0</v>
      </c>
      <c r="Z8" s="5" t="s">
        <v>1986</v>
      </c>
      <c r="AA8" s="6">
        <v>53.042</v>
      </c>
      <c r="AB8" s="6">
        <v>70.3428</v>
      </c>
      <c r="AC8" s="6">
        <v>54.0358</v>
      </c>
      <c r="AD8" s="6">
        <v>126.4772</v>
      </c>
      <c r="AE8" s="6">
        <v>86.22</v>
      </c>
      <c r="AF8" s="6">
        <v>19.3727</v>
      </c>
      <c r="AG8" s="6">
        <v>36.33</v>
      </c>
      <c r="AH8" s="6">
        <v>28.0</v>
      </c>
      <c r="AI8" s="6">
        <v>50.0</v>
      </c>
      <c r="AJ8" s="6">
        <v>78.0</v>
      </c>
    </row>
    <row r="9">
      <c r="A9" s="5" t="s">
        <v>59</v>
      </c>
      <c r="B9" s="5" t="s">
        <v>1857</v>
      </c>
      <c r="C9" s="6">
        <v>4.0</v>
      </c>
      <c r="D9" s="6">
        <v>12732.0</v>
      </c>
      <c r="E9" s="6">
        <v>121197.0</v>
      </c>
      <c r="F9" s="6">
        <v>3565.0</v>
      </c>
      <c r="G9" s="6">
        <v>32.98</v>
      </c>
      <c r="H9" s="6">
        <v>9.81</v>
      </c>
      <c r="I9" s="6">
        <v>2.0</v>
      </c>
      <c r="J9" s="6">
        <v>6.0</v>
      </c>
      <c r="K9" s="6">
        <v>14.0</v>
      </c>
      <c r="L9" s="6">
        <v>27.0</v>
      </c>
      <c r="M9" s="6">
        <v>0.2889</v>
      </c>
      <c r="N9" s="6">
        <v>0.2881</v>
      </c>
      <c r="O9" s="6">
        <v>0.3186</v>
      </c>
      <c r="P9" s="6">
        <v>0.288</v>
      </c>
      <c r="Q9" s="6">
        <v>0.277</v>
      </c>
      <c r="R9" s="6">
        <v>0.2775</v>
      </c>
      <c r="S9" s="6">
        <v>0.283</v>
      </c>
      <c r="T9" s="6">
        <v>0.2833</v>
      </c>
      <c r="U9" s="6">
        <v>0.2929</v>
      </c>
      <c r="V9" s="6">
        <v>6.32</v>
      </c>
      <c r="W9" s="6">
        <v>3.0</v>
      </c>
      <c r="X9" s="6">
        <v>8.0</v>
      </c>
      <c r="Y9" s="6">
        <v>17.0</v>
      </c>
      <c r="Z9" s="5" t="s">
        <v>1986</v>
      </c>
      <c r="AA9" s="6">
        <v>53.2409</v>
      </c>
      <c r="AB9" s="6">
        <v>78.8102</v>
      </c>
      <c r="AC9" s="6">
        <v>54.4693</v>
      </c>
      <c r="AD9" s="6">
        <v>126.7275</v>
      </c>
      <c r="AE9" s="6">
        <v>87.94</v>
      </c>
      <c r="AF9" s="6">
        <v>18.4856</v>
      </c>
      <c r="AG9" s="6">
        <v>36.74</v>
      </c>
      <c r="AH9" s="6">
        <v>28.0</v>
      </c>
      <c r="AI9" s="6">
        <v>51.0</v>
      </c>
      <c r="AJ9" s="6">
        <v>80.0</v>
      </c>
    </row>
    <row r="10">
      <c r="A10" s="5" t="s">
        <v>60</v>
      </c>
      <c r="B10" s="5" t="s">
        <v>163</v>
      </c>
      <c r="C10" s="6">
        <v>5.0</v>
      </c>
      <c r="D10" s="6">
        <v>4324.0</v>
      </c>
      <c r="E10" s="6">
        <v>32562.0</v>
      </c>
      <c r="F10" s="6">
        <v>958.0</v>
      </c>
      <c r="G10" s="6">
        <v>29.86</v>
      </c>
      <c r="H10" s="6">
        <v>6.3</v>
      </c>
      <c r="I10" s="6">
        <v>2.0</v>
      </c>
      <c r="J10" s="6">
        <v>3.0</v>
      </c>
      <c r="K10" s="6">
        <v>6.0</v>
      </c>
      <c r="L10" s="6">
        <v>19.0</v>
      </c>
      <c r="M10" s="6">
        <v>0.183</v>
      </c>
      <c r="N10" s="6">
        <v>0.191</v>
      </c>
      <c r="O10" s="6">
        <v>0.2047</v>
      </c>
      <c r="P10" s="6">
        <v>0.1799</v>
      </c>
      <c r="Q10" s="6">
        <v>0.1728</v>
      </c>
      <c r="R10" s="6">
        <v>0.1779</v>
      </c>
      <c r="S10" s="6">
        <v>0.1791</v>
      </c>
      <c r="T10" s="6">
        <v>0.1851</v>
      </c>
      <c r="U10" s="6">
        <v>0.1969</v>
      </c>
      <c r="V10" s="6">
        <v>5.21</v>
      </c>
      <c r="W10" s="6">
        <v>2.0</v>
      </c>
      <c r="X10" s="6">
        <v>5.0</v>
      </c>
      <c r="Y10" s="6">
        <v>14.0</v>
      </c>
      <c r="Z10" s="5" t="s">
        <v>1986</v>
      </c>
      <c r="AA10" s="6">
        <v>127.0909</v>
      </c>
      <c r="AB10" s="6">
        <v>152.1168</v>
      </c>
      <c r="AC10" s="6">
        <v>125.8402</v>
      </c>
      <c r="AD10" s="6">
        <v>242.9101</v>
      </c>
      <c r="AE10" s="6">
        <v>83.7</v>
      </c>
      <c r="AF10" s="6">
        <v>16.5976</v>
      </c>
      <c r="AG10" s="6">
        <v>80.73</v>
      </c>
      <c r="AH10" s="6">
        <v>63.0</v>
      </c>
      <c r="AI10" s="6">
        <v>116.0</v>
      </c>
      <c r="AJ10" s="6">
        <v>172.0</v>
      </c>
    </row>
    <row r="11">
      <c r="A11" s="5" t="s">
        <v>60</v>
      </c>
      <c r="B11" s="5" t="s">
        <v>1857</v>
      </c>
      <c r="C11" s="6">
        <v>5.0</v>
      </c>
      <c r="D11" s="6">
        <v>1841.0</v>
      </c>
      <c r="E11" s="6">
        <v>15505.0</v>
      </c>
      <c r="F11" s="6">
        <v>456.0</v>
      </c>
      <c r="G11" s="6">
        <v>29.86</v>
      </c>
      <c r="H11" s="6">
        <v>6.9</v>
      </c>
      <c r="I11" s="6">
        <v>2.0</v>
      </c>
      <c r="J11" s="6">
        <v>4.0</v>
      </c>
      <c r="K11" s="6">
        <v>8.0</v>
      </c>
      <c r="L11" s="6">
        <v>17.0</v>
      </c>
      <c r="M11" s="6">
        <v>0.1994</v>
      </c>
      <c r="N11" s="6">
        <v>0.2118</v>
      </c>
      <c r="O11" s="6">
        <v>0.2221</v>
      </c>
      <c r="P11" s="6">
        <v>0.2012</v>
      </c>
      <c r="Q11" s="6">
        <v>0.1887</v>
      </c>
      <c r="R11" s="6">
        <v>0.1923</v>
      </c>
      <c r="S11" s="6">
        <v>0.1929</v>
      </c>
      <c r="T11" s="6">
        <v>0.2039</v>
      </c>
      <c r="U11" s="6">
        <v>0.2198</v>
      </c>
      <c r="V11" s="6">
        <v>5.26</v>
      </c>
      <c r="W11" s="6">
        <v>3.0</v>
      </c>
      <c r="X11" s="6">
        <v>6.0</v>
      </c>
      <c r="Y11" s="6">
        <v>12.0</v>
      </c>
      <c r="Z11" s="5" t="s">
        <v>1986</v>
      </c>
      <c r="AA11" s="6">
        <v>127.2473</v>
      </c>
      <c r="AB11" s="6">
        <v>160.8246</v>
      </c>
      <c r="AC11" s="6">
        <v>127.2226</v>
      </c>
      <c r="AD11" s="6">
        <v>239.6307</v>
      </c>
      <c r="AE11" s="6">
        <v>86.32</v>
      </c>
      <c r="AF11" s="6">
        <v>16.4882</v>
      </c>
      <c r="AG11" s="6">
        <v>83.13</v>
      </c>
      <c r="AH11" s="6">
        <v>65.0</v>
      </c>
      <c r="AI11" s="6">
        <v>119.0</v>
      </c>
      <c r="AJ11" s="6">
        <v>177.0</v>
      </c>
    </row>
  </sheetData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489" t="s">
        <v>2059</v>
      </c>
      <c r="B1" s="489" t="s">
        <v>2005</v>
      </c>
      <c r="C1" s="489" t="s">
        <v>2024</v>
      </c>
      <c r="D1" s="489" t="s">
        <v>2025</v>
      </c>
      <c r="E1" s="489" t="s">
        <v>2060</v>
      </c>
      <c r="F1" s="489" t="s">
        <v>2061</v>
      </c>
      <c r="G1" s="489" t="s">
        <v>2062</v>
      </c>
      <c r="H1" s="489" t="s">
        <v>2063</v>
      </c>
      <c r="I1" s="489" t="s">
        <v>2064</v>
      </c>
      <c r="J1" s="489" t="s">
        <v>2065</v>
      </c>
      <c r="K1" s="489" t="s">
        <v>2066</v>
      </c>
      <c r="L1" s="489" t="s">
        <v>2067</v>
      </c>
      <c r="M1" s="489" t="s">
        <v>2068</v>
      </c>
      <c r="N1" s="489" t="s">
        <v>2069</v>
      </c>
      <c r="O1" s="489" t="s">
        <v>2070</v>
      </c>
      <c r="P1" s="489" t="s">
        <v>2071</v>
      </c>
      <c r="Q1" s="489" t="s">
        <v>2072</v>
      </c>
      <c r="R1" s="489" t="s">
        <v>2073</v>
      </c>
      <c r="S1" s="490"/>
      <c r="T1" s="490"/>
      <c r="U1" s="490"/>
      <c r="V1" s="490"/>
      <c r="W1" s="490"/>
      <c r="X1" s="490"/>
      <c r="Y1" s="490"/>
      <c r="Z1" s="490"/>
    </row>
    <row r="2">
      <c r="A2" s="5" t="s">
        <v>71</v>
      </c>
      <c r="B2" s="5" t="s">
        <v>163</v>
      </c>
      <c r="C2" s="5" t="s">
        <v>56</v>
      </c>
      <c r="D2" s="6">
        <v>1.0</v>
      </c>
      <c r="E2" s="6">
        <v>5.0</v>
      </c>
      <c r="F2" s="6">
        <v>261767.0</v>
      </c>
      <c r="G2" s="6">
        <v>25675.0</v>
      </c>
      <c r="H2" s="494">
        <v>0.4904</v>
      </c>
      <c r="I2" s="494">
        <v>0.7618</v>
      </c>
      <c r="J2" s="494">
        <v>0.0</v>
      </c>
      <c r="K2" s="6">
        <v>6.0</v>
      </c>
      <c r="L2" s="6">
        <v>11.0</v>
      </c>
      <c r="M2" s="6">
        <v>16.0</v>
      </c>
      <c r="N2" s="6">
        <v>28.7</v>
      </c>
      <c r="O2" s="6">
        <v>0.0</v>
      </c>
      <c r="P2" s="494">
        <v>3.2182950429557313</v>
      </c>
      <c r="Q2" s="494">
        <v>10.963279689941535</v>
      </c>
      <c r="R2" s="494">
        <v>32.71240694055729</v>
      </c>
    </row>
    <row r="3">
      <c r="A3" s="5" t="s">
        <v>71</v>
      </c>
      <c r="B3" s="5" t="s">
        <v>1857</v>
      </c>
      <c r="C3" s="5" t="s">
        <v>56</v>
      </c>
      <c r="D3" s="6">
        <v>1.0</v>
      </c>
      <c r="E3" s="6">
        <v>5.0</v>
      </c>
      <c r="F3" s="6">
        <v>197613.0</v>
      </c>
      <c r="G3" s="6">
        <v>20652.0</v>
      </c>
      <c r="H3" s="494">
        <v>0.5225</v>
      </c>
      <c r="I3" s="494">
        <v>0.7976</v>
      </c>
      <c r="J3" s="494">
        <v>0.0</v>
      </c>
      <c r="K3" s="6">
        <v>7.0</v>
      </c>
      <c r="L3" s="6">
        <v>12.0</v>
      </c>
      <c r="M3" s="6">
        <v>17.0</v>
      </c>
      <c r="N3" s="6">
        <v>27.1</v>
      </c>
      <c r="O3" s="6">
        <v>0.0</v>
      </c>
      <c r="P3" s="494">
        <v>2.2676609251060613</v>
      </c>
      <c r="Q3" s="494">
        <v>7.776906007499805</v>
      </c>
      <c r="R3" s="494">
        <v>27.404569456703047</v>
      </c>
    </row>
    <row r="4">
      <c r="A4" s="5" t="s">
        <v>71</v>
      </c>
      <c r="B4" s="5" t="s">
        <v>163</v>
      </c>
      <c r="C4" s="5" t="s">
        <v>57</v>
      </c>
      <c r="D4" s="6">
        <v>2.0</v>
      </c>
      <c r="E4" s="6">
        <v>5.0</v>
      </c>
      <c r="F4" s="6">
        <v>166201.0</v>
      </c>
      <c r="G4" s="6">
        <v>23512.0</v>
      </c>
      <c r="H4" s="494">
        <v>0.7073</v>
      </c>
      <c r="I4" s="494">
        <v>0.8124</v>
      </c>
      <c r="J4" s="494">
        <v>0.0</v>
      </c>
      <c r="K4" s="6">
        <v>4.0</v>
      </c>
      <c r="L4" s="6">
        <v>8.0</v>
      </c>
      <c r="M4" s="6">
        <v>13.0</v>
      </c>
      <c r="N4" s="6">
        <v>74.6</v>
      </c>
      <c r="O4" s="6">
        <v>0.0</v>
      </c>
      <c r="P4" s="494">
        <v>10.755169973690867</v>
      </c>
      <c r="Q4" s="494">
        <v>37.669124700598125</v>
      </c>
      <c r="R4" s="494">
        <v>97.7971593383268</v>
      </c>
    </row>
    <row r="5">
      <c r="A5" s="5" t="s">
        <v>71</v>
      </c>
      <c r="B5" s="5" t="s">
        <v>1857</v>
      </c>
      <c r="C5" s="5" t="s">
        <v>57</v>
      </c>
      <c r="D5" s="6">
        <v>2.0</v>
      </c>
      <c r="E5" s="6">
        <v>5.0</v>
      </c>
      <c r="F5" s="6">
        <v>95528.0</v>
      </c>
      <c r="G5" s="6">
        <v>13415.0</v>
      </c>
      <c r="H5" s="494">
        <v>0.7022</v>
      </c>
      <c r="I5" s="494">
        <v>0.8208</v>
      </c>
      <c r="J5" s="494">
        <v>0.0</v>
      </c>
      <c r="K5" s="6">
        <v>4.0</v>
      </c>
      <c r="L5" s="6">
        <v>8.0</v>
      </c>
      <c r="M5" s="6">
        <v>14.0</v>
      </c>
      <c r="N5" s="6">
        <v>76.4</v>
      </c>
      <c r="O5" s="6">
        <v>0.0</v>
      </c>
      <c r="P5" s="494">
        <v>7.387268768195947</v>
      </c>
      <c r="Q5" s="494">
        <v>34.27227271970335</v>
      </c>
      <c r="R5" s="494">
        <v>105.7421319968509</v>
      </c>
    </row>
    <row r="6">
      <c r="A6" s="5" t="s">
        <v>71</v>
      </c>
      <c r="B6" s="5" t="s">
        <v>163</v>
      </c>
      <c r="C6" s="5" t="s">
        <v>58</v>
      </c>
      <c r="D6" s="6">
        <v>3.0</v>
      </c>
      <c r="E6" s="6">
        <v>5.0</v>
      </c>
      <c r="F6" s="6">
        <v>97468.0</v>
      </c>
      <c r="G6" s="6">
        <v>15163.0</v>
      </c>
      <c r="H6" s="494">
        <v>0.7778</v>
      </c>
      <c r="I6" s="494">
        <v>0.8265</v>
      </c>
      <c r="J6" s="494">
        <v>0.0</v>
      </c>
      <c r="K6" s="6">
        <v>3.0</v>
      </c>
      <c r="L6" s="6">
        <v>5.0</v>
      </c>
      <c r="M6" s="6">
        <v>9.0</v>
      </c>
      <c r="N6" s="6">
        <v>158.9</v>
      </c>
      <c r="O6" s="6">
        <v>0.0</v>
      </c>
      <c r="P6" s="494">
        <v>33.93025936649807</v>
      </c>
      <c r="Q6" s="494">
        <v>103.5850706269479</v>
      </c>
      <c r="R6" s="494">
        <v>220.91581871840557</v>
      </c>
    </row>
    <row r="7">
      <c r="A7" s="5" t="s">
        <v>71</v>
      </c>
      <c r="B7" s="5" t="s">
        <v>1857</v>
      </c>
      <c r="C7" s="5" t="s">
        <v>58</v>
      </c>
      <c r="D7" s="6">
        <v>3.0</v>
      </c>
      <c r="E7" s="6">
        <v>5.0</v>
      </c>
      <c r="F7" s="6">
        <v>52181.0</v>
      </c>
      <c r="G7" s="6">
        <v>7926.0</v>
      </c>
      <c r="H7" s="494">
        <v>0.7595</v>
      </c>
      <c r="I7" s="494">
        <v>0.818</v>
      </c>
      <c r="J7" s="494">
        <v>0.0</v>
      </c>
      <c r="K7" s="6">
        <v>2.0</v>
      </c>
      <c r="L7" s="6">
        <v>5.0</v>
      </c>
      <c r="M7" s="6">
        <v>10.0</v>
      </c>
      <c r="N7" s="6">
        <v>165.3</v>
      </c>
      <c r="O7" s="6">
        <v>0.0</v>
      </c>
      <c r="P7" s="494">
        <v>24.269315588548878</v>
      </c>
      <c r="Q7" s="494">
        <v>95.5725996776967</v>
      </c>
      <c r="R7" s="494">
        <v>232.06449955238304</v>
      </c>
    </row>
    <row r="8">
      <c r="A8" s="5" t="s">
        <v>71</v>
      </c>
      <c r="B8" s="5" t="s">
        <v>163</v>
      </c>
      <c r="C8" s="5" t="s">
        <v>59</v>
      </c>
      <c r="D8" s="6">
        <v>4.0</v>
      </c>
      <c r="E8" s="6">
        <v>5.0</v>
      </c>
      <c r="F8" s="6">
        <v>45682.0</v>
      </c>
      <c r="G8" s="6">
        <v>7745.0</v>
      </c>
      <c r="H8" s="494">
        <v>0.8478</v>
      </c>
      <c r="I8" s="494">
        <v>0.8706</v>
      </c>
      <c r="J8" s="494">
        <v>0.0</v>
      </c>
      <c r="K8" s="6">
        <v>1.0</v>
      </c>
      <c r="L8" s="6">
        <v>3.0</v>
      </c>
      <c r="M8" s="6">
        <v>6.0</v>
      </c>
      <c r="N8" s="6">
        <v>351.7</v>
      </c>
      <c r="O8" s="6">
        <v>0.0</v>
      </c>
      <c r="P8" s="494">
        <v>95.15472180086579</v>
      </c>
      <c r="Q8" s="494">
        <v>238.3128688297859</v>
      </c>
      <c r="R8" s="494">
        <v>497.131335198276</v>
      </c>
    </row>
    <row r="9">
      <c r="A9" s="5" t="s">
        <v>71</v>
      </c>
      <c r="B9" s="5" t="s">
        <v>1857</v>
      </c>
      <c r="C9" s="5" t="s">
        <v>59</v>
      </c>
      <c r="D9" s="6">
        <v>4.0</v>
      </c>
      <c r="E9" s="6">
        <v>5.0</v>
      </c>
      <c r="F9" s="6">
        <v>23031.0</v>
      </c>
      <c r="G9" s="6">
        <v>3729.0</v>
      </c>
      <c r="H9" s="494">
        <v>0.8095</v>
      </c>
      <c r="I9" s="494">
        <v>0.8363</v>
      </c>
      <c r="J9" s="494">
        <v>0.0</v>
      </c>
      <c r="K9" s="6">
        <v>1.0</v>
      </c>
      <c r="L9" s="6">
        <v>3.0</v>
      </c>
      <c r="M9" s="6">
        <v>6.0</v>
      </c>
      <c r="N9" s="6">
        <v>371.5</v>
      </c>
      <c r="O9" s="6">
        <v>0.0</v>
      </c>
      <c r="P9" s="494">
        <v>81.16524686520373</v>
      </c>
      <c r="Q9" s="494">
        <v>249.54757898511747</v>
      </c>
      <c r="R9" s="494">
        <v>521.1267519416625</v>
      </c>
    </row>
    <row r="10">
      <c r="A10" s="5" t="s">
        <v>71</v>
      </c>
      <c r="B10" s="5" t="s">
        <v>163</v>
      </c>
      <c r="C10" s="5" t="s">
        <v>60</v>
      </c>
      <c r="D10" s="6">
        <v>5.0</v>
      </c>
      <c r="E10" s="6">
        <v>5.0</v>
      </c>
      <c r="F10" s="6">
        <v>6336.0</v>
      </c>
      <c r="G10" s="6">
        <v>1123.0</v>
      </c>
      <c r="H10" s="494">
        <v>0.886</v>
      </c>
      <c r="I10" s="494">
        <v>0.8985</v>
      </c>
      <c r="J10" s="494">
        <v>0.0</v>
      </c>
      <c r="K10" s="6">
        <v>1.0</v>
      </c>
      <c r="L10" s="6">
        <v>1.0</v>
      </c>
      <c r="M10" s="6">
        <v>3.0</v>
      </c>
      <c r="N10" s="6">
        <v>809.0</v>
      </c>
      <c r="O10" s="6">
        <v>0.0</v>
      </c>
      <c r="P10" s="494">
        <v>263.9516250944822</v>
      </c>
      <c r="Q10" s="494">
        <v>606.0850940498973</v>
      </c>
      <c r="R10" s="494">
        <v>1145.3186257723519</v>
      </c>
    </row>
    <row r="11">
      <c r="A11" s="5" t="s">
        <v>71</v>
      </c>
      <c r="B11" s="5" t="s">
        <v>1857</v>
      </c>
      <c r="C11" s="5" t="s">
        <v>60</v>
      </c>
      <c r="D11" s="6">
        <v>5.0</v>
      </c>
      <c r="E11" s="6">
        <v>5.0</v>
      </c>
      <c r="F11" s="6">
        <v>3106.0</v>
      </c>
      <c r="G11" s="6">
        <v>524.0</v>
      </c>
      <c r="H11" s="494">
        <v>0.8439</v>
      </c>
      <c r="I11" s="494">
        <v>0.8551</v>
      </c>
      <c r="J11" s="494">
        <v>0.0</v>
      </c>
      <c r="K11" s="6">
        <v>1.0</v>
      </c>
      <c r="L11" s="6">
        <v>1.0</v>
      </c>
      <c r="M11" s="6">
        <v>3.0</v>
      </c>
      <c r="N11" s="6">
        <v>845.1</v>
      </c>
      <c r="O11" s="6">
        <v>0.0</v>
      </c>
      <c r="P11" s="494">
        <v>242.801775147929</v>
      </c>
      <c r="Q11" s="494">
        <v>613.2484708190891</v>
      </c>
      <c r="R11" s="494">
        <v>1216.7205282080395</v>
      </c>
    </row>
    <row r="12">
      <c r="A12" s="5" t="s">
        <v>2074</v>
      </c>
      <c r="B12" s="5" t="s">
        <v>163</v>
      </c>
      <c r="C12" s="5" t="s">
        <v>56</v>
      </c>
      <c r="D12" s="6">
        <v>1.0</v>
      </c>
      <c r="E12" s="6">
        <v>1.0</v>
      </c>
      <c r="F12" s="6">
        <v>75774.0</v>
      </c>
      <c r="G12" s="6">
        <v>54109.0</v>
      </c>
      <c r="H12" s="494">
        <v>0.7141</v>
      </c>
      <c r="I12" s="494">
        <v>0.9326</v>
      </c>
      <c r="J12" s="494">
        <v>0.6932</v>
      </c>
      <c r="K12" s="5" t="s">
        <v>1986</v>
      </c>
      <c r="L12" s="5" t="s">
        <v>1986</v>
      </c>
      <c r="M12" s="5" t="s">
        <v>1986</v>
      </c>
      <c r="N12" s="6">
        <v>49.8</v>
      </c>
      <c r="O12" s="5" t="s">
        <v>1986</v>
      </c>
      <c r="P12" s="494">
        <v>14.324267051890073</v>
      </c>
      <c r="Q12" s="494">
        <v>32.660219540507136</v>
      </c>
      <c r="R12" s="494">
        <v>67.10006463051099</v>
      </c>
    </row>
    <row r="13">
      <c r="A13" s="5" t="s">
        <v>2074</v>
      </c>
      <c r="B13" s="5" t="s">
        <v>1857</v>
      </c>
      <c r="C13" s="5" t="s">
        <v>56</v>
      </c>
      <c r="D13" s="6">
        <v>1.0</v>
      </c>
      <c r="E13" s="6">
        <v>1.0</v>
      </c>
      <c r="F13" s="6">
        <v>54174.0</v>
      </c>
      <c r="G13" s="6">
        <v>41273.0</v>
      </c>
      <c r="H13" s="494">
        <v>0.7619</v>
      </c>
      <c r="I13" s="494">
        <v>0.9546</v>
      </c>
      <c r="J13" s="494">
        <v>0.6887</v>
      </c>
      <c r="K13" s="5" t="s">
        <v>1986</v>
      </c>
      <c r="L13" s="5" t="s">
        <v>1986</v>
      </c>
      <c r="M13" s="5" t="s">
        <v>1986</v>
      </c>
      <c r="N13" s="6">
        <v>44.3</v>
      </c>
      <c r="O13" s="5" t="s">
        <v>1986</v>
      </c>
      <c r="P13" s="494">
        <v>12.603355811490857</v>
      </c>
      <c r="Q13" s="494">
        <v>28.653972234555958</v>
      </c>
      <c r="R13" s="494">
        <v>58.3593371769087</v>
      </c>
    </row>
    <row r="14">
      <c r="A14" s="5" t="s">
        <v>2074</v>
      </c>
      <c r="B14" s="5" t="s">
        <v>163</v>
      </c>
      <c r="C14" s="5" t="s">
        <v>57</v>
      </c>
      <c r="D14" s="6">
        <v>2.0</v>
      </c>
      <c r="E14" s="6">
        <v>1.0</v>
      </c>
      <c r="F14" s="6">
        <v>44992.0</v>
      </c>
      <c r="G14" s="6">
        <v>40883.0</v>
      </c>
      <c r="H14" s="494">
        <v>0.9087</v>
      </c>
      <c r="I14" s="494">
        <v>0.9523</v>
      </c>
      <c r="J14" s="494">
        <v>0.8699</v>
      </c>
      <c r="K14" s="5" t="s">
        <v>1986</v>
      </c>
      <c r="L14" s="5" t="s">
        <v>1986</v>
      </c>
      <c r="M14" s="5" t="s">
        <v>1986</v>
      </c>
      <c r="N14" s="6">
        <v>156.8</v>
      </c>
      <c r="O14" s="5" t="s">
        <v>1986</v>
      </c>
      <c r="P14" s="494">
        <v>62.605330758416244</v>
      </c>
      <c r="Q14" s="494">
        <v>122.8529665973488</v>
      </c>
      <c r="R14" s="494">
        <v>205.73262673278606</v>
      </c>
    </row>
    <row r="15">
      <c r="A15" s="5" t="s">
        <v>2074</v>
      </c>
      <c r="B15" s="5" t="s">
        <v>1857</v>
      </c>
      <c r="C15" s="5" t="s">
        <v>57</v>
      </c>
      <c r="D15" s="6">
        <v>2.0</v>
      </c>
      <c r="E15" s="6">
        <v>1.0</v>
      </c>
      <c r="F15" s="6">
        <v>25591.0</v>
      </c>
      <c r="G15" s="6">
        <v>23607.0</v>
      </c>
      <c r="H15" s="494">
        <v>0.9225</v>
      </c>
      <c r="I15" s="494">
        <v>0.9603</v>
      </c>
      <c r="J15" s="494">
        <v>0.872</v>
      </c>
      <c r="K15" s="5" t="s">
        <v>1986</v>
      </c>
      <c r="L15" s="5" t="s">
        <v>1986</v>
      </c>
      <c r="M15" s="5" t="s">
        <v>1986</v>
      </c>
      <c r="N15" s="6">
        <v>145.0</v>
      </c>
      <c r="O15" s="5" t="s">
        <v>1986</v>
      </c>
      <c r="P15" s="494">
        <v>57.399765823625344</v>
      </c>
      <c r="Q15" s="494">
        <v>111.74135368944421</v>
      </c>
      <c r="R15" s="494">
        <v>190.7959827918315</v>
      </c>
    </row>
    <row r="16">
      <c r="A16" s="5" t="s">
        <v>2074</v>
      </c>
      <c r="B16" s="5" t="s">
        <v>163</v>
      </c>
      <c r="C16" s="5" t="s">
        <v>58</v>
      </c>
      <c r="D16" s="6">
        <v>3.0</v>
      </c>
      <c r="E16" s="6">
        <v>1.0</v>
      </c>
      <c r="F16" s="6">
        <v>26397.0</v>
      </c>
      <c r="G16" s="6">
        <v>24556.0</v>
      </c>
      <c r="H16" s="494">
        <v>0.9303</v>
      </c>
      <c r="I16" s="494">
        <v>0.9518</v>
      </c>
      <c r="J16" s="494">
        <v>0.862</v>
      </c>
      <c r="K16" s="5" t="s">
        <v>1986</v>
      </c>
      <c r="L16" s="5" t="s">
        <v>1986</v>
      </c>
      <c r="M16" s="5" t="s">
        <v>1986</v>
      </c>
      <c r="N16" s="6">
        <v>336.7</v>
      </c>
      <c r="O16" s="5" t="s">
        <v>1986</v>
      </c>
      <c r="P16" s="494">
        <v>153.12556450771638</v>
      </c>
      <c r="Q16" s="494">
        <v>292.4784664687797</v>
      </c>
      <c r="R16" s="494">
        <v>462.3533741865213</v>
      </c>
    </row>
    <row r="17">
      <c r="A17" s="5" t="s">
        <v>2074</v>
      </c>
      <c r="B17" s="5" t="s">
        <v>1857</v>
      </c>
      <c r="C17" s="5" t="s">
        <v>58</v>
      </c>
      <c r="D17" s="6">
        <v>3.0</v>
      </c>
      <c r="E17" s="6">
        <v>1.0</v>
      </c>
      <c r="F17" s="6">
        <v>14092.0</v>
      </c>
      <c r="G17" s="6">
        <v>13096.0</v>
      </c>
      <c r="H17" s="494">
        <v>0.9293</v>
      </c>
      <c r="I17" s="494">
        <v>0.9508</v>
      </c>
      <c r="J17" s="494">
        <v>0.8626</v>
      </c>
      <c r="K17" s="5" t="s">
        <v>1986</v>
      </c>
      <c r="L17" s="5" t="s">
        <v>1986</v>
      </c>
      <c r="M17" s="5" t="s">
        <v>1986</v>
      </c>
      <c r="N17" s="6">
        <v>298.3</v>
      </c>
      <c r="O17" s="5" t="s">
        <v>1986</v>
      </c>
      <c r="P17" s="494">
        <v>132.0647095268296</v>
      </c>
      <c r="Q17" s="494">
        <v>249.4526466173778</v>
      </c>
      <c r="R17" s="494">
        <v>408.1990492714776</v>
      </c>
    </row>
    <row r="18">
      <c r="A18" s="5" t="s">
        <v>2074</v>
      </c>
      <c r="B18" s="5" t="s">
        <v>163</v>
      </c>
      <c r="C18" s="5" t="s">
        <v>59</v>
      </c>
      <c r="D18" s="6">
        <v>4.0</v>
      </c>
      <c r="E18" s="6">
        <v>1.0</v>
      </c>
      <c r="F18" s="6">
        <v>11887.0</v>
      </c>
      <c r="G18" s="6">
        <v>11366.0</v>
      </c>
      <c r="H18" s="494">
        <v>0.9562</v>
      </c>
      <c r="I18" s="494">
        <v>0.9653</v>
      </c>
      <c r="J18" s="494">
        <v>0.7258</v>
      </c>
      <c r="K18" s="5" t="s">
        <v>1986</v>
      </c>
      <c r="L18" s="5" t="s">
        <v>1986</v>
      </c>
      <c r="M18" s="5" t="s">
        <v>1986</v>
      </c>
      <c r="N18" s="6">
        <v>621.2</v>
      </c>
      <c r="O18" s="5" t="s">
        <v>1986</v>
      </c>
      <c r="P18" s="494">
        <v>334.95581693992955</v>
      </c>
      <c r="Q18" s="494">
        <v>596.9895435260132</v>
      </c>
      <c r="R18" s="494">
        <v>876.7224661727278</v>
      </c>
    </row>
    <row r="19">
      <c r="A19" s="5" t="s">
        <v>2074</v>
      </c>
      <c r="B19" s="5" t="s">
        <v>1857</v>
      </c>
      <c r="C19" s="5" t="s">
        <v>59</v>
      </c>
      <c r="D19" s="6">
        <v>4.0</v>
      </c>
      <c r="E19" s="6">
        <v>1.0</v>
      </c>
      <c r="F19" s="6">
        <v>5987.0</v>
      </c>
      <c r="G19" s="6">
        <v>5605.0</v>
      </c>
      <c r="H19" s="494">
        <v>0.9362</v>
      </c>
      <c r="I19" s="494">
        <v>0.9466</v>
      </c>
      <c r="J19" s="494">
        <v>0.7422</v>
      </c>
      <c r="K19" s="5" t="s">
        <v>1986</v>
      </c>
      <c r="L19" s="5" t="s">
        <v>1986</v>
      </c>
      <c r="M19" s="5" t="s">
        <v>1986</v>
      </c>
      <c r="N19" s="6">
        <v>540.3</v>
      </c>
      <c r="O19" s="5" t="s">
        <v>1986</v>
      </c>
      <c r="P19" s="494">
        <v>264.1276783203503</v>
      </c>
      <c r="Q19" s="494">
        <v>491.91376928915525</v>
      </c>
      <c r="R19" s="494">
        <v>786.5221101976299</v>
      </c>
    </row>
    <row r="20">
      <c r="A20" s="5" t="s">
        <v>2074</v>
      </c>
      <c r="B20" s="5" t="s">
        <v>163</v>
      </c>
      <c r="C20" s="5" t="s">
        <v>60</v>
      </c>
      <c r="D20" s="6">
        <v>5.0</v>
      </c>
      <c r="E20" s="6">
        <v>1.0</v>
      </c>
      <c r="F20" s="6">
        <v>1559.0</v>
      </c>
      <c r="G20" s="6">
        <v>1466.0</v>
      </c>
      <c r="H20" s="494">
        <v>0.9403</v>
      </c>
      <c r="I20" s="494">
        <v>0.9448</v>
      </c>
      <c r="J20" s="494">
        <v>0.3868</v>
      </c>
      <c r="K20" s="5" t="s">
        <v>1986</v>
      </c>
      <c r="L20" s="5" t="s">
        <v>1986</v>
      </c>
      <c r="M20" s="5" t="s">
        <v>1986</v>
      </c>
      <c r="N20" s="6">
        <v>860.0</v>
      </c>
      <c r="O20" s="5" t="s">
        <v>1986</v>
      </c>
      <c r="P20" s="494">
        <v>515.4824688496087</v>
      </c>
      <c r="Q20" s="494">
        <v>843.4581206277177</v>
      </c>
      <c r="R20" s="494">
        <v>1063.8278598795844</v>
      </c>
    </row>
    <row r="21">
      <c r="A21" s="5" t="s">
        <v>2074</v>
      </c>
      <c r="B21" s="5" t="s">
        <v>1857</v>
      </c>
      <c r="C21" s="5" t="s">
        <v>60</v>
      </c>
      <c r="D21" s="6">
        <v>5.0</v>
      </c>
      <c r="E21" s="6">
        <v>1.0</v>
      </c>
      <c r="F21" s="6">
        <v>780.0</v>
      </c>
      <c r="G21" s="6">
        <v>722.0</v>
      </c>
      <c r="H21" s="494">
        <v>0.9256</v>
      </c>
      <c r="I21" s="494">
        <v>0.9282</v>
      </c>
      <c r="J21" s="494">
        <v>0.4169</v>
      </c>
      <c r="K21" s="5" t="s">
        <v>1986</v>
      </c>
      <c r="L21" s="5" t="s">
        <v>1986</v>
      </c>
      <c r="M21" s="5" t="s">
        <v>1986</v>
      </c>
      <c r="N21" s="6">
        <v>759.0</v>
      </c>
      <c r="O21" s="5" t="s">
        <v>1986</v>
      </c>
      <c r="P21" s="494">
        <v>508.20000000000005</v>
      </c>
      <c r="Q21" s="494">
        <v>759.7898954703833</v>
      </c>
      <c r="R21" s="494">
        <v>994.3271604938271</v>
      </c>
    </row>
    <row r="22">
      <c r="A22" s="5" t="s">
        <v>70</v>
      </c>
      <c r="B22" s="5" t="s">
        <v>163</v>
      </c>
      <c r="C22" s="5" t="s">
        <v>56</v>
      </c>
      <c r="D22" s="6">
        <v>1.0</v>
      </c>
      <c r="E22" s="6">
        <v>1.0</v>
      </c>
      <c r="F22" s="6">
        <v>49972.0</v>
      </c>
      <c r="G22" s="6">
        <v>30726.0</v>
      </c>
      <c r="H22" s="494">
        <v>0.6149</v>
      </c>
      <c r="I22" s="494">
        <v>0.7719</v>
      </c>
      <c r="J22" s="494">
        <v>0.0</v>
      </c>
      <c r="K22" s="6">
        <v>6.0</v>
      </c>
      <c r="L22" s="6">
        <v>10.0</v>
      </c>
      <c r="M22" s="6">
        <v>14.0</v>
      </c>
      <c r="N22" s="6">
        <v>40.9</v>
      </c>
      <c r="O22" s="6">
        <v>0.0</v>
      </c>
      <c r="P22" s="494">
        <v>11.9400106288611</v>
      </c>
      <c r="Q22" s="494">
        <v>28.489383918354534</v>
      </c>
      <c r="R22" s="494">
        <v>57.37859260331752</v>
      </c>
    </row>
    <row r="23">
      <c r="A23" s="5" t="s">
        <v>70</v>
      </c>
      <c r="B23" s="5" t="s">
        <v>1857</v>
      </c>
      <c r="C23" s="5" t="s">
        <v>56</v>
      </c>
      <c r="D23" s="6">
        <v>1.0</v>
      </c>
      <c r="E23" s="6">
        <v>1.0</v>
      </c>
      <c r="F23" s="6">
        <v>37718.0</v>
      </c>
      <c r="G23" s="6">
        <v>24767.0</v>
      </c>
      <c r="H23" s="494">
        <v>0.6566</v>
      </c>
      <c r="I23" s="494">
        <v>0.8112</v>
      </c>
      <c r="J23" s="494">
        <v>0.0</v>
      </c>
      <c r="K23" s="6">
        <v>6.0</v>
      </c>
      <c r="L23" s="6">
        <v>11.0</v>
      </c>
      <c r="M23" s="6">
        <v>15.0</v>
      </c>
      <c r="N23" s="6">
        <v>37.0</v>
      </c>
      <c r="O23" s="6">
        <v>0.0</v>
      </c>
      <c r="P23" s="494">
        <v>10.119442167115386</v>
      </c>
      <c r="Q23" s="494">
        <v>24.284169998286323</v>
      </c>
      <c r="R23" s="494">
        <v>50.1385359646232</v>
      </c>
    </row>
    <row r="24">
      <c r="A24" s="5" t="s">
        <v>70</v>
      </c>
      <c r="B24" s="5" t="s">
        <v>163</v>
      </c>
      <c r="C24" s="5" t="s">
        <v>57</v>
      </c>
      <c r="D24" s="6">
        <v>2.0</v>
      </c>
      <c r="E24" s="6">
        <v>1.0</v>
      </c>
      <c r="F24" s="6">
        <v>35472.0</v>
      </c>
      <c r="G24" s="6">
        <v>27352.0</v>
      </c>
      <c r="H24" s="494">
        <v>0.7711</v>
      </c>
      <c r="I24" s="494">
        <v>0.8348</v>
      </c>
      <c r="J24" s="494">
        <v>0.0</v>
      </c>
      <c r="K24" s="6">
        <v>3.0</v>
      </c>
      <c r="L24" s="6">
        <v>6.0</v>
      </c>
      <c r="M24" s="6">
        <v>11.0</v>
      </c>
      <c r="N24" s="6">
        <v>103.0</v>
      </c>
      <c r="O24" s="6">
        <v>0.0</v>
      </c>
      <c r="P24" s="494">
        <v>39.60007594205038</v>
      </c>
      <c r="Q24" s="494">
        <v>82.55161224174105</v>
      </c>
      <c r="R24" s="494">
        <v>139.2920623763858</v>
      </c>
    </row>
    <row r="25">
      <c r="A25" s="5" t="s">
        <v>70</v>
      </c>
      <c r="B25" s="5" t="s">
        <v>1857</v>
      </c>
      <c r="C25" s="5" t="s">
        <v>57</v>
      </c>
      <c r="D25" s="6">
        <v>2.0</v>
      </c>
      <c r="E25" s="6">
        <v>1.0</v>
      </c>
      <c r="F25" s="6">
        <v>20540.0</v>
      </c>
      <c r="G25" s="6">
        <v>15797.0</v>
      </c>
      <c r="H25" s="494">
        <v>0.7691</v>
      </c>
      <c r="I25" s="494">
        <v>0.8388</v>
      </c>
      <c r="J25" s="494">
        <v>0.0</v>
      </c>
      <c r="K25" s="6">
        <v>4.0</v>
      </c>
      <c r="L25" s="6">
        <v>7.0</v>
      </c>
      <c r="M25" s="6">
        <v>12.0</v>
      </c>
      <c r="N25" s="6">
        <v>97.6</v>
      </c>
      <c r="O25" s="6">
        <v>0.0</v>
      </c>
      <c r="P25" s="494">
        <v>31.887971900739622</v>
      </c>
      <c r="Q25" s="494">
        <v>74.66356804353235</v>
      </c>
      <c r="R25" s="494">
        <v>134.0854277768356</v>
      </c>
    </row>
    <row r="26">
      <c r="A26" s="5" t="s">
        <v>70</v>
      </c>
      <c r="B26" s="5" t="s">
        <v>163</v>
      </c>
      <c r="C26" s="5" t="s">
        <v>58</v>
      </c>
      <c r="D26" s="6">
        <v>3.0</v>
      </c>
      <c r="E26" s="6">
        <v>1.0</v>
      </c>
      <c r="F26" s="6">
        <v>20141.0</v>
      </c>
      <c r="G26" s="6">
        <v>16243.0</v>
      </c>
      <c r="H26" s="494">
        <v>0.8065</v>
      </c>
      <c r="I26" s="494">
        <v>0.8394</v>
      </c>
      <c r="J26" s="494">
        <v>0.0</v>
      </c>
      <c r="K26" s="6">
        <v>2.0</v>
      </c>
      <c r="L26" s="6">
        <v>4.0</v>
      </c>
      <c r="M26" s="6">
        <v>7.0</v>
      </c>
      <c r="N26" s="6">
        <v>181.8</v>
      </c>
      <c r="O26" s="6">
        <v>0.0</v>
      </c>
      <c r="P26" s="494">
        <v>81.31891508886441</v>
      </c>
      <c r="Q26" s="494">
        <v>157.78034285953623</v>
      </c>
      <c r="R26" s="494">
        <v>251.8754359906825</v>
      </c>
    </row>
    <row r="27">
      <c r="A27" s="5" t="s">
        <v>70</v>
      </c>
      <c r="B27" s="5" t="s">
        <v>1857</v>
      </c>
      <c r="C27" s="5" t="s">
        <v>58</v>
      </c>
      <c r="D27" s="6">
        <v>3.0</v>
      </c>
      <c r="E27" s="6">
        <v>1.0</v>
      </c>
      <c r="F27" s="6">
        <v>10647.0</v>
      </c>
      <c r="G27" s="6">
        <v>8407.0</v>
      </c>
      <c r="H27" s="494">
        <v>0.7896</v>
      </c>
      <c r="I27" s="494">
        <v>0.8323</v>
      </c>
      <c r="J27" s="494">
        <v>0.0</v>
      </c>
      <c r="K27" s="6">
        <v>2.0</v>
      </c>
      <c r="L27" s="6">
        <v>4.0</v>
      </c>
      <c r="M27" s="6">
        <v>8.0</v>
      </c>
      <c r="N27" s="6">
        <v>176.7</v>
      </c>
      <c r="O27" s="6">
        <v>0.0</v>
      </c>
      <c r="P27" s="494">
        <v>68.1540939168532</v>
      </c>
      <c r="Q27" s="494">
        <v>148.19714621428633</v>
      </c>
      <c r="R27" s="494">
        <v>247.88780769165044</v>
      </c>
    </row>
    <row r="28">
      <c r="A28" s="5" t="s">
        <v>70</v>
      </c>
      <c r="B28" s="5" t="s">
        <v>163</v>
      </c>
      <c r="C28" s="5" t="s">
        <v>59</v>
      </c>
      <c r="D28" s="6">
        <v>4.0</v>
      </c>
      <c r="E28" s="6">
        <v>1.0</v>
      </c>
      <c r="F28" s="6">
        <v>9642.0</v>
      </c>
      <c r="G28" s="6">
        <v>8463.0</v>
      </c>
      <c r="H28" s="494">
        <v>0.8777</v>
      </c>
      <c r="I28" s="494">
        <v>0.8947</v>
      </c>
      <c r="J28" s="494">
        <v>0.0</v>
      </c>
      <c r="K28" s="6">
        <v>1.0</v>
      </c>
      <c r="L28" s="6">
        <v>2.0</v>
      </c>
      <c r="M28" s="6">
        <v>4.0</v>
      </c>
      <c r="N28" s="6">
        <v>340.3</v>
      </c>
      <c r="O28" s="6">
        <v>0.0</v>
      </c>
      <c r="P28" s="494">
        <v>155.01290333719072</v>
      </c>
      <c r="Q28" s="494">
        <v>300.086485406549</v>
      </c>
      <c r="R28" s="494">
        <v>469.4379785042354</v>
      </c>
    </row>
    <row r="29">
      <c r="A29" s="5" t="s">
        <v>70</v>
      </c>
      <c r="B29" s="5" t="s">
        <v>1857</v>
      </c>
      <c r="C29" s="5" t="s">
        <v>59</v>
      </c>
      <c r="D29" s="6">
        <v>4.0</v>
      </c>
      <c r="E29" s="6">
        <v>1.0</v>
      </c>
      <c r="F29" s="6">
        <v>4672.0</v>
      </c>
      <c r="G29" s="6">
        <v>3900.0</v>
      </c>
      <c r="H29" s="494">
        <v>0.8348</v>
      </c>
      <c r="I29" s="494">
        <v>0.8562</v>
      </c>
      <c r="J29" s="494">
        <v>0.0</v>
      </c>
      <c r="K29" s="6">
        <v>1.0</v>
      </c>
      <c r="L29" s="6">
        <v>2.0</v>
      </c>
      <c r="M29" s="6">
        <v>5.0</v>
      </c>
      <c r="N29" s="6">
        <v>352.6</v>
      </c>
      <c r="O29" s="6">
        <v>0.0</v>
      </c>
      <c r="P29" s="494">
        <v>145.5792490401212</v>
      </c>
      <c r="Q29" s="494">
        <v>297.837935159258</v>
      </c>
      <c r="R29" s="494">
        <v>490.2798654530289</v>
      </c>
    </row>
    <row r="30">
      <c r="A30" s="5" t="s">
        <v>70</v>
      </c>
      <c r="B30" s="5" t="s">
        <v>163</v>
      </c>
      <c r="C30" s="5" t="s">
        <v>60</v>
      </c>
      <c r="D30" s="6">
        <v>5.0</v>
      </c>
      <c r="E30" s="6">
        <v>1.0</v>
      </c>
      <c r="F30" s="6">
        <v>1374.0</v>
      </c>
      <c r="G30" s="6">
        <v>1264.0</v>
      </c>
      <c r="H30" s="494">
        <v>0.9199</v>
      </c>
      <c r="I30" s="494">
        <v>0.9258</v>
      </c>
      <c r="J30" s="494">
        <v>0.0</v>
      </c>
      <c r="K30" s="6">
        <v>1.0</v>
      </c>
      <c r="L30" s="6">
        <v>1.0</v>
      </c>
      <c r="M30" s="6">
        <v>2.0</v>
      </c>
      <c r="N30" s="6">
        <v>753.5</v>
      </c>
      <c r="O30" s="6">
        <v>0.0</v>
      </c>
      <c r="P30" s="494">
        <v>422.99844974882836</v>
      </c>
      <c r="Q30" s="494">
        <v>690.3901128190964</v>
      </c>
      <c r="R30" s="494">
        <v>1011.9867579908675</v>
      </c>
    </row>
    <row r="31">
      <c r="A31" s="5" t="s">
        <v>70</v>
      </c>
      <c r="B31" s="5" t="s">
        <v>1857</v>
      </c>
      <c r="C31" s="5" t="s">
        <v>60</v>
      </c>
      <c r="D31" s="6">
        <v>5.0</v>
      </c>
      <c r="E31" s="6">
        <v>1.0</v>
      </c>
      <c r="F31" s="6">
        <v>656.0</v>
      </c>
      <c r="G31" s="6">
        <v>580.0</v>
      </c>
      <c r="H31" s="494">
        <v>0.8841</v>
      </c>
      <c r="I31" s="494">
        <v>0.8918</v>
      </c>
      <c r="J31" s="494">
        <v>0.0</v>
      </c>
      <c r="K31" s="6">
        <v>1.0</v>
      </c>
      <c r="L31" s="6">
        <v>1.0</v>
      </c>
      <c r="M31" s="6">
        <v>2.0</v>
      </c>
      <c r="N31" s="6">
        <v>743.5</v>
      </c>
      <c r="O31" s="6">
        <v>0.0</v>
      </c>
      <c r="P31" s="494">
        <v>337.3982876596892</v>
      </c>
      <c r="Q31" s="494">
        <v>671.3854765956296</v>
      </c>
      <c r="R31" s="494">
        <v>1043.593386591162</v>
      </c>
    </row>
    <row r="32">
      <c r="A32" s="5" t="s">
        <v>2075</v>
      </c>
      <c r="B32" s="5" t="s">
        <v>163</v>
      </c>
      <c r="C32" s="5" t="s">
        <v>56</v>
      </c>
      <c r="D32" s="6">
        <v>1.0</v>
      </c>
      <c r="E32" s="6">
        <v>165.0</v>
      </c>
      <c r="F32" s="6">
        <v>8638270.0</v>
      </c>
      <c r="G32" s="6">
        <v>3014.0</v>
      </c>
      <c r="H32" s="494">
        <v>0.0576</v>
      </c>
      <c r="I32" s="494">
        <v>0.0743</v>
      </c>
      <c r="J32" s="494">
        <v>1.0E-4</v>
      </c>
      <c r="K32" s="5" t="s">
        <v>1986</v>
      </c>
      <c r="L32" s="5" t="s">
        <v>1986</v>
      </c>
      <c r="M32" s="5" t="s">
        <v>1986</v>
      </c>
      <c r="N32" s="6">
        <v>1.1</v>
      </c>
      <c r="O32" s="5" t="s">
        <v>1986</v>
      </c>
      <c r="P32" s="494">
        <v>0.0</v>
      </c>
      <c r="Q32" s="494">
        <v>0.19606252349177075</v>
      </c>
      <c r="R32" s="494">
        <v>1.3740247896092332</v>
      </c>
    </row>
    <row r="33">
      <c r="A33" s="5" t="s">
        <v>2075</v>
      </c>
      <c r="B33" s="5" t="s">
        <v>1857</v>
      </c>
      <c r="C33" s="5" t="s">
        <v>56</v>
      </c>
      <c r="D33" s="6">
        <v>1.0</v>
      </c>
      <c r="E33" s="6">
        <v>165.0</v>
      </c>
      <c r="F33" s="6">
        <v>6532895.0</v>
      </c>
      <c r="G33" s="6">
        <v>2582.0</v>
      </c>
      <c r="H33" s="494">
        <v>0.0652</v>
      </c>
      <c r="I33" s="494">
        <v>0.0802</v>
      </c>
      <c r="J33" s="494">
        <v>1.0E-4</v>
      </c>
      <c r="K33" s="5" t="s">
        <v>1986</v>
      </c>
      <c r="L33" s="5" t="s">
        <v>1986</v>
      </c>
      <c r="M33" s="5" t="s">
        <v>1986</v>
      </c>
      <c r="N33" s="6">
        <v>0.8</v>
      </c>
      <c r="O33" s="5" t="s">
        <v>1986</v>
      </c>
      <c r="P33" s="494">
        <v>0.0</v>
      </c>
      <c r="Q33" s="494">
        <v>3.516393569443704E-5</v>
      </c>
      <c r="R33" s="494">
        <v>1.0</v>
      </c>
    </row>
    <row r="34">
      <c r="A34" s="5" t="s">
        <v>2075</v>
      </c>
      <c r="B34" s="5" t="s">
        <v>163</v>
      </c>
      <c r="C34" s="5" t="s">
        <v>57</v>
      </c>
      <c r="D34" s="6">
        <v>2.0</v>
      </c>
      <c r="E34" s="6">
        <v>165.0</v>
      </c>
      <c r="F34" s="6">
        <v>5688035.0</v>
      </c>
      <c r="G34" s="6">
        <v>2566.0</v>
      </c>
      <c r="H34" s="494">
        <v>0.0744</v>
      </c>
      <c r="I34" s="494">
        <v>0.0816</v>
      </c>
      <c r="J34" s="494">
        <v>1.0E-4</v>
      </c>
      <c r="K34" s="5" t="s">
        <v>1986</v>
      </c>
      <c r="L34" s="5" t="s">
        <v>1986</v>
      </c>
      <c r="M34" s="5" t="s">
        <v>1986</v>
      </c>
      <c r="N34" s="6">
        <v>2.5</v>
      </c>
      <c r="O34" s="5" t="s">
        <v>1986</v>
      </c>
      <c r="P34" s="494">
        <v>0.0</v>
      </c>
      <c r="Q34" s="494">
        <v>1.0868845888800456</v>
      </c>
      <c r="R34" s="494">
        <v>3.9998271523147717</v>
      </c>
    </row>
    <row r="35">
      <c r="A35" s="5" t="s">
        <v>2075</v>
      </c>
      <c r="B35" s="5" t="s">
        <v>1857</v>
      </c>
      <c r="C35" s="5" t="s">
        <v>57</v>
      </c>
      <c r="D35" s="6">
        <v>2.0</v>
      </c>
      <c r="E35" s="6">
        <v>165.0</v>
      </c>
      <c r="F35" s="6">
        <v>3266490.0</v>
      </c>
      <c r="G35" s="6">
        <v>1526.0</v>
      </c>
      <c r="H35" s="494">
        <v>0.0771</v>
      </c>
      <c r="I35" s="494">
        <v>0.0845</v>
      </c>
      <c r="J35" s="494">
        <v>2.0E-4</v>
      </c>
      <c r="K35" s="5" t="s">
        <v>1986</v>
      </c>
      <c r="L35" s="5" t="s">
        <v>1986</v>
      </c>
      <c r="M35" s="5" t="s">
        <v>1986</v>
      </c>
      <c r="N35" s="6">
        <v>2.1</v>
      </c>
      <c r="O35" s="5" t="s">
        <v>1986</v>
      </c>
      <c r="P35" s="494">
        <v>0.0</v>
      </c>
      <c r="Q35" s="494">
        <v>0.36435876612477824</v>
      </c>
      <c r="R35" s="494">
        <v>3.9621647683691643</v>
      </c>
    </row>
    <row r="36">
      <c r="A36" s="5" t="s">
        <v>2075</v>
      </c>
      <c r="B36" s="5" t="s">
        <v>163</v>
      </c>
      <c r="C36" s="5" t="s">
        <v>58</v>
      </c>
      <c r="D36" s="6">
        <v>3.0</v>
      </c>
      <c r="E36" s="6">
        <v>165.0</v>
      </c>
      <c r="F36" s="6">
        <v>3346560.0</v>
      </c>
      <c r="G36" s="6">
        <v>1606.0</v>
      </c>
      <c r="H36" s="494">
        <v>0.0792</v>
      </c>
      <c r="I36" s="494">
        <v>0.0837</v>
      </c>
      <c r="J36" s="494">
        <v>1.0E-4</v>
      </c>
      <c r="K36" s="5" t="s">
        <v>1986</v>
      </c>
      <c r="L36" s="5" t="s">
        <v>1986</v>
      </c>
      <c r="M36" s="5" t="s">
        <v>1986</v>
      </c>
      <c r="N36" s="6">
        <v>7.1</v>
      </c>
      <c r="O36" s="5" t="s">
        <v>1986</v>
      </c>
      <c r="P36" s="494">
        <v>0.0</v>
      </c>
      <c r="Q36" s="494">
        <v>3.3484477342770944</v>
      </c>
      <c r="R36" s="494">
        <v>8.508761111090848</v>
      </c>
    </row>
    <row r="37">
      <c r="A37" s="5" t="s">
        <v>2075</v>
      </c>
      <c r="B37" s="5" t="s">
        <v>1857</v>
      </c>
      <c r="C37" s="5" t="s">
        <v>58</v>
      </c>
      <c r="D37" s="6">
        <v>3.0</v>
      </c>
      <c r="E37" s="6">
        <v>165.0</v>
      </c>
      <c r="F37" s="6">
        <v>1781490.0</v>
      </c>
      <c r="G37" s="6">
        <v>855.0</v>
      </c>
      <c r="H37" s="494">
        <v>0.0792</v>
      </c>
      <c r="I37" s="494">
        <v>0.0839</v>
      </c>
      <c r="J37" s="494">
        <v>2.0E-4</v>
      </c>
      <c r="K37" s="5" t="s">
        <v>1986</v>
      </c>
      <c r="L37" s="5" t="s">
        <v>1986</v>
      </c>
      <c r="M37" s="5" t="s">
        <v>1986</v>
      </c>
      <c r="N37" s="6">
        <v>4.3</v>
      </c>
      <c r="O37" s="5" t="s">
        <v>1986</v>
      </c>
      <c r="P37" s="494">
        <v>0.0</v>
      </c>
      <c r="Q37" s="494">
        <v>1.9127598267599584</v>
      </c>
      <c r="R37" s="494">
        <v>6.512000144304292</v>
      </c>
    </row>
    <row r="38">
      <c r="A38" s="5" t="s">
        <v>2075</v>
      </c>
      <c r="B38" s="5" t="s">
        <v>163</v>
      </c>
      <c r="C38" s="5" t="s">
        <v>59</v>
      </c>
      <c r="D38" s="6">
        <v>4.0</v>
      </c>
      <c r="E38" s="6">
        <v>165.0</v>
      </c>
      <c r="F38" s="6">
        <v>1549605.0</v>
      </c>
      <c r="G38" s="6">
        <v>793.0</v>
      </c>
      <c r="H38" s="494">
        <v>0.0844</v>
      </c>
      <c r="I38" s="494">
        <v>0.0871</v>
      </c>
      <c r="J38" s="494">
        <v>1.0E-4</v>
      </c>
      <c r="K38" s="5" t="s">
        <v>1986</v>
      </c>
      <c r="L38" s="5" t="s">
        <v>1986</v>
      </c>
      <c r="M38" s="5" t="s">
        <v>1986</v>
      </c>
      <c r="N38" s="6">
        <v>9.4</v>
      </c>
      <c r="O38" s="5" t="s">
        <v>1986</v>
      </c>
      <c r="P38" s="494">
        <v>0.7544598999305776</v>
      </c>
      <c r="Q38" s="494">
        <v>5.260588224165982</v>
      </c>
      <c r="R38" s="494">
        <v>14.085162396996326</v>
      </c>
    </row>
    <row r="39">
      <c r="A39" s="5" t="s">
        <v>2075</v>
      </c>
      <c r="B39" s="5" t="s">
        <v>1857</v>
      </c>
      <c r="C39" s="5" t="s">
        <v>59</v>
      </c>
      <c r="D39" s="6">
        <v>4.0</v>
      </c>
      <c r="E39" s="6">
        <v>165.0</v>
      </c>
      <c r="F39" s="6">
        <v>778380.0</v>
      </c>
      <c r="G39" s="6">
        <v>392.0</v>
      </c>
      <c r="H39" s="494">
        <v>0.083</v>
      </c>
      <c r="I39" s="494">
        <v>0.0861</v>
      </c>
      <c r="J39" s="494">
        <v>2.0E-4</v>
      </c>
      <c r="K39" s="5" t="s">
        <v>1986</v>
      </c>
      <c r="L39" s="5" t="s">
        <v>1986</v>
      </c>
      <c r="M39" s="5" t="s">
        <v>1986</v>
      </c>
      <c r="N39" s="6">
        <v>8.6</v>
      </c>
      <c r="O39" s="5" t="s">
        <v>1986</v>
      </c>
      <c r="P39" s="494">
        <v>0.146150776610447</v>
      </c>
      <c r="Q39" s="494">
        <v>4.660488120276845</v>
      </c>
      <c r="R39" s="494">
        <v>12.395071309550422</v>
      </c>
    </row>
    <row r="40">
      <c r="A40" s="5" t="s">
        <v>2075</v>
      </c>
      <c r="B40" s="5" t="s">
        <v>163</v>
      </c>
      <c r="C40" s="5" t="s">
        <v>60</v>
      </c>
      <c r="D40" s="6">
        <v>5.0</v>
      </c>
      <c r="E40" s="6">
        <v>165.0</v>
      </c>
      <c r="F40" s="6">
        <v>213210.0</v>
      </c>
      <c r="G40" s="6">
        <v>104.0</v>
      </c>
      <c r="H40" s="494">
        <v>0.0802</v>
      </c>
      <c r="I40" s="494">
        <v>0.0822</v>
      </c>
      <c r="J40" s="494">
        <v>2.0E-4</v>
      </c>
      <c r="K40" s="5" t="s">
        <v>1986</v>
      </c>
      <c r="L40" s="5" t="s">
        <v>1986</v>
      </c>
      <c r="M40" s="5" t="s">
        <v>1986</v>
      </c>
      <c r="N40" s="6">
        <v>16.7</v>
      </c>
      <c r="O40" s="5" t="s">
        <v>1986</v>
      </c>
      <c r="P40" s="494">
        <v>4.0</v>
      </c>
      <c r="Q40" s="494">
        <v>7.1119368773276355</v>
      </c>
      <c r="R40" s="494">
        <v>27.05438190727279</v>
      </c>
    </row>
    <row r="41">
      <c r="A41" s="5" t="s">
        <v>2075</v>
      </c>
      <c r="B41" s="5" t="s">
        <v>1857</v>
      </c>
      <c r="C41" s="5" t="s">
        <v>60</v>
      </c>
      <c r="D41" s="6">
        <v>5.0</v>
      </c>
      <c r="E41" s="6">
        <v>165.0</v>
      </c>
      <c r="F41" s="6">
        <v>103970.0</v>
      </c>
      <c r="G41" s="6">
        <v>50.0</v>
      </c>
      <c r="H41" s="494">
        <v>0.0801</v>
      </c>
      <c r="I41" s="494">
        <v>0.0823</v>
      </c>
      <c r="J41" s="494">
        <v>0.0</v>
      </c>
      <c r="K41" s="5" t="s">
        <v>1986</v>
      </c>
      <c r="L41" s="5" t="s">
        <v>1986</v>
      </c>
      <c r="M41" s="5" t="s">
        <v>1986</v>
      </c>
      <c r="N41" s="6">
        <v>13.9</v>
      </c>
      <c r="O41" s="5" t="s">
        <v>1986</v>
      </c>
      <c r="P41" s="494">
        <v>4.0</v>
      </c>
      <c r="Q41" s="494">
        <v>6.558854938529687</v>
      </c>
      <c r="R41" s="494">
        <v>14.771203399836779</v>
      </c>
    </row>
    <row r="42">
      <c r="A42" s="5" t="s">
        <v>2076</v>
      </c>
      <c r="B42" s="5" t="s">
        <v>163</v>
      </c>
      <c r="C42" s="5" t="s">
        <v>56</v>
      </c>
      <c r="D42" s="6">
        <v>1.0</v>
      </c>
      <c r="E42" s="6">
        <v>4.0</v>
      </c>
      <c r="F42" s="6">
        <v>154500.0</v>
      </c>
      <c r="G42" s="6">
        <v>1.0</v>
      </c>
      <c r="H42" s="494">
        <v>0.0</v>
      </c>
      <c r="I42" s="494">
        <v>0.0</v>
      </c>
      <c r="J42" s="494">
        <v>1.0</v>
      </c>
      <c r="K42" s="6">
        <v>0.0</v>
      </c>
      <c r="L42" s="6">
        <v>0.0</v>
      </c>
      <c r="M42" s="6">
        <v>1.0</v>
      </c>
      <c r="N42" s="6">
        <v>1697.3</v>
      </c>
      <c r="O42" s="5" t="s">
        <v>1986</v>
      </c>
      <c r="P42" s="494">
        <v>30.0</v>
      </c>
      <c r="Q42" s="494">
        <v>42.0</v>
      </c>
      <c r="R42" s="494">
        <v>5020.0</v>
      </c>
    </row>
    <row r="43">
      <c r="A43" s="5" t="s">
        <v>2076</v>
      </c>
      <c r="B43" s="5" t="s">
        <v>1857</v>
      </c>
      <c r="C43" s="5" t="s">
        <v>56</v>
      </c>
      <c r="D43" s="6">
        <v>1.0</v>
      </c>
      <c r="E43" s="6">
        <v>4.0</v>
      </c>
      <c r="F43" s="6">
        <v>119859.0</v>
      </c>
      <c r="G43" s="6">
        <v>0.0</v>
      </c>
      <c r="H43" s="494">
        <v>0.0</v>
      </c>
      <c r="I43" s="494">
        <v>0.0</v>
      </c>
      <c r="J43" s="5" t="s">
        <v>1986</v>
      </c>
      <c r="K43" s="5" t="s">
        <v>1986</v>
      </c>
      <c r="L43" s="5" t="s">
        <v>1986</v>
      </c>
      <c r="M43" s="5" t="s">
        <v>1986</v>
      </c>
      <c r="N43" s="5" t="s">
        <v>1986</v>
      </c>
      <c r="O43" s="5" t="s">
        <v>1986</v>
      </c>
      <c r="P43" s="5" t="s">
        <v>1986</v>
      </c>
      <c r="Q43" s="5" t="s">
        <v>1986</v>
      </c>
      <c r="R43" s="5" t="s">
        <v>1986</v>
      </c>
    </row>
    <row r="44">
      <c r="A44" s="5" t="s">
        <v>2076</v>
      </c>
      <c r="B44" s="5" t="s">
        <v>163</v>
      </c>
      <c r="C44" s="5" t="s">
        <v>57</v>
      </c>
      <c r="D44" s="6">
        <v>2.0</v>
      </c>
      <c r="E44" s="6">
        <v>4.0</v>
      </c>
      <c r="F44" s="6">
        <v>104510.0</v>
      </c>
      <c r="G44" s="6">
        <v>0.0</v>
      </c>
      <c r="H44" s="494">
        <v>0.0</v>
      </c>
      <c r="I44" s="494">
        <v>0.0</v>
      </c>
      <c r="J44" s="5" t="s">
        <v>1986</v>
      </c>
      <c r="K44" s="5" t="s">
        <v>1986</v>
      </c>
      <c r="L44" s="5" t="s">
        <v>1986</v>
      </c>
      <c r="M44" s="5" t="s">
        <v>1986</v>
      </c>
      <c r="N44" s="5" t="s">
        <v>1986</v>
      </c>
      <c r="O44" s="5" t="s">
        <v>1986</v>
      </c>
      <c r="P44" s="5" t="s">
        <v>1986</v>
      </c>
      <c r="Q44" s="5" t="s">
        <v>1986</v>
      </c>
      <c r="R44" s="5" t="s">
        <v>1986</v>
      </c>
    </row>
    <row r="45">
      <c r="A45" s="5" t="s">
        <v>2076</v>
      </c>
      <c r="B45" s="5" t="s">
        <v>1857</v>
      </c>
      <c r="C45" s="5" t="s">
        <v>57</v>
      </c>
      <c r="D45" s="6">
        <v>2.0</v>
      </c>
      <c r="E45" s="6">
        <v>4.0</v>
      </c>
      <c r="F45" s="6">
        <v>60528.0</v>
      </c>
      <c r="G45" s="6">
        <v>0.0</v>
      </c>
      <c r="H45" s="494">
        <v>0.0</v>
      </c>
      <c r="I45" s="494">
        <v>0.0</v>
      </c>
      <c r="J45" s="5" t="s">
        <v>1986</v>
      </c>
      <c r="K45" s="5" t="s">
        <v>1986</v>
      </c>
      <c r="L45" s="5" t="s">
        <v>1986</v>
      </c>
      <c r="M45" s="5" t="s">
        <v>1986</v>
      </c>
      <c r="N45" s="5" t="s">
        <v>1986</v>
      </c>
      <c r="O45" s="5" t="s">
        <v>1986</v>
      </c>
      <c r="P45" s="5" t="s">
        <v>1986</v>
      </c>
      <c r="Q45" s="5" t="s">
        <v>1986</v>
      </c>
      <c r="R45" s="5" t="s">
        <v>1986</v>
      </c>
    </row>
    <row r="46">
      <c r="A46" s="5" t="s">
        <v>2076</v>
      </c>
      <c r="B46" s="5" t="s">
        <v>163</v>
      </c>
      <c r="C46" s="5" t="s">
        <v>58</v>
      </c>
      <c r="D46" s="6">
        <v>3.0</v>
      </c>
      <c r="E46" s="6">
        <v>4.0</v>
      </c>
      <c r="F46" s="6">
        <v>60415.0</v>
      </c>
      <c r="G46" s="6">
        <v>0.0</v>
      </c>
      <c r="H46" s="494">
        <v>0.0</v>
      </c>
      <c r="I46" s="494">
        <v>0.0</v>
      </c>
      <c r="J46" s="5" t="s">
        <v>1986</v>
      </c>
      <c r="K46" s="5" t="s">
        <v>1986</v>
      </c>
      <c r="L46" s="5" t="s">
        <v>1986</v>
      </c>
      <c r="M46" s="5" t="s">
        <v>1986</v>
      </c>
      <c r="N46" s="5" t="s">
        <v>1986</v>
      </c>
      <c r="O46" s="5" t="s">
        <v>1986</v>
      </c>
      <c r="P46" s="5" t="s">
        <v>1986</v>
      </c>
      <c r="Q46" s="5" t="s">
        <v>1986</v>
      </c>
      <c r="R46" s="5" t="s">
        <v>1986</v>
      </c>
    </row>
    <row r="47">
      <c r="A47" s="5" t="s">
        <v>2076</v>
      </c>
      <c r="B47" s="5" t="s">
        <v>1857</v>
      </c>
      <c r="C47" s="5" t="s">
        <v>58</v>
      </c>
      <c r="D47" s="6">
        <v>3.0</v>
      </c>
      <c r="E47" s="6">
        <v>4.0</v>
      </c>
      <c r="F47" s="6">
        <v>31062.0</v>
      </c>
      <c r="G47" s="6">
        <v>0.0</v>
      </c>
      <c r="H47" s="494">
        <v>0.0</v>
      </c>
      <c r="I47" s="494">
        <v>0.0</v>
      </c>
      <c r="J47" s="5" t="s">
        <v>1986</v>
      </c>
      <c r="K47" s="5" t="s">
        <v>1986</v>
      </c>
      <c r="L47" s="5" t="s">
        <v>1986</v>
      </c>
      <c r="M47" s="5" t="s">
        <v>1986</v>
      </c>
      <c r="N47" s="5" t="s">
        <v>1986</v>
      </c>
      <c r="O47" s="5" t="s">
        <v>1986</v>
      </c>
      <c r="P47" s="5" t="s">
        <v>1986</v>
      </c>
      <c r="Q47" s="5" t="s">
        <v>1986</v>
      </c>
      <c r="R47" s="5" t="s">
        <v>1986</v>
      </c>
    </row>
    <row r="48">
      <c r="A48" s="5" t="s">
        <v>2076</v>
      </c>
      <c r="B48" s="5" t="s">
        <v>163</v>
      </c>
      <c r="C48" s="5" t="s">
        <v>59</v>
      </c>
      <c r="D48" s="6">
        <v>4.0</v>
      </c>
      <c r="E48" s="6">
        <v>4.0</v>
      </c>
      <c r="F48" s="6">
        <v>29000.0</v>
      </c>
      <c r="G48" s="6">
        <v>0.0</v>
      </c>
      <c r="H48" s="494">
        <v>0.0</v>
      </c>
      <c r="I48" s="494">
        <v>0.0</v>
      </c>
      <c r="J48" s="5" t="s">
        <v>1986</v>
      </c>
      <c r="K48" s="5" t="s">
        <v>1986</v>
      </c>
      <c r="L48" s="5" t="s">
        <v>1986</v>
      </c>
      <c r="M48" s="5" t="s">
        <v>1986</v>
      </c>
      <c r="N48" s="5" t="s">
        <v>1986</v>
      </c>
      <c r="O48" s="5" t="s">
        <v>1986</v>
      </c>
      <c r="P48" s="5" t="s">
        <v>1986</v>
      </c>
      <c r="Q48" s="5" t="s">
        <v>1986</v>
      </c>
      <c r="R48" s="5" t="s">
        <v>1986</v>
      </c>
    </row>
    <row r="49">
      <c r="A49" s="5" t="s">
        <v>2076</v>
      </c>
      <c r="B49" s="5" t="s">
        <v>1857</v>
      </c>
      <c r="C49" s="5" t="s">
        <v>59</v>
      </c>
      <c r="D49" s="6">
        <v>4.0</v>
      </c>
      <c r="E49" s="6">
        <v>4.0</v>
      </c>
      <c r="F49" s="6">
        <v>13732.0</v>
      </c>
      <c r="G49" s="6">
        <v>0.0</v>
      </c>
      <c r="H49" s="494">
        <v>0.0</v>
      </c>
      <c r="I49" s="494">
        <v>0.0</v>
      </c>
      <c r="J49" s="5" t="s">
        <v>1986</v>
      </c>
      <c r="K49" s="5" t="s">
        <v>1986</v>
      </c>
      <c r="L49" s="5" t="s">
        <v>1986</v>
      </c>
      <c r="M49" s="5" t="s">
        <v>1986</v>
      </c>
      <c r="N49" s="5" t="s">
        <v>1986</v>
      </c>
      <c r="O49" s="5" t="s">
        <v>1986</v>
      </c>
      <c r="P49" s="5" t="s">
        <v>1986</v>
      </c>
      <c r="Q49" s="5" t="s">
        <v>1986</v>
      </c>
      <c r="R49" s="5" t="s">
        <v>1986</v>
      </c>
    </row>
    <row r="50">
      <c r="A50" s="5" t="s">
        <v>2076</v>
      </c>
      <c r="B50" s="5" t="s">
        <v>163</v>
      </c>
      <c r="C50" s="5" t="s">
        <v>60</v>
      </c>
      <c r="D50" s="6">
        <v>5.0</v>
      </c>
      <c r="E50" s="6">
        <v>4.0</v>
      </c>
      <c r="F50" s="6">
        <v>3839.0</v>
      </c>
      <c r="G50" s="6">
        <v>0.0</v>
      </c>
      <c r="H50" s="494">
        <v>0.0</v>
      </c>
      <c r="I50" s="494">
        <v>0.0</v>
      </c>
      <c r="J50" s="5" t="s">
        <v>1986</v>
      </c>
      <c r="K50" s="5" t="s">
        <v>1986</v>
      </c>
      <c r="L50" s="5" t="s">
        <v>1986</v>
      </c>
      <c r="M50" s="5" t="s">
        <v>1986</v>
      </c>
      <c r="N50" s="5" t="s">
        <v>1986</v>
      </c>
      <c r="O50" s="5" t="s">
        <v>1986</v>
      </c>
      <c r="P50" s="5" t="s">
        <v>1986</v>
      </c>
      <c r="Q50" s="5" t="s">
        <v>1986</v>
      </c>
      <c r="R50" s="5" t="s">
        <v>1986</v>
      </c>
    </row>
    <row r="51">
      <c r="A51" s="5" t="s">
        <v>2076</v>
      </c>
      <c r="B51" s="5" t="s">
        <v>1857</v>
      </c>
      <c r="C51" s="5" t="s">
        <v>60</v>
      </c>
      <c r="D51" s="6">
        <v>5.0</v>
      </c>
      <c r="E51" s="6">
        <v>4.0</v>
      </c>
      <c r="F51" s="6">
        <v>1764.0</v>
      </c>
      <c r="G51" s="6">
        <v>0.0</v>
      </c>
      <c r="H51" s="494">
        <v>0.0</v>
      </c>
      <c r="I51" s="494">
        <v>0.0</v>
      </c>
      <c r="J51" s="5" t="s">
        <v>1986</v>
      </c>
      <c r="K51" s="5" t="s">
        <v>1986</v>
      </c>
      <c r="L51" s="5" t="s">
        <v>1986</v>
      </c>
      <c r="M51" s="5" t="s">
        <v>1986</v>
      </c>
      <c r="N51" s="5" t="s">
        <v>1986</v>
      </c>
      <c r="O51" s="5" t="s">
        <v>1986</v>
      </c>
      <c r="P51" s="5" t="s">
        <v>1986</v>
      </c>
      <c r="Q51" s="5" t="s">
        <v>1986</v>
      </c>
      <c r="R51" s="5" t="s">
        <v>1986</v>
      </c>
    </row>
    <row r="52">
      <c r="A52" s="5" t="s">
        <v>46</v>
      </c>
      <c r="B52" s="5" t="s">
        <v>163</v>
      </c>
      <c r="C52" s="5" t="s">
        <v>56</v>
      </c>
      <c r="D52" s="6">
        <v>1.0</v>
      </c>
      <c r="E52" s="6">
        <v>14.0</v>
      </c>
      <c r="F52" s="6">
        <v>729255.0</v>
      </c>
      <c r="G52" s="6">
        <v>18498.0</v>
      </c>
      <c r="H52" s="494">
        <v>0.3551</v>
      </c>
      <c r="I52" s="494">
        <v>0.769</v>
      </c>
      <c r="J52" s="494">
        <v>0.0</v>
      </c>
      <c r="K52" s="6">
        <v>3.0</v>
      </c>
      <c r="L52" s="6">
        <v>4.0</v>
      </c>
      <c r="M52" s="6">
        <v>6.0</v>
      </c>
      <c r="N52" s="6">
        <v>5.0</v>
      </c>
      <c r="O52" s="6">
        <v>0.0</v>
      </c>
      <c r="P52" s="494">
        <v>2.0631646699212047</v>
      </c>
      <c r="Q52" s="494">
        <v>4.359659336916018</v>
      </c>
      <c r="R52" s="494">
        <v>7.931315085771834</v>
      </c>
    </row>
    <row r="53">
      <c r="A53" s="5" t="s">
        <v>46</v>
      </c>
      <c r="B53" s="5" t="s">
        <v>1857</v>
      </c>
      <c r="C53" s="5" t="s">
        <v>56</v>
      </c>
      <c r="D53" s="6">
        <v>1.0</v>
      </c>
      <c r="E53" s="6">
        <v>14.0</v>
      </c>
      <c r="F53" s="6">
        <v>550399.0</v>
      </c>
      <c r="G53" s="6">
        <v>16353.0</v>
      </c>
      <c r="H53" s="494">
        <v>0.416</v>
      </c>
      <c r="I53" s="494">
        <v>0.8065</v>
      </c>
      <c r="J53" s="494">
        <v>0.0</v>
      </c>
      <c r="K53" s="6">
        <v>3.0</v>
      </c>
      <c r="L53" s="6">
        <v>5.0</v>
      </c>
      <c r="M53" s="6">
        <v>6.0</v>
      </c>
      <c r="N53" s="6">
        <v>4.7</v>
      </c>
      <c r="O53" s="6">
        <v>0.0</v>
      </c>
      <c r="P53" s="494">
        <v>2.013550213726242</v>
      </c>
      <c r="Q53" s="494">
        <v>3.918469842294585</v>
      </c>
      <c r="R53" s="494">
        <v>7.366855359735042</v>
      </c>
    </row>
    <row r="54">
      <c r="A54" s="5" t="s">
        <v>46</v>
      </c>
      <c r="B54" s="5" t="s">
        <v>163</v>
      </c>
      <c r="C54" s="5" t="s">
        <v>57</v>
      </c>
      <c r="D54" s="6">
        <v>2.0</v>
      </c>
      <c r="E54" s="6">
        <v>14.0</v>
      </c>
      <c r="F54" s="6">
        <v>476620.0</v>
      </c>
      <c r="G54" s="6">
        <v>18980.0</v>
      </c>
      <c r="H54" s="494">
        <v>0.5575</v>
      </c>
      <c r="I54" s="494">
        <v>0.826</v>
      </c>
      <c r="J54" s="494">
        <v>0.0</v>
      </c>
      <c r="K54" s="6">
        <v>2.0</v>
      </c>
      <c r="L54" s="6">
        <v>3.0</v>
      </c>
      <c r="M54" s="6">
        <v>5.0</v>
      </c>
      <c r="N54" s="6">
        <v>7.9</v>
      </c>
      <c r="O54" s="6">
        <v>0.0</v>
      </c>
      <c r="P54" s="494">
        <v>5.714748452237491</v>
      </c>
      <c r="Q54" s="494">
        <v>9.94315145862392</v>
      </c>
      <c r="R54" s="494">
        <v>10.0</v>
      </c>
    </row>
    <row r="55">
      <c r="A55" s="5" t="s">
        <v>46</v>
      </c>
      <c r="B55" s="5" t="s">
        <v>1857</v>
      </c>
      <c r="C55" s="5" t="s">
        <v>57</v>
      </c>
      <c r="D55" s="6">
        <v>2.0</v>
      </c>
      <c r="E55" s="6">
        <v>14.0</v>
      </c>
      <c r="F55" s="6">
        <v>273862.0</v>
      </c>
      <c r="G55" s="6">
        <v>11234.0</v>
      </c>
      <c r="H55" s="494">
        <v>0.5743</v>
      </c>
      <c r="I55" s="494">
        <v>0.834</v>
      </c>
      <c r="J55" s="494">
        <v>0.0</v>
      </c>
      <c r="K55" s="6">
        <v>2.0</v>
      </c>
      <c r="L55" s="6">
        <v>3.0</v>
      </c>
      <c r="M55" s="6">
        <v>5.0</v>
      </c>
      <c r="N55" s="6">
        <v>7.7</v>
      </c>
      <c r="O55" s="6">
        <v>0.0</v>
      </c>
      <c r="P55" s="494">
        <v>5.251298748718405</v>
      </c>
      <c r="Q55" s="494">
        <v>9.829044244912229</v>
      </c>
      <c r="R55" s="494">
        <v>10.0</v>
      </c>
    </row>
    <row r="56">
      <c r="A56" s="5" t="s">
        <v>46</v>
      </c>
      <c r="B56" s="5" t="s">
        <v>163</v>
      </c>
      <c r="C56" s="5" t="s">
        <v>58</v>
      </c>
      <c r="D56" s="6">
        <v>3.0</v>
      </c>
      <c r="E56" s="6">
        <v>14.0</v>
      </c>
      <c r="F56" s="6">
        <v>278808.0</v>
      </c>
      <c r="G56" s="6">
        <v>12746.0</v>
      </c>
      <c r="H56" s="494">
        <v>0.64</v>
      </c>
      <c r="I56" s="494">
        <v>0.8407</v>
      </c>
      <c r="J56" s="494">
        <v>0.0</v>
      </c>
      <c r="K56" s="6">
        <v>2.0</v>
      </c>
      <c r="L56" s="6">
        <v>3.0</v>
      </c>
      <c r="M56" s="6">
        <v>4.0</v>
      </c>
      <c r="N56" s="6">
        <v>9.1</v>
      </c>
      <c r="O56" s="6">
        <v>0.0</v>
      </c>
      <c r="P56" s="494">
        <v>9.879931531573872</v>
      </c>
      <c r="Q56" s="494">
        <v>10.0</v>
      </c>
      <c r="R56" s="494">
        <v>10.0</v>
      </c>
    </row>
    <row r="57">
      <c r="A57" s="5" t="s">
        <v>46</v>
      </c>
      <c r="B57" s="5" t="s">
        <v>1857</v>
      </c>
      <c r="C57" s="5" t="s">
        <v>58</v>
      </c>
      <c r="D57" s="6">
        <v>3.0</v>
      </c>
      <c r="E57" s="6">
        <v>14.0</v>
      </c>
      <c r="F57" s="6">
        <v>148814.0</v>
      </c>
      <c r="G57" s="6">
        <v>6789.0</v>
      </c>
      <c r="H57" s="494">
        <v>0.6387</v>
      </c>
      <c r="I57" s="494">
        <v>0.8321</v>
      </c>
      <c r="J57" s="494">
        <v>0.0</v>
      </c>
      <c r="K57" s="6">
        <v>2.0</v>
      </c>
      <c r="L57" s="6">
        <v>3.0</v>
      </c>
      <c r="M57" s="6">
        <v>4.0</v>
      </c>
      <c r="N57" s="6">
        <v>8.9</v>
      </c>
      <c r="O57" s="6">
        <v>0.0</v>
      </c>
      <c r="P57" s="494">
        <v>9.570483869876938</v>
      </c>
      <c r="Q57" s="494">
        <v>10.0</v>
      </c>
      <c r="R57" s="494">
        <v>10.0</v>
      </c>
    </row>
    <row r="58">
      <c r="A58" s="5" t="s">
        <v>46</v>
      </c>
      <c r="B58" s="5" t="s">
        <v>163</v>
      </c>
      <c r="C58" s="5" t="s">
        <v>59</v>
      </c>
      <c r="D58" s="6">
        <v>4.0</v>
      </c>
      <c r="E58" s="6">
        <v>14.0</v>
      </c>
      <c r="F58" s="6">
        <v>127996.0</v>
      </c>
      <c r="G58" s="6">
        <v>6750.0</v>
      </c>
      <c r="H58" s="494">
        <v>0.7383</v>
      </c>
      <c r="I58" s="494">
        <v>0.8817</v>
      </c>
      <c r="J58" s="494">
        <v>0.0</v>
      </c>
      <c r="K58" s="6">
        <v>1.0</v>
      </c>
      <c r="L58" s="6">
        <v>2.0</v>
      </c>
      <c r="M58" s="6">
        <v>4.0</v>
      </c>
      <c r="N58" s="6">
        <v>9.6</v>
      </c>
      <c r="O58" s="6">
        <v>0.0</v>
      </c>
      <c r="P58" s="494">
        <v>10.0</v>
      </c>
      <c r="Q58" s="494">
        <v>10.0</v>
      </c>
      <c r="R58" s="494">
        <v>10.0</v>
      </c>
    </row>
    <row r="59">
      <c r="A59" s="5" t="s">
        <v>46</v>
      </c>
      <c r="B59" s="5" t="s">
        <v>1857</v>
      </c>
      <c r="C59" s="5" t="s">
        <v>59</v>
      </c>
      <c r="D59" s="6">
        <v>4.0</v>
      </c>
      <c r="E59" s="6">
        <v>14.0</v>
      </c>
      <c r="F59" s="6">
        <v>64537.0</v>
      </c>
      <c r="G59" s="6">
        <v>3305.0</v>
      </c>
      <c r="H59" s="494">
        <v>0.7169</v>
      </c>
      <c r="I59" s="494">
        <v>0.8542</v>
      </c>
      <c r="J59" s="494">
        <v>0.0</v>
      </c>
      <c r="K59" s="6">
        <v>1.0</v>
      </c>
      <c r="L59" s="6">
        <v>2.0</v>
      </c>
      <c r="M59" s="6">
        <v>3.0</v>
      </c>
      <c r="N59" s="6">
        <v>9.5</v>
      </c>
      <c r="O59" s="6">
        <v>0.0</v>
      </c>
      <c r="P59" s="494">
        <v>10.0</v>
      </c>
      <c r="Q59" s="494">
        <v>10.0</v>
      </c>
      <c r="R59" s="494">
        <v>10.0</v>
      </c>
    </row>
    <row r="60">
      <c r="A60" s="5" t="s">
        <v>46</v>
      </c>
      <c r="B60" s="5" t="s">
        <v>163</v>
      </c>
      <c r="C60" s="5" t="s">
        <v>60</v>
      </c>
      <c r="D60" s="6">
        <v>5.0</v>
      </c>
      <c r="E60" s="6">
        <v>14.0</v>
      </c>
      <c r="F60" s="6">
        <v>18090.0</v>
      </c>
      <c r="G60" s="6">
        <v>1059.0</v>
      </c>
      <c r="H60" s="494">
        <v>0.8192</v>
      </c>
      <c r="I60" s="494">
        <v>0.9106</v>
      </c>
      <c r="J60" s="494">
        <v>0.0</v>
      </c>
      <c r="K60" s="6">
        <v>1.0</v>
      </c>
      <c r="L60" s="6">
        <v>2.0</v>
      </c>
      <c r="M60" s="6">
        <v>3.0</v>
      </c>
      <c r="N60" s="6">
        <v>9.9</v>
      </c>
      <c r="O60" s="6">
        <v>0.0</v>
      </c>
      <c r="P60" s="494">
        <v>10.0</v>
      </c>
      <c r="Q60" s="494">
        <v>10.0</v>
      </c>
      <c r="R60" s="494">
        <v>10.0</v>
      </c>
    </row>
    <row r="61">
      <c r="A61" s="5" t="s">
        <v>46</v>
      </c>
      <c r="B61" s="5" t="s">
        <v>1857</v>
      </c>
      <c r="C61" s="5" t="s">
        <v>60</v>
      </c>
      <c r="D61" s="6">
        <v>5.0</v>
      </c>
      <c r="E61" s="6">
        <v>14.0</v>
      </c>
      <c r="F61" s="6">
        <v>8840.0</v>
      </c>
      <c r="G61" s="6">
        <v>497.0</v>
      </c>
      <c r="H61" s="494">
        <v>0.7868</v>
      </c>
      <c r="I61" s="494">
        <v>0.8771</v>
      </c>
      <c r="J61" s="494">
        <v>0.0</v>
      </c>
      <c r="K61" s="6">
        <v>1.0</v>
      </c>
      <c r="L61" s="6">
        <v>2.0</v>
      </c>
      <c r="M61" s="6">
        <v>3.0</v>
      </c>
      <c r="N61" s="6">
        <v>9.9</v>
      </c>
      <c r="O61" s="6">
        <v>0.0</v>
      </c>
      <c r="P61" s="494">
        <v>10.0</v>
      </c>
      <c r="Q61" s="494">
        <v>10.0</v>
      </c>
      <c r="R61" s="494">
        <v>10.0</v>
      </c>
    </row>
    <row r="62">
      <c r="A62" s="5" t="s">
        <v>49</v>
      </c>
      <c r="B62" s="5" t="s">
        <v>163</v>
      </c>
      <c r="C62" s="5" t="s">
        <v>56</v>
      </c>
      <c r="D62" s="6">
        <v>1.0</v>
      </c>
      <c r="E62" s="6">
        <v>19.0</v>
      </c>
      <c r="F62" s="6">
        <v>998399.0</v>
      </c>
      <c r="G62" s="6">
        <v>15216.0</v>
      </c>
      <c r="H62" s="494">
        <v>0.2896</v>
      </c>
      <c r="I62" s="494">
        <v>0.3828</v>
      </c>
      <c r="J62" s="494">
        <v>0.0</v>
      </c>
      <c r="K62" s="6">
        <v>2.0</v>
      </c>
      <c r="L62" s="6">
        <v>3.0</v>
      </c>
      <c r="M62" s="6">
        <v>4.0</v>
      </c>
      <c r="N62" s="6">
        <v>1199.7</v>
      </c>
      <c r="O62" s="6">
        <v>0.0</v>
      </c>
      <c r="P62" s="494">
        <v>165.2790791681834</v>
      </c>
      <c r="Q62" s="494">
        <v>456.1347068372917</v>
      </c>
      <c r="R62" s="494">
        <v>1266.6653886738357</v>
      </c>
    </row>
    <row r="63">
      <c r="A63" s="5" t="s">
        <v>49</v>
      </c>
      <c r="B63" s="5" t="s">
        <v>1857</v>
      </c>
      <c r="C63" s="5" t="s">
        <v>56</v>
      </c>
      <c r="D63" s="6">
        <v>1.0</v>
      </c>
      <c r="E63" s="6">
        <v>19.0</v>
      </c>
      <c r="F63" s="6">
        <v>756180.0</v>
      </c>
      <c r="G63" s="6">
        <v>13140.0</v>
      </c>
      <c r="H63" s="494">
        <v>0.3302</v>
      </c>
      <c r="I63" s="494">
        <v>0.4365</v>
      </c>
      <c r="J63" s="494">
        <v>0.0</v>
      </c>
      <c r="K63" s="6">
        <v>2.0</v>
      </c>
      <c r="L63" s="6">
        <v>3.0</v>
      </c>
      <c r="M63" s="6">
        <v>4.0</v>
      </c>
      <c r="N63" s="6">
        <v>1095.8</v>
      </c>
      <c r="O63" s="6">
        <v>0.0</v>
      </c>
      <c r="P63" s="494">
        <v>144.11628863521992</v>
      </c>
      <c r="Q63" s="494">
        <v>373.8898632694007</v>
      </c>
      <c r="R63" s="494">
        <v>1004.1896016279399</v>
      </c>
    </row>
    <row r="64">
      <c r="A64" s="5" t="s">
        <v>49</v>
      </c>
      <c r="B64" s="5" t="s">
        <v>163</v>
      </c>
      <c r="C64" s="5" t="s">
        <v>57</v>
      </c>
      <c r="D64" s="6">
        <v>2.0</v>
      </c>
      <c r="E64" s="6">
        <v>19.0</v>
      </c>
      <c r="F64" s="6">
        <v>660987.0</v>
      </c>
      <c r="G64" s="6">
        <v>15778.0</v>
      </c>
      <c r="H64" s="494">
        <v>0.4535</v>
      </c>
      <c r="I64" s="494">
        <v>0.5179</v>
      </c>
      <c r="J64" s="494">
        <v>0.0</v>
      </c>
      <c r="K64" s="6">
        <v>1.0</v>
      </c>
      <c r="L64" s="6">
        <v>2.0</v>
      </c>
      <c r="M64" s="6">
        <v>3.0</v>
      </c>
      <c r="N64" s="6">
        <v>2912.8</v>
      </c>
      <c r="O64" s="6">
        <v>0.0</v>
      </c>
      <c r="P64" s="494">
        <v>427.7924289706695</v>
      </c>
      <c r="Q64" s="494">
        <v>1278.2365719846987</v>
      </c>
      <c r="R64" s="494">
        <v>3857.018963567327</v>
      </c>
    </row>
    <row r="65">
      <c r="A65" s="5" t="s">
        <v>49</v>
      </c>
      <c r="B65" s="5" t="s">
        <v>1857</v>
      </c>
      <c r="C65" s="5" t="s">
        <v>57</v>
      </c>
      <c r="D65" s="6">
        <v>2.0</v>
      </c>
      <c r="E65" s="6">
        <v>19.0</v>
      </c>
      <c r="F65" s="6">
        <v>379436.0</v>
      </c>
      <c r="G65" s="6">
        <v>9253.0</v>
      </c>
      <c r="H65" s="494">
        <v>0.4634</v>
      </c>
      <c r="I65" s="494">
        <v>0.5403</v>
      </c>
      <c r="J65" s="494">
        <v>0.0</v>
      </c>
      <c r="K65" s="6">
        <v>1.0</v>
      </c>
      <c r="L65" s="6">
        <v>2.0</v>
      </c>
      <c r="M65" s="6">
        <v>3.0</v>
      </c>
      <c r="N65" s="6">
        <v>3123.6</v>
      </c>
      <c r="O65" s="6">
        <v>0.0</v>
      </c>
      <c r="P65" s="494">
        <v>359.3732366726816</v>
      </c>
      <c r="Q65" s="494">
        <v>1117.360139499679</v>
      </c>
      <c r="R65" s="494">
        <v>3848.5350694472</v>
      </c>
    </row>
    <row r="66">
      <c r="A66" s="5" t="s">
        <v>49</v>
      </c>
      <c r="B66" s="5" t="s">
        <v>163</v>
      </c>
      <c r="C66" s="5" t="s">
        <v>58</v>
      </c>
      <c r="D66" s="6">
        <v>3.0</v>
      </c>
      <c r="E66" s="6">
        <v>19.0</v>
      </c>
      <c r="F66" s="6">
        <v>390504.0</v>
      </c>
      <c r="G66" s="6">
        <v>11073.0</v>
      </c>
      <c r="H66" s="494">
        <v>0.5387</v>
      </c>
      <c r="I66" s="494">
        <v>0.5821</v>
      </c>
      <c r="J66" s="494">
        <v>0.0</v>
      </c>
      <c r="K66" s="6">
        <v>1.0</v>
      </c>
      <c r="L66" s="6">
        <v>2.0</v>
      </c>
      <c r="M66" s="6">
        <v>3.0</v>
      </c>
      <c r="N66" s="6">
        <v>5056.3</v>
      </c>
      <c r="O66" s="6">
        <v>0.0</v>
      </c>
      <c r="P66" s="494">
        <v>866.906786759796</v>
      </c>
      <c r="Q66" s="494">
        <v>2875.2186518214617</v>
      </c>
      <c r="R66" s="494">
        <v>7342.036484727915</v>
      </c>
    </row>
    <row r="67">
      <c r="A67" s="5" t="s">
        <v>49</v>
      </c>
      <c r="B67" s="5" t="s">
        <v>1857</v>
      </c>
      <c r="C67" s="5" t="s">
        <v>58</v>
      </c>
      <c r="D67" s="6">
        <v>3.0</v>
      </c>
      <c r="E67" s="6">
        <v>19.0</v>
      </c>
      <c r="F67" s="6">
        <v>207484.0</v>
      </c>
      <c r="G67" s="6">
        <v>5946.0</v>
      </c>
      <c r="H67" s="494">
        <v>0.5445</v>
      </c>
      <c r="I67" s="494">
        <v>0.5992</v>
      </c>
      <c r="J67" s="494">
        <v>0.0</v>
      </c>
      <c r="K67" s="6">
        <v>1.0</v>
      </c>
      <c r="L67" s="6">
        <v>2.0</v>
      </c>
      <c r="M67" s="6">
        <v>3.0</v>
      </c>
      <c r="N67" s="6">
        <v>5761.5</v>
      </c>
      <c r="O67" s="6">
        <v>0.0</v>
      </c>
      <c r="P67" s="494">
        <v>733.2478326692435</v>
      </c>
      <c r="Q67" s="494">
        <v>2836.340261317452</v>
      </c>
      <c r="R67" s="494">
        <v>8588.99918278382</v>
      </c>
    </row>
    <row r="68">
      <c r="A68" s="5" t="s">
        <v>49</v>
      </c>
      <c r="B68" s="5" t="s">
        <v>163</v>
      </c>
      <c r="C68" s="5" t="s">
        <v>59</v>
      </c>
      <c r="D68" s="6">
        <v>4.0</v>
      </c>
      <c r="E68" s="6">
        <v>19.0</v>
      </c>
      <c r="F68" s="6">
        <v>181925.0</v>
      </c>
      <c r="G68" s="6">
        <v>6070.0</v>
      </c>
      <c r="H68" s="494">
        <v>0.634</v>
      </c>
      <c r="I68" s="494">
        <v>0.6642</v>
      </c>
      <c r="J68" s="494">
        <v>0.0</v>
      </c>
      <c r="K68" s="6">
        <v>1.0</v>
      </c>
      <c r="L68" s="6">
        <v>1.0</v>
      </c>
      <c r="M68" s="6">
        <v>2.0</v>
      </c>
      <c r="N68" s="6">
        <v>7458.1</v>
      </c>
      <c r="O68" s="6">
        <v>0.0</v>
      </c>
      <c r="P68" s="494">
        <v>1629.1167669823503</v>
      </c>
      <c r="Q68" s="494">
        <v>5054.96803585212</v>
      </c>
      <c r="R68" s="494">
        <v>11402.267186507443</v>
      </c>
    </row>
    <row r="69">
      <c r="A69" s="5" t="s">
        <v>49</v>
      </c>
      <c r="B69" s="5" t="s">
        <v>1857</v>
      </c>
      <c r="C69" s="5" t="s">
        <v>59</v>
      </c>
      <c r="D69" s="6">
        <v>4.0</v>
      </c>
      <c r="E69" s="6">
        <v>19.0</v>
      </c>
      <c r="F69" s="6">
        <v>91139.0</v>
      </c>
      <c r="G69" s="6">
        <v>3024.0</v>
      </c>
      <c r="H69" s="494">
        <v>0.6304</v>
      </c>
      <c r="I69" s="494">
        <v>0.6678</v>
      </c>
      <c r="J69" s="494">
        <v>0.0</v>
      </c>
      <c r="K69" s="6">
        <v>1.0</v>
      </c>
      <c r="L69" s="6">
        <v>1.0</v>
      </c>
      <c r="M69" s="6">
        <v>2.0</v>
      </c>
      <c r="N69" s="6">
        <v>8961.0</v>
      </c>
      <c r="O69" s="6">
        <v>0.0</v>
      </c>
      <c r="P69" s="494">
        <v>1557.4429175935825</v>
      </c>
      <c r="Q69" s="494">
        <v>5929.84039407777</v>
      </c>
      <c r="R69" s="494">
        <v>14199.868062125795</v>
      </c>
    </row>
    <row r="70">
      <c r="A70" s="5" t="s">
        <v>49</v>
      </c>
      <c r="B70" s="5" t="s">
        <v>163</v>
      </c>
      <c r="C70" s="5" t="s">
        <v>60</v>
      </c>
      <c r="D70" s="6">
        <v>5.0</v>
      </c>
      <c r="E70" s="6">
        <v>19.0</v>
      </c>
      <c r="F70" s="6">
        <v>24552.0</v>
      </c>
      <c r="G70" s="6">
        <v>899.0</v>
      </c>
      <c r="H70" s="494">
        <v>0.6957</v>
      </c>
      <c r="I70" s="494">
        <v>0.71</v>
      </c>
      <c r="J70" s="494">
        <v>0.0</v>
      </c>
      <c r="K70" s="6">
        <v>1.0</v>
      </c>
      <c r="L70" s="6">
        <v>1.0</v>
      </c>
      <c r="M70" s="6">
        <v>2.0</v>
      </c>
      <c r="N70" s="6">
        <v>9165.6</v>
      </c>
      <c r="O70" s="6">
        <v>0.0</v>
      </c>
      <c r="P70" s="494">
        <v>2605.630523067046</v>
      </c>
      <c r="Q70" s="494">
        <v>6688.935822848914</v>
      </c>
      <c r="R70" s="494">
        <v>14144.155036352307</v>
      </c>
    </row>
    <row r="71">
      <c r="A71" s="5" t="s">
        <v>49</v>
      </c>
      <c r="B71" s="5" t="s">
        <v>1857</v>
      </c>
      <c r="C71" s="5" t="s">
        <v>60</v>
      </c>
      <c r="D71" s="6">
        <v>5.0</v>
      </c>
      <c r="E71" s="6">
        <v>19.0</v>
      </c>
      <c r="F71" s="6">
        <v>11954.0</v>
      </c>
      <c r="G71" s="6">
        <v>445.0</v>
      </c>
      <c r="H71" s="494">
        <v>0.7075</v>
      </c>
      <c r="I71" s="494">
        <v>0.7264</v>
      </c>
      <c r="J71" s="494">
        <v>0.0</v>
      </c>
      <c r="K71" s="6">
        <v>1.0</v>
      </c>
      <c r="L71" s="6">
        <v>1.0</v>
      </c>
      <c r="M71" s="6">
        <v>2.0</v>
      </c>
      <c r="N71" s="6">
        <v>11410.7</v>
      </c>
      <c r="O71" s="6">
        <v>0.0</v>
      </c>
      <c r="P71" s="494">
        <v>3080.172300516624</v>
      </c>
      <c r="Q71" s="494">
        <v>8720.377704390065</v>
      </c>
      <c r="R71" s="494">
        <v>17570.59790879974</v>
      </c>
    </row>
    <row r="72">
      <c r="A72" s="5" t="s">
        <v>44</v>
      </c>
      <c r="B72" s="5" t="s">
        <v>163</v>
      </c>
      <c r="C72" s="5" t="s">
        <v>56</v>
      </c>
      <c r="D72" s="6">
        <v>1.0</v>
      </c>
      <c r="E72" s="6">
        <v>5.0</v>
      </c>
      <c r="F72" s="6">
        <v>348048.0</v>
      </c>
      <c r="G72" s="6">
        <v>51284.0</v>
      </c>
      <c r="H72" s="494">
        <v>0.7367</v>
      </c>
      <c r="I72" s="494">
        <v>0.9195</v>
      </c>
      <c r="J72" s="494">
        <v>0.0</v>
      </c>
      <c r="K72" s="5" t="s">
        <v>1986</v>
      </c>
      <c r="L72" s="5" t="s">
        <v>1986</v>
      </c>
      <c r="M72" s="5" t="s">
        <v>1986</v>
      </c>
      <c r="N72" s="6">
        <v>20.1</v>
      </c>
      <c r="O72" s="5" t="s">
        <v>1986</v>
      </c>
      <c r="P72" s="494">
        <v>6.290115773128067</v>
      </c>
      <c r="Q72" s="494">
        <v>13.389214786188688</v>
      </c>
      <c r="R72" s="494">
        <v>25.404079560879413</v>
      </c>
    </row>
    <row r="73">
      <c r="A73" s="5" t="s">
        <v>44</v>
      </c>
      <c r="B73" s="5" t="s">
        <v>1857</v>
      </c>
      <c r="C73" s="5" t="s">
        <v>56</v>
      </c>
      <c r="D73" s="6">
        <v>1.0</v>
      </c>
      <c r="E73" s="6">
        <v>5.0</v>
      </c>
      <c r="F73" s="6">
        <v>250348.0</v>
      </c>
      <c r="G73" s="6">
        <v>41038.0</v>
      </c>
      <c r="H73" s="494">
        <v>0.8196</v>
      </c>
      <c r="I73" s="494">
        <v>0.9401</v>
      </c>
      <c r="J73" s="494">
        <v>0.0</v>
      </c>
      <c r="K73" s="5" t="s">
        <v>1986</v>
      </c>
      <c r="L73" s="5" t="s">
        <v>1986</v>
      </c>
      <c r="M73" s="5" t="s">
        <v>1986</v>
      </c>
      <c r="N73" s="6">
        <v>19.3</v>
      </c>
      <c r="O73" s="5" t="s">
        <v>1986</v>
      </c>
      <c r="P73" s="494">
        <v>6.309062587481693</v>
      </c>
      <c r="Q73" s="494">
        <v>13.310079161190876</v>
      </c>
      <c r="R73" s="494">
        <v>24.665583015235516</v>
      </c>
    </row>
    <row r="74">
      <c r="A74" s="5" t="s">
        <v>44</v>
      </c>
      <c r="B74" s="5" t="s">
        <v>163</v>
      </c>
      <c r="C74" s="5" t="s">
        <v>57</v>
      </c>
      <c r="D74" s="6">
        <v>2.0</v>
      </c>
      <c r="E74" s="6">
        <v>5.0</v>
      </c>
      <c r="F74" s="6">
        <v>214500.0</v>
      </c>
      <c r="G74" s="6">
        <v>38552.0</v>
      </c>
      <c r="H74" s="494">
        <v>0.8986</v>
      </c>
      <c r="I74" s="494">
        <v>0.9401</v>
      </c>
      <c r="J74" s="494">
        <v>0.0</v>
      </c>
      <c r="K74" s="5" t="s">
        <v>1986</v>
      </c>
      <c r="L74" s="5" t="s">
        <v>1986</v>
      </c>
      <c r="M74" s="5" t="s">
        <v>1986</v>
      </c>
      <c r="N74" s="6">
        <v>50.7</v>
      </c>
      <c r="O74" s="5" t="s">
        <v>1986</v>
      </c>
      <c r="P74" s="494">
        <v>22.32022943228724</v>
      </c>
      <c r="Q74" s="494">
        <v>41.204273288655656</v>
      </c>
      <c r="R74" s="494">
        <v>65.54174605674714</v>
      </c>
    </row>
    <row r="75">
      <c r="A75" s="5" t="s">
        <v>44</v>
      </c>
      <c r="B75" s="5" t="s">
        <v>1857</v>
      </c>
      <c r="C75" s="5" t="s">
        <v>57</v>
      </c>
      <c r="D75" s="6">
        <v>2.0</v>
      </c>
      <c r="E75" s="6">
        <v>5.0</v>
      </c>
      <c r="F75" s="6">
        <v>121239.0</v>
      </c>
      <c r="G75" s="6">
        <v>22179.0</v>
      </c>
      <c r="H75" s="494">
        <v>0.9147</v>
      </c>
      <c r="I75" s="494">
        <v>0.9465</v>
      </c>
      <c r="J75" s="494">
        <v>0.0</v>
      </c>
      <c r="K75" s="5" t="s">
        <v>1986</v>
      </c>
      <c r="L75" s="5" t="s">
        <v>1986</v>
      </c>
      <c r="M75" s="5" t="s">
        <v>1986</v>
      </c>
      <c r="N75" s="6">
        <v>49.1</v>
      </c>
      <c r="O75" s="5" t="s">
        <v>1986</v>
      </c>
      <c r="P75" s="494">
        <v>21.780288678074694</v>
      </c>
      <c r="Q75" s="494">
        <v>39.89562754115231</v>
      </c>
      <c r="R75" s="494">
        <v>64.14082114696782</v>
      </c>
    </row>
    <row r="76">
      <c r="A76" s="5" t="s">
        <v>44</v>
      </c>
      <c r="B76" s="5" t="s">
        <v>163</v>
      </c>
      <c r="C76" s="5" t="s">
        <v>58</v>
      </c>
      <c r="D76" s="6">
        <v>3.0</v>
      </c>
      <c r="E76" s="6">
        <v>5.0</v>
      </c>
      <c r="F76" s="6">
        <v>128635.0</v>
      </c>
      <c r="G76" s="6">
        <v>23588.0</v>
      </c>
      <c r="H76" s="494">
        <v>0.9168</v>
      </c>
      <c r="I76" s="494">
        <v>0.9424</v>
      </c>
      <c r="J76" s="494">
        <v>0.0</v>
      </c>
      <c r="K76" s="5" t="s">
        <v>1986</v>
      </c>
      <c r="L76" s="5" t="s">
        <v>1986</v>
      </c>
      <c r="M76" s="5" t="s">
        <v>1986</v>
      </c>
      <c r="N76" s="6">
        <v>90.6</v>
      </c>
      <c r="O76" s="5" t="s">
        <v>1986</v>
      </c>
      <c r="P76" s="494">
        <v>44.81224532912418</v>
      </c>
      <c r="Q76" s="494">
        <v>81.74916860770564</v>
      </c>
      <c r="R76" s="494">
        <v>130.08549459424947</v>
      </c>
    </row>
    <row r="77">
      <c r="A77" s="5" t="s">
        <v>44</v>
      </c>
      <c r="B77" s="5" t="s">
        <v>1857</v>
      </c>
      <c r="C77" s="5" t="s">
        <v>58</v>
      </c>
      <c r="D77" s="6">
        <v>3.0</v>
      </c>
      <c r="E77" s="6">
        <v>5.0</v>
      </c>
      <c r="F77" s="6">
        <v>68319.0</v>
      </c>
      <c r="G77" s="6">
        <v>12523.0</v>
      </c>
      <c r="H77" s="494">
        <v>0.9165</v>
      </c>
      <c r="I77" s="494">
        <v>0.9389</v>
      </c>
      <c r="J77" s="494">
        <v>0.0</v>
      </c>
      <c r="K77" s="5" t="s">
        <v>1986</v>
      </c>
      <c r="L77" s="5" t="s">
        <v>1986</v>
      </c>
      <c r="M77" s="5" t="s">
        <v>1986</v>
      </c>
      <c r="N77" s="6">
        <v>85.2</v>
      </c>
      <c r="O77" s="5" t="s">
        <v>1986</v>
      </c>
      <c r="P77" s="494">
        <v>41.55674620691141</v>
      </c>
      <c r="Q77" s="494">
        <v>76.9753203064432</v>
      </c>
      <c r="R77" s="494">
        <v>125.70699471118449</v>
      </c>
    </row>
    <row r="78">
      <c r="A78" s="5" t="s">
        <v>44</v>
      </c>
      <c r="B78" s="5" t="s">
        <v>163</v>
      </c>
      <c r="C78" s="5" t="s">
        <v>59</v>
      </c>
      <c r="D78" s="6">
        <v>4.0</v>
      </c>
      <c r="E78" s="6">
        <v>5.0</v>
      </c>
      <c r="F78" s="6">
        <v>59570.0</v>
      </c>
      <c r="G78" s="6">
        <v>11252.0</v>
      </c>
      <c r="H78" s="494">
        <v>0.9444</v>
      </c>
      <c r="I78" s="494">
        <v>0.9547</v>
      </c>
      <c r="J78" s="494">
        <v>0.0</v>
      </c>
      <c r="K78" s="5" t="s">
        <v>1986</v>
      </c>
      <c r="L78" s="5" t="s">
        <v>1986</v>
      </c>
      <c r="M78" s="5" t="s">
        <v>1986</v>
      </c>
      <c r="N78" s="6">
        <v>144.7</v>
      </c>
      <c r="O78" s="5" t="s">
        <v>1986</v>
      </c>
      <c r="P78" s="494">
        <v>103.01763399652893</v>
      </c>
      <c r="Q78" s="494">
        <v>148.55057025586618</v>
      </c>
      <c r="R78" s="494">
        <v>168.57819842824455</v>
      </c>
    </row>
    <row r="79">
      <c r="A79" s="5" t="s">
        <v>44</v>
      </c>
      <c r="B79" s="5" t="s">
        <v>1857</v>
      </c>
      <c r="C79" s="5" t="s">
        <v>59</v>
      </c>
      <c r="D79" s="6">
        <v>4.0</v>
      </c>
      <c r="E79" s="6">
        <v>5.0</v>
      </c>
      <c r="F79" s="6">
        <v>30382.0</v>
      </c>
      <c r="G79" s="6">
        <v>5633.0</v>
      </c>
      <c r="H79" s="494">
        <v>0.9271</v>
      </c>
      <c r="I79" s="494">
        <v>0.9405</v>
      </c>
      <c r="J79" s="494">
        <v>0.0</v>
      </c>
      <c r="K79" s="5" t="s">
        <v>1986</v>
      </c>
      <c r="L79" s="5" t="s">
        <v>1986</v>
      </c>
      <c r="M79" s="5" t="s">
        <v>1986</v>
      </c>
      <c r="N79" s="6">
        <v>131.3</v>
      </c>
      <c r="O79" s="5" t="s">
        <v>1986</v>
      </c>
      <c r="P79" s="494">
        <v>87.11987211051547</v>
      </c>
      <c r="Q79" s="494">
        <v>144.24474655725615</v>
      </c>
      <c r="R79" s="494">
        <v>161.3714423599763</v>
      </c>
    </row>
    <row r="80">
      <c r="A80" s="5" t="s">
        <v>44</v>
      </c>
      <c r="B80" s="5" t="s">
        <v>163</v>
      </c>
      <c r="C80" s="5" t="s">
        <v>60</v>
      </c>
      <c r="D80" s="6">
        <v>5.0</v>
      </c>
      <c r="E80" s="6">
        <v>5.0</v>
      </c>
      <c r="F80" s="6">
        <v>8019.0</v>
      </c>
      <c r="G80" s="6">
        <v>1509.0</v>
      </c>
      <c r="H80" s="494">
        <v>0.941</v>
      </c>
      <c r="I80" s="494">
        <v>0.9475</v>
      </c>
      <c r="J80" s="494">
        <v>0.0</v>
      </c>
      <c r="K80" s="5" t="s">
        <v>1986</v>
      </c>
      <c r="L80" s="5" t="s">
        <v>1986</v>
      </c>
      <c r="M80" s="5" t="s">
        <v>1986</v>
      </c>
      <c r="N80" s="6">
        <v>192.3</v>
      </c>
      <c r="O80" s="5" t="s">
        <v>1986</v>
      </c>
      <c r="P80" s="494">
        <v>149.56535838454008</v>
      </c>
      <c r="Q80" s="494">
        <v>163.37240950125178</v>
      </c>
      <c r="R80" s="494">
        <v>200.03242304542286</v>
      </c>
    </row>
    <row r="81">
      <c r="A81" s="5" t="s">
        <v>44</v>
      </c>
      <c r="B81" s="5" t="s">
        <v>1857</v>
      </c>
      <c r="C81" s="5" t="s">
        <v>60</v>
      </c>
      <c r="D81" s="6">
        <v>5.0</v>
      </c>
      <c r="E81" s="6">
        <v>5.0</v>
      </c>
      <c r="F81" s="6">
        <v>3994.0</v>
      </c>
      <c r="G81" s="6">
        <v>737.0</v>
      </c>
      <c r="H81" s="494">
        <v>0.9226</v>
      </c>
      <c r="I81" s="494">
        <v>0.9296</v>
      </c>
      <c r="J81" s="494">
        <v>0.0</v>
      </c>
      <c r="K81" s="5" t="s">
        <v>1986</v>
      </c>
      <c r="L81" s="5" t="s">
        <v>1986</v>
      </c>
      <c r="M81" s="5" t="s">
        <v>1986</v>
      </c>
      <c r="N81" s="6">
        <v>172.4</v>
      </c>
      <c r="O81" s="5" t="s">
        <v>1986</v>
      </c>
      <c r="P81" s="494">
        <v>148.45655444688876</v>
      </c>
      <c r="Q81" s="494">
        <v>159.91344870725604</v>
      </c>
      <c r="R81" s="494">
        <v>179.41356741356742</v>
      </c>
    </row>
    <row r="82">
      <c r="A82" s="5" t="s">
        <v>369</v>
      </c>
      <c r="B82" s="5" t="s">
        <v>163</v>
      </c>
      <c r="C82" s="5" t="s">
        <v>56</v>
      </c>
      <c r="D82" s="6">
        <v>1.0</v>
      </c>
      <c r="E82" s="6">
        <v>2.0</v>
      </c>
      <c r="F82" s="6">
        <v>148121.0</v>
      </c>
      <c r="G82" s="6">
        <v>58275.0</v>
      </c>
      <c r="H82" s="494">
        <v>0.7868</v>
      </c>
      <c r="I82" s="494">
        <v>0.9324</v>
      </c>
      <c r="J82" s="494">
        <v>0.7331</v>
      </c>
      <c r="K82" s="5" t="s">
        <v>1986</v>
      </c>
      <c r="L82" s="5" t="s">
        <v>1986</v>
      </c>
      <c r="M82" s="5" t="s">
        <v>1986</v>
      </c>
      <c r="N82" s="6">
        <v>116.2</v>
      </c>
      <c r="O82" s="5" t="s">
        <v>1986</v>
      </c>
      <c r="P82" s="494">
        <v>33.83089986777711</v>
      </c>
      <c r="Q82" s="494">
        <v>80.50952490624502</v>
      </c>
      <c r="R82" s="494">
        <v>164.5114842945692</v>
      </c>
    </row>
    <row r="83">
      <c r="A83" s="5" t="s">
        <v>369</v>
      </c>
      <c r="B83" s="5" t="s">
        <v>1857</v>
      </c>
      <c r="C83" s="5" t="s">
        <v>56</v>
      </c>
      <c r="D83" s="6">
        <v>1.0</v>
      </c>
      <c r="E83" s="6">
        <v>2.0</v>
      </c>
      <c r="F83" s="6">
        <v>105186.0</v>
      </c>
      <c r="G83" s="6">
        <v>45324.0</v>
      </c>
      <c r="H83" s="494">
        <v>0.8618</v>
      </c>
      <c r="I83" s="494">
        <v>0.9558</v>
      </c>
      <c r="J83" s="494">
        <v>0.7512</v>
      </c>
      <c r="K83" s="5" t="s">
        <v>1986</v>
      </c>
      <c r="L83" s="5" t="s">
        <v>1986</v>
      </c>
      <c r="M83" s="5" t="s">
        <v>1986</v>
      </c>
      <c r="N83" s="6">
        <v>110.1</v>
      </c>
      <c r="O83" s="5" t="s">
        <v>1986</v>
      </c>
      <c r="P83" s="494">
        <v>34.58493503147846</v>
      </c>
      <c r="Q83" s="494">
        <v>78.44835167425404</v>
      </c>
      <c r="R83" s="494">
        <v>153.70555223309998</v>
      </c>
    </row>
    <row r="84">
      <c r="A84" s="5" t="s">
        <v>369</v>
      </c>
      <c r="B84" s="5" t="s">
        <v>163</v>
      </c>
      <c r="C84" s="5" t="s">
        <v>57</v>
      </c>
      <c r="D84" s="6">
        <v>2.0</v>
      </c>
      <c r="E84" s="6">
        <v>2.0</v>
      </c>
      <c r="F84" s="6">
        <v>90102.0</v>
      </c>
      <c r="G84" s="6">
        <v>41196.0</v>
      </c>
      <c r="H84" s="494">
        <v>0.9144</v>
      </c>
      <c r="I84" s="494">
        <v>0.9532</v>
      </c>
      <c r="J84" s="494">
        <v>0.9069</v>
      </c>
      <c r="K84" s="5" t="s">
        <v>1986</v>
      </c>
      <c r="L84" s="5" t="s">
        <v>1986</v>
      </c>
      <c r="M84" s="5" t="s">
        <v>1986</v>
      </c>
      <c r="N84" s="6">
        <v>369.8</v>
      </c>
      <c r="O84" s="5" t="s">
        <v>1986</v>
      </c>
      <c r="P84" s="494">
        <v>163.83436669279655</v>
      </c>
      <c r="Q84" s="494">
        <v>311.1462405685149</v>
      </c>
      <c r="R84" s="494">
        <v>478.64957688837757</v>
      </c>
    </row>
    <row r="85">
      <c r="A85" s="5" t="s">
        <v>369</v>
      </c>
      <c r="B85" s="5" t="s">
        <v>1857</v>
      </c>
      <c r="C85" s="5" t="s">
        <v>57</v>
      </c>
      <c r="D85" s="6">
        <v>2.0</v>
      </c>
      <c r="E85" s="6">
        <v>2.0</v>
      </c>
      <c r="F85" s="6">
        <v>51414.0</v>
      </c>
      <c r="G85" s="6">
        <v>23955.0</v>
      </c>
      <c r="H85" s="494">
        <v>0.9318</v>
      </c>
      <c r="I85" s="494">
        <v>0.9562</v>
      </c>
      <c r="J85" s="494">
        <v>0.9128</v>
      </c>
      <c r="K85" s="5" t="s">
        <v>1986</v>
      </c>
      <c r="L85" s="5" t="s">
        <v>1986</v>
      </c>
      <c r="M85" s="5" t="s">
        <v>1986</v>
      </c>
      <c r="N85" s="6">
        <v>347.6</v>
      </c>
      <c r="O85" s="5" t="s">
        <v>1986</v>
      </c>
      <c r="P85" s="494">
        <v>149.63305942891856</v>
      </c>
      <c r="Q85" s="494">
        <v>288.77838428109095</v>
      </c>
      <c r="R85" s="494">
        <v>455.3360479626308</v>
      </c>
    </row>
    <row r="86">
      <c r="A86" s="5" t="s">
        <v>369</v>
      </c>
      <c r="B86" s="5" t="s">
        <v>163</v>
      </c>
      <c r="C86" s="5" t="s">
        <v>58</v>
      </c>
      <c r="D86" s="6">
        <v>3.0</v>
      </c>
      <c r="E86" s="6">
        <v>2.0</v>
      </c>
      <c r="F86" s="6">
        <v>54460.0</v>
      </c>
      <c r="G86" s="6">
        <v>25323.0</v>
      </c>
      <c r="H86" s="494">
        <v>0.9299</v>
      </c>
      <c r="I86" s="494">
        <v>0.9553</v>
      </c>
      <c r="J86" s="494">
        <v>0.9178</v>
      </c>
      <c r="K86" s="5" t="s">
        <v>1986</v>
      </c>
      <c r="L86" s="5" t="s">
        <v>1986</v>
      </c>
      <c r="M86" s="5" t="s">
        <v>1986</v>
      </c>
      <c r="N86" s="6">
        <v>771.2</v>
      </c>
      <c r="O86" s="5" t="s">
        <v>1986</v>
      </c>
      <c r="P86" s="494">
        <v>369.1968960064367</v>
      </c>
      <c r="Q86" s="494">
        <v>701.4750480617371</v>
      </c>
      <c r="R86" s="494">
        <v>1078.6302734188655</v>
      </c>
    </row>
    <row r="87">
      <c r="A87" s="5" t="s">
        <v>369</v>
      </c>
      <c r="B87" s="5" t="s">
        <v>1857</v>
      </c>
      <c r="C87" s="5" t="s">
        <v>58</v>
      </c>
      <c r="D87" s="6">
        <v>3.0</v>
      </c>
      <c r="E87" s="6">
        <v>2.0</v>
      </c>
      <c r="F87" s="6">
        <v>29336.0</v>
      </c>
      <c r="G87" s="6">
        <v>13743.0</v>
      </c>
      <c r="H87" s="494">
        <v>0.9369</v>
      </c>
      <c r="I87" s="494">
        <v>0.9525</v>
      </c>
      <c r="J87" s="494">
        <v>0.9165</v>
      </c>
      <c r="K87" s="5" t="s">
        <v>1986</v>
      </c>
      <c r="L87" s="5" t="s">
        <v>1986</v>
      </c>
      <c r="M87" s="5" t="s">
        <v>1986</v>
      </c>
      <c r="N87" s="6">
        <v>689.2</v>
      </c>
      <c r="O87" s="5" t="s">
        <v>1986</v>
      </c>
      <c r="P87" s="494">
        <v>306.13340641840676</v>
      </c>
      <c r="Q87" s="494">
        <v>608.198836848354</v>
      </c>
      <c r="R87" s="494">
        <v>965.7806909433187</v>
      </c>
    </row>
    <row r="88">
      <c r="A88" s="5" t="s">
        <v>369</v>
      </c>
      <c r="B88" s="5" t="s">
        <v>163</v>
      </c>
      <c r="C88" s="5" t="s">
        <v>59</v>
      </c>
      <c r="D88" s="6">
        <v>4.0</v>
      </c>
      <c r="E88" s="6">
        <v>2.0</v>
      </c>
      <c r="F88" s="6">
        <v>24553.0</v>
      </c>
      <c r="G88" s="6">
        <v>11683.0</v>
      </c>
      <c r="H88" s="494">
        <v>0.9516</v>
      </c>
      <c r="I88" s="494">
        <v>0.9625</v>
      </c>
      <c r="J88" s="494">
        <v>0.8737</v>
      </c>
      <c r="K88" s="5" t="s">
        <v>1986</v>
      </c>
      <c r="L88" s="5" t="s">
        <v>1986</v>
      </c>
      <c r="M88" s="5" t="s">
        <v>1986</v>
      </c>
      <c r="N88" s="6">
        <v>1318.8</v>
      </c>
      <c r="O88" s="5" t="s">
        <v>1986</v>
      </c>
      <c r="P88" s="494">
        <v>774.2764762766709</v>
      </c>
      <c r="Q88" s="494">
        <v>1410.3560288703172</v>
      </c>
      <c r="R88" s="494">
        <v>1930.7227681101926</v>
      </c>
    </row>
    <row r="89">
      <c r="A89" s="5" t="s">
        <v>369</v>
      </c>
      <c r="B89" s="5" t="s">
        <v>1857</v>
      </c>
      <c r="C89" s="5" t="s">
        <v>59</v>
      </c>
      <c r="D89" s="6">
        <v>4.0</v>
      </c>
      <c r="E89" s="6">
        <v>2.0</v>
      </c>
      <c r="F89" s="6">
        <v>12613.0</v>
      </c>
      <c r="G89" s="6">
        <v>5937.0</v>
      </c>
      <c r="H89" s="494">
        <v>0.9413</v>
      </c>
      <c r="I89" s="494">
        <v>0.9486</v>
      </c>
      <c r="J89" s="494">
        <v>0.8693</v>
      </c>
      <c r="K89" s="5" t="s">
        <v>1986</v>
      </c>
      <c r="L89" s="5" t="s">
        <v>1986</v>
      </c>
      <c r="M89" s="5" t="s">
        <v>1986</v>
      </c>
      <c r="N89" s="6">
        <v>1201.3</v>
      </c>
      <c r="O89" s="5" t="s">
        <v>1986</v>
      </c>
      <c r="P89" s="494">
        <v>642.4973669470219</v>
      </c>
      <c r="Q89" s="494">
        <v>1222.789830885945</v>
      </c>
      <c r="R89" s="494">
        <v>1909.1312891384928</v>
      </c>
    </row>
    <row r="90">
      <c r="A90" s="5" t="s">
        <v>369</v>
      </c>
      <c r="B90" s="5" t="s">
        <v>163</v>
      </c>
      <c r="C90" s="5" t="s">
        <v>60</v>
      </c>
      <c r="D90" s="6">
        <v>5.0</v>
      </c>
      <c r="E90" s="6">
        <v>2.0</v>
      </c>
      <c r="F90" s="6">
        <v>3163.0</v>
      </c>
      <c r="G90" s="6">
        <v>1502.0</v>
      </c>
      <c r="H90" s="494">
        <v>0.9497</v>
      </c>
      <c r="I90" s="494">
        <v>0.9554</v>
      </c>
      <c r="J90" s="494">
        <v>0.6907</v>
      </c>
      <c r="K90" s="5" t="s">
        <v>1986</v>
      </c>
      <c r="L90" s="5" t="s">
        <v>1986</v>
      </c>
      <c r="M90" s="5" t="s">
        <v>1986</v>
      </c>
      <c r="N90" s="6">
        <v>1672.7</v>
      </c>
      <c r="O90" s="5" t="s">
        <v>1986</v>
      </c>
      <c r="P90" s="494">
        <v>1618.069048909362</v>
      </c>
      <c r="Q90" s="494">
        <v>1930.8413946633411</v>
      </c>
      <c r="R90" s="494">
        <v>1933.0</v>
      </c>
    </row>
    <row r="91">
      <c r="A91" s="5" t="s">
        <v>369</v>
      </c>
      <c r="B91" s="5" t="s">
        <v>1857</v>
      </c>
      <c r="C91" s="5" t="s">
        <v>60</v>
      </c>
      <c r="D91" s="6">
        <v>5.0</v>
      </c>
      <c r="E91" s="6">
        <v>2.0</v>
      </c>
      <c r="F91" s="6">
        <v>1613.0</v>
      </c>
      <c r="G91" s="6">
        <v>737.0</v>
      </c>
      <c r="H91" s="494">
        <v>0.9132</v>
      </c>
      <c r="I91" s="494">
        <v>0.9182</v>
      </c>
      <c r="J91" s="494">
        <v>0.6945</v>
      </c>
      <c r="K91" s="5" t="s">
        <v>1986</v>
      </c>
      <c r="L91" s="5" t="s">
        <v>1986</v>
      </c>
      <c r="M91" s="5" t="s">
        <v>1986</v>
      </c>
      <c r="N91" s="6">
        <v>1617.4</v>
      </c>
      <c r="O91" s="5" t="s">
        <v>1986</v>
      </c>
      <c r="P91" s="494">
        <v>1280.926872895623</v>
      </c>
      <c r="Q91" s="494">
        <v>1930.4592105263157</v>
      </c>
      <c r="R91" s="494">
        <v>1932.9074074074074</v>
      </c>
    </row>
    <row r="92">
      <c r="A92" s="5" t="s">
        <v>43</v>
      </c>
      <c r="B92" s="5" t="s">
        <v>163</v>
      </c>
      <c r="C92" s="5" t="s">
        <v>56</v>
      </c>
      <c r="D92" s="6">
        <v>1.0</v>
      </c>
      <c r="E92" s="6">
        <v>56.0</v>
      </c>
      <c r="F92" s="6">
        <v>4872857.0</v>
      </c>
      <c r="G92" s="6">
        <v>830.0</v>
      </c>
      <c r="H92" s="494">
        <v>0.0095</v>
      </c>
      <c r="I92" s="494">
        <v>0.0339</v>
      </c>
      <c r="J92" s="494">
        <v>0.0</v>
      </c>
      <c r="K92" s="6">
        <v>26.0</v>
      </c>
      <c r="L92" s="6">
        <v>39.0</v>
      </c>
      <c r="M92" s="6">
        <v>49.0</v>
      </c>
      <c r="N92" s="6">
        <v>6777.0</v>
      </c>
      <c r="O92" s="6">
        <v>0.0</v>
      </c>
      <c r="P92" s="494">
        <v>101.29751443769787</v>
      </c>
      <c r="Q92" s="494">
        <v>798.3442750936281</v>
      </c>
      <c r="R92" s="494">
        <v>5716.7662688099335</v>
      </c>
    </row>
    <row r="93">
      <c r="A93" s="5" t="s">
        <v>43</v>
      </c>
      <c r="B93" s="5" t="s">
        <v>1857</v>
      </c>
      <c r="C93" s="5" t="s">
        <v>56</v>
      </c>
      <c r="D93" s="6">
        <v>1.0</v>
      </c>
      <c r="E93" s="6">
        <v>56.0</v>
      </c>
      <c r="F93" s="6">
        <v>3325681.0</v>
      </c>
      <c r="G93" s="6">
        <v>677.0</v>
      </c>
      <c r="H93" s="494">
        <v>0.0114</v>
      </c>
      <c r="I93" s="494">
        <v>0.0345</v>
      </c>
      <c r="J93" s="494">
        <v>0.0</v>
      </c>
      <c r="K93" s="6">
        <v>28.0</v>
      </c>
      <c r="L93" s="6">
        <v>41.0</v>
      </c>
      <c r="M93" s="6">
        <v>50.0</v>
      </c>
      <c r="N93" s="6">
        <v>5984.6</v>
      </c>
      <c r="O93" s="6">
        <v>0.0</v>
      </c>
      <c r="P93" s="494">
        <v>102.3547249704776</v>
      </c>
      <c r="Q93" s="494">
        <v>742.6399272010422</v>
      </c>
      <c r="R93" s="494">
        <v>5406.131324974789</v>
      </c>
    </row>
    <row r="94">
      <c r="A94" s="5" t="s">
        <v>43</v>
      </c>
      <c r="B94" s="5" t="s">
        <v>163</v>
      </c>
      <c r="C94" s="5" t="s">
        <v>57</v>
      </c>
      <c r="D94" s="6">
        <v>2.0</v>
      </c>
      <c r="E94" s="6">
        <v>56.0</v>
      </c>
      <c r="F94" s="6">
        <v>2860625.0</v>
      </c>
      <c r="G94" s="6">
        <v>892.0</v>
      </c>
      <c r="H94" s="494">
        <v>0.0175</v>
      </c>
      <c r="I94" s="494">
        <v>0.0346</v>
      </c>
      <c r="J94" s="494">
        <v>0.0</v>
      </c>
      <c r="K94" s="6">
        <v>15.0</v>
      </c>
      <c r="L94" s="6">
        <v>27.0</v>
      </c>
      <c r="M94" s="6">
        <v>40.0</v>
      </c>
      <c r="N94" s="6">
        <v>24217.5</v>
      </c>
      <c r="O94" s="6">
        <v>0.0</v>
      </c>
      <c r="P94" s="494">
        <v>1309.5821095111323</v>
      </c>
      <c r="Q94" s="494">
        <v>8371.882153661674</v>
      </c>
      <c r="R94" s="494">
        <v>26994.016222337174</v>
      </c>
    </row>
    <row r="95">
      <c r="A95" s="5" t="s">
        <v>43</v>
      </c>
      <c r="B95" s="5" t="s">
        <v>1857</v>
      </c>
      <c r="C95" s="5" t="s">
        <v>57</v>
      </c>
      <c r="D95" s="6">
        <v>2.0</v>
      </c>
      <c r="E95" s="6">
        <v>56.0</v>
      </c>
      <c r="F95" s="6">
        <v>1599813.0</v>
      </c>
      <c r="G95" s="6">
        <v>566.0</v>
      </c>
      <c r="H95" s="494">
        <v>0.0198</v>
      </c>
      <c r="I95" s="494">
        <v>0.0349</v>
      </c>
      <c r="J95" s="494">
        <v>0.0</v>
      </c>
      <c r="K95" s="6">
        <v>16.0</v>
      </c>
      <c r="L95" s="6">
        <v>27.0</v>
      </c>
      <c r="M95" s="6">
        <v>40.0</v>
      </c>
      <c r="N95" s="6">
        <v>21482.6</v>
      </c>
      <c r="O95" s="6">
        <v>0.0</v>
      </c>
      <c r="P95" s="494">
        <v>1351.4756470260852</v>
      </c>
      <c r="Q95" s="494">
        <v>7722.859067092256</v>
      </c>
      <c r="R95" s="494">
        <v>23327.41576463818</v>
      </c>
    </row>
    <row r="96">
      <c r="A96" s="5" t="s">
        <v>43</v>
      </c>
      <c r="B96" s="5" t="s">
        <v>163</v>
      </c>
      <c r="C96" s="5" t="s">
        <v>58</v>
      </c>
      <c r="D96" s="6">
        <v>3.0</v>
      </c>
      <c r="E96" s="6">
        <v>56.0</v>
      </c>
      <c r="F96" s="6">
        <v>1742317.0</v>
      </c>
      <c r="G96" s="6">
        <v>688.0</v>
      </c>
      <c r="H96" s="494">
        <v>0.0221</v>
      </c>
      <c r="I96" s="494">
        <v>0.0357</v>
      </c>
      <c r="J96" s="494">
        <v>0.0</v>
      </c>
      <c r="K96" s="6">
        <v>7.0</v>
      </c>
      <c r="L96" s="6">
        <v>15.0</v>
      </c>
      <c r="M96" s="6">
        <v>28.0</v>
      </c>
      <c r="N96" s="6">
        <v>60806.9</v>
      </c>
      <c r="O96" s="6">
        <v>0.0</v>
      </c>
      <c r="P96" s="494">
        <v>7292.6666497333445</v>
      </c>
      <c r="Q96" s="494">
        <v>25882.7880021952</v>
      </c>
      <c r="R96" s="494">
        <v>73542.28772048009</v>
      </c>
    </row>
    <row r="97">
      <c r="A97" s="5" t="s">
        <v>43</v>
      </c>
      <c r="B97" s="5" t="s">
        <v>1857</v>
      </c>
      <c r="C97" s="5" t="s">
        <v>58</v>
      </c>
      <c r="D97" s="6">
        <v>3.0</v>
      </c>
      <c r="E97" s="6">
        <v>56.0</v>
      </c>
      <c r="F97" s="6">
        <v>935367.0</v>
      </c>
      <c r="G97" s="6">
        <v>403.0</v>
      </c>
      <c r="H97" s="494">
        <v>0.0241</v>
      </c>
      <c r="I97" s="494">
        <v>0.035</v>
      </c>
      <c r="J97" s="494">
        <v>0.0</v>
      </c>
      <c r="K97" s="6">
        <v>8.0</v>
      </c>
      <c r="L97" s="6">
        <v>16.0</v>
      </c>
      <c r="M97" s="6">
        <v>30.0</v>
      </c>
      <c r="N97" s="6">
        <v>52343.8</v>
      </c>
      <c r="O97" s="6">
        <v>0.0</v>
      </c>
      <c r="P97" s="494">
        <v>7341.956984340517</v>
      </c>
      <c r="Q97" s="494">
        <v>23651.82520624919</v>
      </c>
      <c r="R97" s="494">
        <v>60090.080637933774</v>
      </c>
    </row>
    <row r="98">
      <c r="A98" s="5" t="s">
        <v>43</v>
      </c>
      <c r="B98" s="5" t="s">
        <v>163</v>
      </c>
      <c r="C98" s="5" t="s">
        <v>59</v>
      </c>
      <c r="D98" s="6">
        <v>4.0</v>
      </c>
      <c r="E98" s="6">
        <v>56.0</v>
      </c>
      <c r="F98" s="6">
        <v>811752.0</v>
      </c>
      <c r="G98" s="6">
        <v>431.0</v>
      </c>
      <c r="H98" s="494">
        <v>0.0297</v>
      </c>
      <c r="I98" s="494">
        <v>0.0408</v>
      </c>
      <c r="J98" s="494">
        <v>0.0</v>
      </c>
      <c r="K98" s="6">
        <v>3.0</v>
      </c>
      <c r="L98" s="6">
        <v>6.0</v>
      </c>
      <c r="M98" s="6">
        <v>14.0</v>
      </c>
      <c r="N98" s="6">
        <v>130514.2</v>
      </c>
      <c r="O98" s="6">
        <v>0.0</v>
      </c>
      <c r="P98" s="494">
        <v>19423.59941904843</v>
      </c>
      <c r="Q98" s="494">
        <v>67164.78271293435</v>
      </c>
      <c r="R98" s="494">
        <v>184286.21897960678</v>
      </c>
    </row>
    <row r="99">
      <c r="A99" s="5" t="s">
        <v>43</v>
      </c>
      <c r="B99" s="5" t="s">
        <v>1857</v>
      </c>
      <c r="C99" s="5" t="s">
        <v>59</v>
      </c>
      <c r="D99" s="6">
        <v>4.0</v>
      </c>
      <c r="E99" s="6">
        <v>56.0</v>
      </c>
      <c r="F99" s="6">
        <v>420854.0</v>
      </c>
      <c r="G99" s="6">
        <v>224.0</v>
      </c>
      <c r="H99" s="494">
        <v>0.0298</v>
      </c>
      <c r="I99" s="494">
        <v>0.0371</v>
      </c>
      <c r="J99" s="494">
        <v>0.0</v>
      </c>
      <c r="K99" s="6">
        <v>3.0</v>
      </c>
      <c r="L99" s="6">
        <v>7.0</v>
      </c>
      <c r="M99" s="6">
        <v>15.0</v>
      </c>
      <c r="N99" s="6">
        <v>123056.4</v>
      </c>
      <c r="O99" s="6">
        <v>0.0</v>
      </c>
      <c r="P99" s="494">
        <v>23983.85235063636</v>
      </c>
      <c r="Q99" s="494">
        <v>66729.29473691259</v>
      </c>
      <c r="R99" s="494">
        <v>166265.17761670423</v>
      </c>
    </row>
    <row r="100">
      <c r="A100" s="5" t="s">
        <v>43</v>
      </c>
      <c r="B100" s="5" t="s">
        <v>163</v>
      </c>
      <c r="C100" s="5" t="s">
        <v>60</v>
      </c>
      <c r="D100" s="6">
        <v>5.0</v>
      </c>
      <c r="E100" s="6">
        <v>56.0</v>
      </c>
      <c r="F100" s="6">
        <v>112029.0</v>
      </c>
      <c r="G100" s="6">
        <v>64.0</v>
      </c>
      <c r="H100" s="494">
        <v>0.0322</v>
      </c>
      <c r="I100" s="494">
        <v>0.0391</v>
      </c>
      <c r="J100" s="494">
        <v>0.0</v>
      </c>
      <c r="K100" s="6">
        <v>1.0</v>
      </c>
      <c r="L100" s="6">
        <v>2.0</v>
      </c>
      <c r="M100" s="6">
        <v>6.0</v>
      </c>
      <c r="N100" s="6">
        <v>248993.8</v>
      </c>
      <c r="O100" s="6">
        <v>0.0</v>
      </c>
      <c r="P100" s="494">
        <v>44404.645110354126</v>
      </c>
      <c r="Q100" s="494">
        <v>147880.94803782148</v>
      </c>
      <c r="R100" s="494">
        <v>366415.17236467253</v>
      </c>
    </row>
    <row r="101">
      <c r="A101" s="5" t="s">
        <v>43</v>
      </c>
      <c r="B101" s="5" t="s">
        <v>1857</v>
      </c>
      <c r="C101" s="5" t="s">
        <v>60</v>
      </c>
      <c r="D101" s="6">
        <v>5.0</v>
      </c>
      <c r="E101" s="6">
        <v>56.0</v>
      </c>
      <c r="F101" s="6">
        <v>56046.0</v>
      </c>
      <c r="G101" s="6">
        <v>33.0</v>
      </c>
      <c r="H101" s="494">
        <v>0.0327</v>
      </c>
      <c r="I101" s="494">
        <v>0.0368</v>
      </c>
      <c r="J101" s="494">
        <v>0.0</v>
      </c>
      <c r="K101" s="6">
        <v>1.0</v>
      </c>
      <c r="L101" s="6">
        <v>2.0</v>
      </c>
      <c r="M101" s="6">
        <v>6.0</v>
      </c>
      <c r="N101" s="6">
        <v>251895.8</v>
      </c>
      <c r="O101" s="6">
        <v>0.0</v>
      </c>
      <c r="P101" s="494">
        <v>69254.75729847493</v>
      </c>
      <c r="Q101" s="494">
        <v>163596.84839650145</v>
      </c>
      <c r="R101" s="494">
        <v>373470.35163192084</v>
      </c>
    </row>
    <row r="102">
      <c r="A102" s="5" t="s">
        <v>50</v>
      </c>
      <c r="B102" s="5" t="s">
        <v>163</v>
      </c>
      <c r="C102" s="5" t="s">
        <v>56</v>
      </c>
      <c r="D102" s="6">
        <v>1.0</v>
      </c>
      <c r="E102" s="6">
        <v>5.0</v>
      </c>
      <c r="F102" s="6">
        <v>266642.0</v>
      </c>
      <c r="G102" s="6">
        <v>32869.0</v>
      </c>
      <c r="H102" s="494">
        <v>0.6164</v>
      </c>
      <c r="I102" s="494">
        <v>0.782</v>
      </c>
      <c r="J102" s="494">
        <v>0.0</v>
      </c>
      <c r="K102" s="6">
        <v>6.0</v>
      </c>
      <c r="L102" s="6">
        <v>10.0</v>
      </c>
      <c r="M102" s="6">
        <v>14.0</v>
      </c>
      <c r="N102" s="6">
        <v>6.7</v>
      </c>
      <c r="O102" s="6">
        <v>0.0</v>
      </c>
      <c r="P102" s="494">
        <v>2.0804477863522384</v>
      </c>
      <c r="Q102" s="494">
        <v>4.562852132068251</v>
      </c>
      <c r="R102" s="494">
        <v>8.293352161403998</v>
      </c>
    </row>
    <row r="103">
      <c r="A103" s="5" t="s">
        <v>50</v>
      </c>
      <c r="B103" s="5" t="s">
        <v>1857</v>
      </c>
      <c r="C103" s="5" t="s">
        <v>56</v>
      </c>
      <c r="D103" s="6">
        <v>1.0</v>
      </c>
      <c r="E103" s="6">
        <v>5.0</v>
      </c>
      <c r="F103" s="6">
        <v>201784.0</v>
      </c>
      <c r="G103" s="6">
        <v>26936.0</v>
      </c>
      <c r="H103" s="494">
        <v>0.6674</v>
      </c>
      <c r="I103" s="494">
        <v>0.8192</v>
      </c>
      <c r="J103" s="494">
        <v>0.0</v>
      </c>
      <c r="K103" s="6">
        <v>7.0</v>
      </c>
      <c r="L103" s="6">
        <v>11.0</v>
      </c>
      <c r="M103" s="6">
        <v>15.0</v>
      </c>
      <c r="N103" s="6">
        <v>6.3</v>
      </c>
      <c r="O103" s="6">
        <v>0.0</v>
      </c>
      <c r="P103" s="494">
        <v>2.0</v>
      </c>
      <c r="Q103" s="494">
        <v>4.150465469412865</v>
      </c>
      <c r="R103" s="494">
        <v>7.733167563166686</v>
      </c>
    </row>
    <row r="104">
      <c r="A104" s="5" t="s">
        <v>50</v>
      </c>
      <c r="B104" s="5" t="s">
        <v>163</v>
      </c>
      <c r="C104" s="5" t="s">
        <v>57</v>
      </c>
      <c r="D104" s="6">
        <v>2.0</v>
      </c>
      <c r="E104" s="6">
        <v>5.0</v>
      </c>
      <c r="F104" s="6">
        <v>178120.0</v>
      </c>
      <c r="G104" s="6">
        <v>27612.0</v>
      </c>
      <c r="H104" s="494">
        <v>0.7751</v>
      </c>
      <c r="I104" s="494">
        <v>0.8337</v>
      </c>
      <c r="J104" s="494">
        <v>0.0</v>
      </c>
      <c r="K104" s="6">
        <v>3.0</v>
      </c>
      <c r="L104" s="6">
        <v>6.0</v>
      </c>
      <c r="M104" s="6">
        <v>10.0</v>
      </c>
      <c r="N104" s="6">
        <v>15.9</v>
      </c>
      <c r="O104" s="6">
        <v>0.0</v>
      </c>
      <c r="P104" s="494">
        <v>6.516118946474208</v>
      </c>
      <c r="Q104" s="494">
        <v>12.151277950703157</v>
      </c>
      <c r="R104" s="494">
        <v>19.9921495449197</v>
      </c>
    </row>
    <row r="105">
      <c r="A105" s="5" t="s">
        <v>50</v>
      </c>
      <c r="B105" s="5" t="s">
        <v>1857</v>
      </c>
      <c r="C105" s="5" t="s">
        <v>57</v>
      </c>
      <c r="D105" s="6">
        <v>2.0</v>
      </c>
      <c r="E105" s="6">
        <v>5.0</v>
      </c>
      <c r="F105" s="6">
        <v>101205.0</v>
      </c>
      <c r="G105" s="6">
        <v>15785.0</v>
      </c>
      <c r="H105" s="494">
        <v>0.7798</v>
      </c>
      <c r="I105" s="494">
        <v>0.8444</v>
      </c>
      <c r="J105" s="494">
        <v>0.0</v>
      </c>
      <c r="K105" s="6">
        <v>3.0</v>
      </c>
      <c r="L105" s="6">
        <v>7.0</v>
      </c>
      <c r="M105" s="6">
        <v>11.0</v>
      </c>
      <c r="N105" s="6">
        <v>15.2</v>
      </c>
      <c r="O105" s="6">
        <v>0.0</v>
      </c>
      <c r="P105" s="494">
        <v>5.660314149180674</v>
      </c>
      <c r="Q105" s="494">
        <v>11.542774508027978</v>
      </c>
      <c r="R105" s="494">
        <v>19.21645867086684</v>
      </c>
    </row>
    <row r="106">
      <c r="A106" s="5" t="s">
        <v>50</v>
      </c>
      <c r="B106" s="5" t="s">
        <v>163</v>
      </c>
      <c r="C106" s="5" t="s">
        <v>58</v>
      </c>
      <c r="D106" s="6">
        <v>3.0</v>
      </c>
      <c r="E106" s="6">
        <v>5.0</v>
      </c>
      <c r="F106" s="6">
        <v>108367.0</v>
      </c>
      <c r="G106" s="6">
        <v>17712.0</v>
      </c>
      <c r="H106" s="494">
        <v>0.8172</v>
      </c>
      <c r="I106" s="494">
        <v>0.8499</v>
      </c>
      <c r="J106" s="494">
        <v>0.0</v>
      </c>
      <c r="K106" s="6">
        <v>2.0</v>
      </c>
      <c r="L106" s="6">
        <v>4.0</v>
      </c>
      <c r="M106" s="6">
        <v>7.0</v>
      </c>
      <c r="N106" s="6">
        <v>29.1</v>
      </c>
      <c r="O106" s="6">
        <v>0.0</v>
      </c>
      <c r="P106" s="494">
        <v>12.934687622306187</v>
      </c>
      <c r="Q106" s="494">
        <v>23.930262387386577</v>
      </c>
      <c r="R106" s="494">
        <v>38.23376159404132</v>
      </c>
    </row>
    <row r="107">
      <c r="A107" s="5" t="s">
        <v>50</v>
      </c>
      <c r="B107" s="5" t="s">
        <v>1857</v>
      </c>
      <c r="C107" s="5" t="s">
        <v>58</v>
      </c>
      <c r="D107" s="6">
        <v>3.0</v>
      </c>
      <c r="E107" s="6">
        <v>5.0</v>
      </c>
      <c r="F107" s="6">
        <v>56802.0</v>
      </c>
      <c r="G107" s="6">
        <v>9138.0</v>
      </c>
      <c r="H107" s="494">
        <v>0.8044</v>
      </c>
      <c r="I107" s="494">
        <v>0.8438</v>
      </c>
      <c r="J107" s="494">
        <v>0.0</v>
      </c>
      <c r="K107" s="6">
        <v>2.0</v>
      </c>
      <c r="L107" s="6">
        <v>4.0</v>
      </c>
      <c r="M107" s="6">
        <v>7.0</v>
      </c>
      <c r="N107" s="6">
        <v>28.0</v>
      </c>
      <c r="O107" s="6">
        <v>0.0</v>
      </c>
      <c r="P107" s="494">
        <v>11.244211582588884</v>
      </c>
      <c r="Q107" s="494">
        <v>23.72049797180079</v>
      </c>
      <c r="R107" s="494">
        <v>36.771493154080986</v>
      </c>
    </row>
    <row r="108">
      <c r="A108" s="5" t="s">
        <v>50</v>
      </c>
      <c r="B108" s="5" t="s">
        <v>163</v>
      </c>
      <c r="C108" s="5" t="s">
        <v>59</v>
      </c>
      <c r="D108" s="6">
        <v>4.0</v>
      </c>
      <c r="E108" s="6">
        <v>5.0</v>
      </c>
      <c r="F108" s="6">
        <v>51097.0</v>
      </c>
      <c r="G108" s="6">
        <v>8917.0</v>
      </c>
      <c r="H108" s="494">
        <v>0.8725</v>
      </c>
      <c r="I108" s="494">
        <v>0.89</v>
      </c>
      <c r="J108" s="494">
        <v>0.0</v>
      </c>
      <c r="K108" s="6">
        <v>1.0</v>
      </c>
      <c r="L108" s="6">
        <v>2.0</v>
      </c>
      <c r="M108" s="6">
        <v>4.0</v>
      </c>
      <c r="N108" s="6">
        <v>53.9</v>
      </c>
      <c r="O108" s="6">
        <v>0.0</v>
      </c>
      <c r="P108" s="494">
        <v>24.809322748703103</v>
      </c>
      <c r="Q108" s="494">
        <v>46.67063075002676</v>
      </c>
      <c r="R108" s="494">
        <v>73.08922311860486</v>
      </c>
    </row>
    <row r="109">
      <c r="A109" s="5" t="s">
        <v>50</v>
      </c>
      <c r="B109" s="5" t="s">
        <v>1857</v>
      </c>
      <c r="C109" s="5" t="s">
        <v>59</v>
      </c>
      <c r="D109" s="6">
        <v>4.0</v>
      </c>
      <c r="E109" s="6">
        <v>5.0</v>
      </c>
      <c r="F109" s="6">
        <v>25403.0</v>
      </c>
      <c r="G109" s="6">
        <v>4276.0</v>
      </c>
      <c r="H109" s="494">
        <v>0.8417</v>
      </c>
      <c r="I109" s="494">
        <v>0.8643</v>
      </c>
      <c r="J109" s="494">
        <v>0.0</v>
      </c>
      <c r="K109" s="6">
        <v>1.0</v>
      </c>
      <c r="L109" s="6">
        <v>2.0</v>
      </c>
      <c r="M109" s="6">
        <v>4.0</v>
      </c>
      <c r="N109" s="6">
        <v>53.1</v>
      </c>
      <c r="O109" s="6">
        <v>0.0</v>
      </c>
      <c r="P109" s="494">
        <v>22.369026801794206</v>
      </c>
      <c r="Q109" s="494">
        <v>45.37373911490307</v>
      </c>
      <c r="R109" s="494">
        <v>71.92564067366169</v>
      </c>
    </row>
    <row r="110">
      <c r="A110" s="5" t="s">
        <v>50</v>
      </c>
      <c r="B110" s="5" t="s">
        <v>163</v>
      </c>
      <c r="C110" s="5" t="s">
        <v>60</v>
      </c>
      <c r="D110" s="6">
        <v>5.0</v>
      </c>
      <c r="E110" s="6">
        <v>5.0</v>
      </c>
      <c r="F110" s="6">
        <v>6719.0</v>
      </c>
      <c r="G110" s="6">
        <v>1200.0</v>
      </c>
      <c r="H110" s="494">
        <v>0.8927</v>
      </c>
      <c r="I110" s="494">
        <v>0.9045</v>
      </c>
      <c r="J110" s="494">
        <v>0.0</v>
      </c>
      <c r="K110" s="6">
        <v>1.0</v>
      </c>
      <c r="L110" s="6">
        <v>1.0</v>
      </c>
      <c r="M110" s="6">
        <v>2.0</v>
      </c>
      <c r="N110" s="6">
        <v>112.9</v>
      </c>
      <c r="O110" s="6">
        <v>0.0</v>
      </c>
      <c r="P110" s="494">
        <v>60.64770586144144</v>
      </c>
      <c r="Q110" s="494">
        <v>106.97141029790922</v>
      </c>
      <c r="R110" s="494">
        <v>154.70424489657415</v>
      </c>
    </row>
    <row r="111">
      <c r="A111" s="5" t="s">
        <v>50</v>
      </c>
      <c r="B111" s="5" t="s">
        <v>1857</v>
      </c>
      <c r="C111" s="5" t="s">
        <v>60</v>
      </c>
      <c r="D111" s="6">
        <v>5.0</v>
      </c>
      <c r="E111" s="6">
        <v>5.0</v>
      </c>
      <c r="F111" s="6">
        <v>3300.0</v>
      </c>
      <c r="G111" s="6">
        <v>571.0</v>
      </c>
      <c r="H111" s="494">
        <v>0.8658</v>
      </c>
      <c r="I111" s="494">
        <v>0.8773</v>
      </c>
      <c r="J111" s="494">
        <v>0.0</v>
      </c>
      <c r="K111" s="6">
        <v>1.0</v>
      </c>
      <c r="L111" s="6">
        <v>1.0</v>
      </c>
      <c r="M111" s="6">
        <v>2.0</v>
      </c>
      <c r="N111" s="6">
        <v>116.8</v>
      </c>
      <c r="O111" s="6">
        <v>0.0</v>
      </c>
      <c r="P111" s="494">
        <v>57.967240128157776</v>
      </c>
      <c r="Q111" s="494">
        <v>109.77013687015506</v>
      </c>
      <c r="R111" s="494">
        <v>160.53214186480372</v>
      </c>
    </row>
    <row r="112">
      <c r="A112" s="5" t="s">
        <v>157</v>
      </c>
      <c r="B112" s="5" t="s">
        <v>163</v>
      </c>
      <c r="C112" s="5" t="s">
        <v>56</v>
      </c>
      <c r="D112" s="6">
        <v>1.0</v>
      </c>
      <c r="E112" s="6">
        <v>1.0</v>
      </c>
      <c r="F112" s="6">
        <v>64239.0</v>
      </c>
      <c r="G112" s="6">
        <v>1.0</v>
      </c>
      <c r="H112" s="494">
        <v>0.0</v>
      </c>
      <c r="I112" s="494">
        <v>0.0</v>
      </c>
      <c r="J112" s="494">
        <v>1.0</v>
      </c>
      <c r="K112" s="5" t="s">
        <v>1986</v>
      </c>
      <c r="L112" s="5" t="s">
        <v>1986</v>
      </c>
      <c r="M112" s="5" t="s">
        <v>1986</v>
      </c>
      <c r="N112" s="6">
        <v>1442.0</v>
      </c>
      <c r="O112" s="5" t="s">
        <v>1986</v>
      </c>
      <c r="P112" s="494">
        <v>1442.0</v>
      </c>
      <c r="Q112" s="494">
        <v>1442.0</v>
      </c>
      <c r="R112" s="494">
        <v>1442.0</v>
      </c>
    </row>
    <row r="113">
      <c r="A113" s="5" t="s">
        <v>157</v>
      </c>
      <c r="B113" s="5" t="s">
        <v>1857</v>
      </c>
      <c r="C113" s="5" t="s">
        <v>56</v>
      </c>
      <c r="D113" s="6">
        <v>1.0</v>
      </c>
      <c r="E113" s="6">
        <v>1.0</v>
      </c>
      <c r="F113" s="6">
        <v>47205.0</v>
      </c>
      <c r="G113" s="6">
        <v>0.0</v>
      </c>
      <c r="H113" s="494">
        <v>0.0</v>
      </c>
      <c r="I113" s="494">
        <v>0.0</v>
      </c>
      <c r="J113" s="5" t="s">
        <v>1986</v>
      </c>
      <c r="K113" s="5" t="s">
        <v>1986</v>
      </c>
      <c r="L113" s="5" t="s">
        <v>1986</v>
      </c>
      <c r="M113" s="5" t="s">
        <v>1986</v>
      </c>
      <c r="N113" s="5" t="s">
        <v>1986</v>
      </c>
      <c r="O113" s="5" t="s">
        <v>1986</v>
      </c>
      <c r="P113" s="5" t="s">
        <v>1986</v>
      </c>
      <c r="Q113" s="5" t="s">
        <v>1986</v>
      </c>
      <c r="R113" s="5" t="s">
        <v>1986</v>
      </c>
    </row>
    <row r="114">
      <c r="A114" s="5" t="s">
        <v>157</v>
      </c>
      <c r="B114" s="5" t="s">
        <v>163</v>
      </c>
      <c r="C114" s="5" t="s">
        <v>57</v>
      </c>
      <c r="D114" s="6">
        <v>2.0</v>
      </c>
      <c r="E114" s="6">
        <v>1.0</v>
      </c>
      <c r="F114" s="6">
        <v>38035.0</v>
      </c>
      <c r="G114" s="6">
        <v>0.0</v>
      </c>
      <c r="H114" s="494">
        <v>0.0</v>
      </c>
      <c r="I114" s="494">
        <v>0.0</v>
      </c>
      <c r="J114" s="5" t="s">
        <v>1986</v>
      </c>
      <c r="K114" s="5" t="s">
        <v>1986</v>
      </c>
      <c r="L114" s="5" t="s">
        <v>1986</v>
      </c>
      <c r="M114" s="5" t="s">
        <v>1986</v>
      </c>
      <c r="N114" s="5" t="s">
        <v>1986</v>
      </c>
      <c r="O114" s="5" t="s">
        <v>1986</v>
      </c>
      <c r="P114" s="5" t="s">
        <v>1986</v>
      </c>
      <c r="Q114" s="5" t="s">
        <v>1986</v>
      </c>
      <c r="R114" s="5" t="s">
        <v>1986</v>
      </c>
    </row>
    <row r="115">
      <c r="A115" s="5" t="s">
        <v>157</v>
      </c>
      <c r="B115" s="5" t="s">
        <v>1857</v>
      </c>
      <c r="C115" s="5" t="s">
        <v>57</v>
      </c>
      <c r="D115" s="6">
        <v>2.0</v>
      </c>
      <c r="E115" s="6">
        <v>1.0</v>
      </c>
      <c r="F115" s="6">
        <v>21781.0</v>
      </c>
      <c r="G115" s="6">
        <v>1.0</v>
      </c>
      <c r="H115" s="494">
        <v>0.0</v>
      </c>
      <c r="I115" s="494">
        <v>0.0</v>
      </c>
      <c r="J115" s="494">
        <v>1.0</v>
      </c>
      <c r="K115" s="5" t="s">
        <v>1986</v>
      </c>
      <c r="L115" s="5" t="s">
        <v>1986</v>
      </c>
      <c r="M115" s="5" t="s">
        <v>1986</v>
      </c>
      <c r="N115" s="6">
        <v>2385.0</v>
      </c>
      <c r="O115" s="5" t="s">
        <v>1986</v>
      </c>
      <c r="P115" s="494">
        <v>2385.0</v>
      </c>
      <c r="Q115" s="494">
        <v>2385.0</v>
      </c>
      <c r="R115" s="494">
        <v>2385.0</v>
      </c>
    </row>
    <row r="116">
      <c r="A116" s="5" t="s">
        <v>157</v>
      </c>
      <c r="B116" s="5" t="s">
        <v>163</v>
      </c>
      <c r="C116" s="5" t="s">
        <v>58</v>
      </c>
      <c r="D116" s="6">
        <v>3.0</v>
      </c>
      <c r="E116" s="6">
        <v>1.0</v>
      </c>
      <c r="F116" s="6">
        <v>21075.0</v>
      </c>
      <c r="G116" s="6">
        <v>0.0</v>
      </c>
      <c r="H116" s="494">
        <v>0.0</v>
      </c>
      <c r="I116" s="494">
        <v>0.0</v>
      </c>
      <c r="J116" s="5" t="s">
        <v>1986</v>
      </c>
      <c r="K116" s="5" t="s">
        <v>1986</v>
      </c>
      <c r="L116" s="5" t="s">
        <v>1986</v>
      </c>
      <c r="M116" s="5" t="s">
        <v>1986</v>
      </c>
      <c r="N116" s="5" t="s">
        <v>1986</v>
      </c>
      <c r="O116" s="5" t="s">
        <v>1986</v>
      </c>
      <c r="P116" s="5" t="s">
        <v>1986</v>
      </c>
      <c r="Q116" s="5" t="s">
        <v>1986</v>
      </c>
      <c r="R116" s="5" t="s">
        <v>1986</v>
      </c>
    </row>
    <row r="117">
      <c r="A117" s="5" t="s">
        <v>157</v>
      </c>
      <c r="B117" s="5" t="s">
        <v>1857</v>
      </c>
      <c r="C117" s="5" t="s">
        <v>58</v>
      </c>
      <c r="D117" s="6">
        <v>3.0</v>
      </c>
      <c r="E117" s="6">
        <v>1.0</v>
      </c>
      <c r="F117" s="6">
        <v>11545.0</v>
      </c>
      <c r="G117" s="6">
        <v>0.0</v>
      </c>
      <c r="H117" s="494">
        <v>0.0</v>
      </c>
      <c r="I117" s="494">
        <v>0.0</v>
      </c>
      <c r="J117" s="5" t="s">
        <v>1986</v>
      </c>
      <c r="K117" s="5" t="s">
        <v>1986</v>
      </c>
      <c r="L117" s="5" t="s">
        <v>1986</v>
      </c>
      <c r="M117" s="5" t="s">
        <v>1986</v>
      </c>
      <c r="N117" s="5" t="s">
        <v>1986</v>
      </c>
      <c r="O117" s="5" t="s">
        <v>1986</v>
      </c>
      <c r="P117" s="5" t="s">
        <v>1986</v>
      </c>
      <c r="Q117" s="5" t="s">
        <v>1986</v>
      </c>
      <c r="R117" s="5" t="s">
        <v>1986</v>
      </c>
    </row>
    <row r="118">
      <c r="A118" s="5" t="s">
        <v>157</v>
      </c>
      <c r="B118" s="5" t="s">
        <v>163</v>
      </c>
      <c r="C118" s="5" t="s">
        <v>59</v>
      </c>
      <c r="D118" s="6">
        <v>4.0</v>
      </c>
      <c r="E118" s="6">
        <v>1.0</v>
      </c>
      <c r="F118" s="6">
        <v>9203.0</v>
      </c>
      <c r="G118" s="6">
        <v>0.0</v>
      </c>
      <c r="H118" s="494">
        <v>0.0</v>
      </c>
      <c r="I118" s="494">
        <v>0.0</v>
      </c>
      <c r="J118" s="5" t="s">
        <v>1986</v>
      </c>
      <c r="K118" s="5" t="s">
        <v>1986</v>
      </c>
      <c r="L118" s="5" t="s">
        <v>1986</v>
      </c>
      <c r="M118" s="5" t="s">
        <v>1986</v>
      </c>
      <c r="N118" s="5" t="s">
        <v>1986</v>
      </c>
      <c r="O118" s="5" t="s">
        <v>1986</v>
      </c>
      <c r="P118" s="5" t="s">
        <v>1986</v>
      </c>
      <c r="Q118" s="5" t="s">
        <v>1986</v>
      </c>
      <c r="R118" s="5" t="s">
        <v>1986</v>
      </c>
    </row>
    <row r="119">
      <c r="A119" s="5" t="s">
        <v>157</v>
      </c>
      <c r="B119" s="5" t="s">
        <v>1857</v>
      </c>
      <c r="C119" s="5" t="s">
        <v>59</v>
      </c>
      <c r="D119" s="6">
        <v>4.0</v>
      </c>
      <c r="E119" s="6">
        <v>1.0</v>
      </c>
      <c r="F119" s="6">
        <v>4946.0</v>
      </c>
      <c r="G119" s="6">
        <v>0.0</v>
      </c>
      <c r="H119" s="494">
        <v>0.0</v>
      </c>
      <c r="I119" s="494">
        <v>0.0</v>
      </c>
      <c r="J119" s="5" t="s">
        <v>1986</v>
      </c>
      <c r="K119" s="5" t="s">
        <v>1986</v>
      </c>
      <c r="L119" s="5" t="s">
        <v>1986</v>
      </c>
      <c r="M119" s="5" t="s">
        <v>1986</v>
      </c>
      <c r="N119" s="5" t="s">
        <v>1986</v>
      </c>
      <c r="O119" s="5" t="s">
        <v>1986</v>
      </c>
      <c r="P119" s="5" t="s">
        <v>1986</v>
      </c>
      <c r="Q119" s="5" t="s">
        <v>1986</v>
      </c>
      <c r="R119" s="5" t="s">
        <v>1986</v>
      </c>
    </row>
    <row r="120">
      <c r="A120" s="5" t="s">
        <v>157</v>
      </c>
      <c r="B120" s="5" t="s">
        <v>163</v>
      </c>
      <c r="C120" s="5" t="s">
        <v>60</v>
      </c>
      <c r="D120" s="6">
        <v>5.0</v>
      </c>
      <c r="E120" s="6">
        <v>1.0</v>
      </c>
      <c r="F120" s="6">
        <v>1253.0</v>
      </c>
      <c r="G120" s="6">
        <v>0.0</v>
      </c>
      <c r="H120" s="494">
        <v>0.0</v>
      </c>
      <c r="I120" s="494">
        <v>0.0</v>
      </c>
      <c r="J120" s="5" t="s">
        <v>1986</v>
      </c>
      <c r="K120" s="5" t="s">
        <v>1986</v>
      </c>
      <c r="L120" s="5" t="s">
        <v>1986</v>
      </c>
      <c r="M120" s="5" t="s">
        <v>1986</v>
      </c>
      <c r="N120" s="5" t="s">
        <v>1986</v>
      </c>
      <c r="O120" s="5" t="s">
        <v>1986</v>
      </c>
      <c r="P120" s="5" t="s">
        <v>1986</v>
      </c>
      <c r="Q120" s="5" t="s">
        <v>1986</v>
      </c>
      <c r="R120" s="5" t="s">
        <v>1986</v>
      </c>
    </row>
    <row r="121">
      <c r="A121" s="5" t="s">
        <v>157</v>
      </c>
      <c r="B121" s="5" t="s">
        <v>1857</v>
      </c>
      <c r="C121" s="5" t="s">
        <v>60</v>
      </c>
      <c r="D121" s="6">
        <v>5.0</v>
      </c>
      <c r="E121" s="6">
        <v>1.0</v>
      </c>
      <c r="F121" s="6">
        <v>669.0</v>
      </c>
      <c r="G121" s="6">
        <v>0.0</v>
      </c>
      <c r="H121" s="494">
        <v>0.0</v>
      </c>
      <c r="I121" s="494">
        <v>0.0</v>
      </c>
      <c r="J121" s="5" t="s">
        <v>1986</v>
      </c>
      <c r="K121" s="5" t="s">
        <v>1986</v>
      </c>
      <c r="L121" s="5" t="s">
        <v>1986</v>
      </c>
      <c r="M121" s="5" t="s">
        <v>1986</v>
      </c>
      <c r="N121" s="5" t="s">
        <v>1986</v>
      </c>
      <c r="O121" s="5" t="s">
        <v>1986</v>
      </c>
      <c r="P121" s="5" t="s">
        <v>1986</v>
      </c>
      <c r="Q121" s="5" t="s">
        <v>1986</v>
      </c>
      <c r="R121" s="5" t="s">
        <v>1986</v>
      </c>
    </row>
    <row r="122">
      <c r="A122" s="5" t="s">
        <v>35</v>
      </c>
      <c r="B122" s="5" t="s">
        <v>163</v>
      </c>
      <c r="C122" s="5" t="s">
        <v>56</v>
      </c>
      <c r="D122" s="6">
        <v>1.0</v>
      </c>
      <c r="E122" s="6">
        <v>1.0</v>
      </c>
      <c r="F122" s="6">
        <v>72715.0</v>
      </c>
      <c r="G122" s="6">
        <v>50806.0</v>
      </c>
      <c r="H122" s="494">
        <v>0.6987</v>
      </c>
      <c r="I122" s="494">
        <v>0.936</v>
      </c>
      <c r="J122" s="494">
        <v>0.1609</v>
      </c>
      <c r="K122" s="5" t="s">
        <v>1986</v>
      </c>
      <c r="L122" s="5" t="s">
        <v>1986</v>
      </c>
      <c r="M122" s="5" t="s">
        <v>1986</v>
      </c>
      <c r="N122" s="6">
        <v>176.1</v>
      </c>
      <c r="O122" s="5" t="s">
        <v>1986</v>
      </c>
      <c r="P122" s="494">
        <v>20.204076201297212</v>
      </c>
      <c r="Q122" s="494">
        <v>62.2127976375597</v>
      </c>
      <c r="R122" s="494">
        <v>201.09619128855093</v>
      </c>
    </row>
    <row r="123">
      <c r="A123" s="5" t="s">
        <v>35</v>
      </c>
      <c r="B123" s="5" t="s">
        <v>1857</v>
      </c>
      <c r="C123" s="5" t="s">
        <v>56</v>
      </c>
      <c r="D123" s="6">
        <v>1.0</v>
      </c>
      <c r="E123" s="6">
        <v>1.0</v>
      </c>
      <c r="F123" s="6">
        <v>51651.0</v>
      </c>
      <c r="G123" s="6">
        <v>38876.0</v>
      </c>
      <c r="H123" s="494">
        <v>0.7527</v>
      </c>
      <c r="I123" s="494">
        <v>0.9554</v>
      </c>
      <c r="J123" s="494">
        <v>0.1818</v>
      </c>
      <c r="K123" s="5" t="s">
        <v>1986</v>
      </c>
      <c r="L123" s="5" t="s">
        <v>1986</v>
      </c>
      <c r="M123" s="5" t="s">
        <v>1986</v>
      </c>
      <c r="N123" s="6">
        <v>123.2</v>
      </c>
      <c r="O123" s="5" t="s">
        <v>1986</v>
      </c>
      <c r="P123" s="494">
        <v>15.188615254752676</v>
      </c>
      <c r="Q123" s="494">
        <v>44.78302221407977</v>
      </c>
      <c r="R123" s="494">
        <v>124.7642568439487</v>
      </c>
    </row>
    <row r="124">
      <c r="A124" s="5" t="s">
        <v>35</v>
      </c>
      <c r="B124" s="5" t="s">
        <v>163</v>
      </c>
      <c r="C124" s="5" t="s">
        <v>57</v>
      </c>
      <c r="D124" s="6">
        <v>2.0</v>
      </c>
      <c r="E124" s="6">
        <v>1.0</v>
      </c>
      <c r="F124" s="6">
        <v>45305.0</v>
      </c>
      <c r="G124" s="6">
        <v>40590.0</v>
      </c>
      <c r="H124" s="494">
        <v>0.8959</v>
      </c>
      <c r="I124" s="494">
        <v>0.9533</v>
      </c>
      <c r="J124" s="494">
        <v>0.3816</v>
      </c>
      <c r="K124" s="5" t="s">
        <v>1986</v>
      </c>
      <c r="L124" s="5" t="s">
        <v>1986</v>
      </c>
      <c r="M124" s="5" t="s">
        <v>1986</v>
      </c>
      <c r="N124" s="6">
        <v>506.2</v>
      </c>
      <c r="O124" s="5" t="s">
        <v>1986</v>
      </c>
      <c r="P124" s="494">
        <v>59.59769669152714</v>
      </c>
      <c r="Q124" s="494">
        <v>196.61141401381713</v>
      </c>
      <c r="R124" s="494">
        <v>626.0780249823014</v>
      </c>
    </row>
    <row r="125">
      <c r="A125" s="5" t="s">
        <v>35</v>
      </c>
      <c r="B125" s="5" t="s">
        <v>1857</v>
      </c>
      <c r="C125" s="5" t="s">
        <v>57</v>
      </c>
      <c r="D125" s="6">
        <v>2.0</v>
      </c>
      <c r="E125" s="6">
        <v>1.0</v>
      </c>
      <c r="F125" s="6">
        <v>25020.0</v>
      </c>
      <c r="G125" s="6">
        <v>22745.0</v>
      </c>
      <c r="H125" s="494">
        <v>0.9091</v>
      </c>
      <c r="I125" s="494">
        <v>0.9565</v>
      </c>
      <c r="J125" s="494">
        <v>0.452</v>
      </c>
      <c r="K125" s="5" t="s">
        <v>1986</v>
      </c>
      <c r="L125" s="5" t="s">
        <v>1986</v>
      </c>
      <c r="M125" s="5" t="s">
        <v>1986</v>
      </c>
      <c r="N125" s="6">
        <v>341.3</v>
      </c>
      <c r="O125" s="5" t="s">
        <v>1986</v>
      </c>
      <c r="P125" s="494">
        <v>43.24561173586634</v>
      </c>
      <c r="Q125" s="494">
        <v>115.08676809654591</v>
      </c>
      <c r="R125" s="494">
        <v>384.4877730787188</v>
      </c>
    </row>
    <row r="126">
      <c r="A126" s="5" t="s">
        <v>35</v>
      </c>
      <c r="B126" s="5" t="s">
        <v>163</v>
      </c>
      <c r="C126" s="5" t="s">
        <v>58</v>
      </c>
      <c r="D126" s="6">
        <v>3.0</v>
      </c>
      <c r="E126" s="6">
        <v>1.0</v>
      </c>
      <c r="F126" s="6">
        <v>27035.0</v>
      </c>
      <c r="G126" s="6">
        <v>25038.0</v>
      </c>
      <c r="H126" s="494">
        <v>0.9261</v>
      </c>
      <c r="I126" s="494">
        <v>0.9572</v>
      </c>
      <c r="J126" s="494">
        <v>0.525</v>
      </c>
      <c r="K126" s="5" t="s">
        <v>1986</v>
      </c>
      <c r="L126" s="5" t="s">
        <v>1986</v>
      </c>
      <c r="M126" s="5" t="s">
        <v>1986</v>
      </c>
      <c r="N126" s="6">
        <v>1074.4</v>
      </c>
      <c r="O126" s="5" t="s">
        <v>1986</v>
      </c>
      <c r="P126" s="494">
        <v>112.99412980695104</v>
      </c>
      <c r="Q126" s="494">
        <v>387.57644118556715</v>
      </c>
      <c r="R126" s="494">
        <v>1246.5556203436045</v>
      </c>
    </row>
    <row r="127">
      <c r="A127" s="5" t="s">
        <v>35</v>
      </c>
      <c r="B127" s="5" t="s">
        <v>1857</v>
      </c>
      <c r="C127" s="5" t="s">
        <v>58</v>
      </c>
      <c r="D127" s="6">
        <v>3.0</v>
      </c>
      <c r="E127" s="6">
        <v>1.0</v>
      </c>
      <c r="F127" s="6">
        <v>14305.0</v>
      </c>
      <c r="G127" s="6">
        <v>13259.0</v>
      </c>
      <c r="H127" s="494">
        <v>0.9269</v>
      </c>
      <c r="I127" s="494">
        <v>0.9513</v>
      </c>
      <c r="J127" s="494">
        <v>0.5896</v>
      </c>
      <c r="K127" s="5" t="s">
        <v>1986</v>
      </c>
      <c r="L127" s="5" t="s">
        <v>1986</v>
      </c>
      <c r="M127" s="5" t="s">
        <v>1986</v>
      </c>
      <c r="N127" s="6">
        <v>648.4</v>
      </c>
      <c r="O127" s="5" t="s">
        <v>1986</v>
      </c>
      <c r="P127" s="494">
        <v>76.3628516588177</v>
      </c>
      <c r="Q127" s="494">
        <v>228.5439119756514</v>
      </c>
      <c r="R127" s="494">
        <v>709.7341828913611</v>
      </c>
    </row>
    <row r="128">
      <c r="A128" s="5" t="s">
        <v>35</v>
      </c>
      <c r="B128" s="5" t="s">
        <v>163</v>
      </c>
      <c r="C128" s="5" t="s">
        <v>59</v>
      </c>
      <c r="D128" s="6">
        <v>4.0</v>
      </c>
      <c r="E128" s="6">
        <v>1.0</v>
      </c>
      <c r="F128" s="6">
        <v>12461.0</v>
      </c>
      <c r="G128" s="6">
        <v>11863.0</v>
      </c>
      <c r="H128" s="494">
        <v>0.952</v>
      </c>
      <c r="I128" s="494">
        <v>0.9665</v>
      </c>
      <c r="J128" s="494">
        <v>0.6318</v>
      </c>
      <c r="K128" s="5" t="s">
        <v>1986</v>
      </c>
      <c r="L128" s="5" t="s">
        <v>1986</v>
      </c>
      <c r="M128" s="5" t="s">
        <v>1986</v>
      </c>
      <c r="N128" s="6">
        <v>1760.7</v>
      </c>
      <c r="O128" s="5" t="s">
        <v>1986</v>
      </c>
      <c r="P128" s="494">
        <v>199.74000730168746</v>
      </c>
      <c r="Q128" s="494">
        <v>607.3356642870925</v>
      </c>
      <c r="R128" s="494">
        <v>2034.7018300172904</v>
      </c>
    </row>
    <row r="129">
      <c r="A129" s="5" t="s">
        <v>35</v>
      </c>
      <c r="B129" s="5" t="s">
        <v>1857</v>
      </c>
      <c r="C129" s="5" t="s">
        <v>59</v>
      </c>
      <c r="D129" s="6">
        <v>4.0</v>
      </c>
      <c r="E129" s="6">
        <v>1.0</v>
      </c>
      <c r="F129" s="6">
        <v>6447.0</v>
      </c>
      <c r="G129" s="6">
        <v>6012.0</v>
      </c>
      <c r="H129" s="494">
        <v>0.9325</v>
      </c>
      <c r="I129" s="494">
        <v>0.946</v>
      </c>
      <c r="J129" s="494">
        <v>0.6836</v>
      </c>
      <c r="K129" s="5" t="s">
        <v>1986</v>
      </c>
      <c r="L129" s="5" t="s">
        <v>1986</v>
      </c>
      <c r="M129" s="5" t="s">
        <v>1986</v>
      </c>
      <c r="N129" s="6">
        <v>1149.9</v>
      </c>
      <c r="O129" s="5" t="s">
        <v>1986</v>
      </c>
      <c r="P129" s="494">
        <v>153.51894523749343</v>
      </c>
      <c r="Q129" s="494">
        <v>430.36722042779303</v>
      </c>
      <c r="R129" s="494">
        <v>1186.9623329146177</v>
      </c>
    </row>
    <row r="130">
      <c r="A130" s="5" t="s">
        <v>35</v>
      </c>
      <c r="B130" s="5" t="s">
        <v>163</v>
      </c>
      <c r="C130" s="5" t="s">
        <v>60</v>
      </c>
      <c r="D130" s="6">
        <v>5.0</v>
      </c>
      <c r="E130" s="6">
        <v>1.0</v>
      </c>
      <c r="F130" s="6">
        <v>1668.0</v>
      </c>
      <c r="G130" s="6">
        <v>1568.0</v>
      </c>
      <c r="H130" s="494">
        <v>0.94</v>
      </c>
      <c r="I130" s="494">
        <v>0.9424</v>
      </c>
      <c r="J130" s="494">
        <v>0.6218</v>
      </c>
      <c r="K130" s="5" t="s">
        <v>1986</v>
      </c>
      <c r="L130" s="5" t="s">
        <v>1986</v>
      </c>
      <c r="M130" s="5" t="s">
        <v>1986</v>
      </c>
      <c r="N130" s="6">
        <v>3169.3</v>
      </c>
      <c r="O130" s="5" t="s">
        <v>1986</v>
      </c>
      <c r="P130" s="494">
        <v>400.52537393162396</v>
      </c>
      <c r="Q130" s="494">
        <v>1118.2892970521543</v>
      </c>
      <c r="R130" s="494">
        <v>3923.584122474748</v>
      </c>
    </row>
    <row r="131">
      <c r="A131" s="5" t="s">
        <v>35</v>
      </c>
      <c r="B131" s="5" t="s">
        <v>1857</v>
      </c>
      <c r="C131" s="5" t="s">
        <v>60</v>
      </c>
      <c r="D131" s="6">
        <v>5.0</v>
      </c>
      <c r="E131" s="6">
        <v>1.0</v>
      </c>
      <c r="F131" s="6">
        <v>768.0</v>
      </c>
      <c r="G131" s="6">
        <v>714.0</v>
      </c>
      <c r="H131" s="494">
        <v>0.9297</v>
      </c>
      <c r="I131" s="494">
        <v>0.9401</v>
      </c>
      <c r="J131" s="494">
        <v>0.6891</v>
      </c>
      <c r="K131" s="5" t="s">
        <v>1986</v>
      </c>
      <c r="L131" s="5" t="s">
        <v>1986</v>
      </c>
      <c r="M131" s="5" t="s">
        <v>1986</v>
      </c>
      <c r="N131" s="6">
        <v>2058.3</v>
      </c>
      <c r="O131" s="5" t="s">
        <v>1986</v>
      </c>
      <c r="P131" s="494">
        <v>272.79580938187496</v>
      </c>
      <c r="Q131" s="494">
        <v>735.5742740998836</v>
      </c>
      <c r="R131" s="494">
        <v>1826.3476190476192</v>
      </c>
    </row>
    <row r="132">
      <c r="A132" s="5" t="s">
        <v>69</v>
      </c>
      <c r="B132" s="5" t="s">
        <v>163</v>
      </c>
      <c r="C132" s="5" t="s">
        <v>56</v>
      </c>
      <c r="D132" s="6">
        <v>1.0</v>
      </c>
      <c r="E132" s="6">
        <v>4.0</v>
      </c>
      <c r="F132" s="6">
        <v>208477.0</v>
      </c>
      <c r="G132" s="6">
        <v>31924.0</v>
      </c>
      <c r="H132" s="494">
        <v>0.6125</v>
      </c>
      <c r="I132" s="494">
        <v>0.7681</v>
      </c>
      <c r="J132" s="6">
        <v>0.0</v>
      </c>
      <c r="K132" s="6">
        <v>5.0</v>
      </c>
      <c r="L132" s="6">
        <v>10.0</v>
      </c>
      <c r="M132" s="6">
        <v>14.0</v>
      </c>
      <c r="N132" s="6">
        <v>73.5</v>
      </c>
      <c r="O132" s="6">
        <v>0.0</v>
      </c>
      <c r="P132" s="494">
        <v>22.18969356499057</v>
      </c>
      <c r="Q132" s="494">
        <v>51.32333908553541</v>
      </c>
      <c r="R132" s="494">
        <v>101.88331736958102</v>
      </c>
    </row>
    <row r="133">
      <c r="A133" s="5" t="s">
        <v>69</v>
      </c>
      <c r="B133" s="5" t="s">
        <v>1857</v>
      </c>
      <c r="C133" s="5" t="s">
        <v>56</v>
      </c>
      <c r="D133" s="6">
        <v>1.0</v>
      </c>
      <c r="E133" s="6">
        <v>4.0</v>
      </c>
      <c r="F133" s="6">
        <v>159482.0</v>
      </c>
      <c r="G133" s="6">
        <v>26679.0</v>
      </c>
      <c r="H133" s="494">
        <v>0.6691</v>
      </c>
      <c r="I133" s="494">
        <v>0.8047</v>
      </c>
      <c r="J133" s="6">
        <v>0.0</v>
      </c>
      <c r="K133" s="6">
        <v>6.0</v>
      </c>
      <c r="L133" s="6">
        <v>10.0</v>
      </c>
      <c r="M133" s="6">
        <v>15.0</v>
      </c>
      <c r="N133" s="6">
        <v>67.6</v>
      </c>
      <c r="O133" s="6">
        <v>0.0</v>
      </c>
      <c r="P133" s="494">
        <v>19.828055466827433</v>
      </c>
      <c r="Q133" s="494">
        <v>46.24386266786699</v>
      </c>
      <c r="R133" s="494">
        <v>94.41814140790416</v>
      </c>
    </row>
    <row r="134">
      <c r="A134" s="5" t="s">
        <v>69</v>
      </c>
      <c r="B134" s="5" t="s">
        <v>163</v>
      </c>
      <c r="C134" s="5" t="s">
        <v>57</v>
      </c>
      <c r="D134" s="6">
        <v>2.0</v>
      </c>
      <c r="E134" s="6">
        <v>4.0</v>
      </c>
      <c r="F134" s="6">
        <v>142486.0</v>
      </c>
      <c r="G134" s="6">
        <v>27514.0</v>
      </c>
      <c r="H134" s="494">
        <v>0.7724</v>
      </c>
      <c r="I134" s="494">
        <v>0.8322</v>
      </c>
      <c r="J134" s="6">
        <v>0.0</v>
      </c>
      <c r="K134" s="6">
        <v>3.0</v>
      </c>
      <c r="L134" s="6">
        <v>6.0</v>
      </c>
      <c r="M134" s="6">
        <v>10.0</v>
      </c>
      <c r="N134" s="6">
        <v>185.8</v>
      </c>
      <c r="O134" s="6">
        <v>0.0</v>
      </c>
      <c r="P134" s="494">
        <v>74.99979110261492</v>
      </c>
      <c r="Q134" s="494">
        <v>150.4701420570551</v>
      </c>
      <c r="R134" s="494">
        <v>254.38630543673582</v>
      </c>
    </row>
    <row r="135">
      <c r="A135" s="5" t="s">
        <v>69</v>
      </c>
      <c r="B135" s="5" t="s">
        <v>1857</v>
      </c>
      <c r="C135" s="5" t="s">
        <v>57</v>
      </c>
      <c r="D135" s="6">
        <v>2.0</v>
      </c>
      <c r="E135" s="6">
        <v>4.0</v>
      </c>
      <c r="F135" s="6">
        <v>82362.0</v>
      </c>
      <c r="G135" s="6">
        <v>16005.0</v>
      </c>
      <c r="H135" s="494">
        <v>0.7773</v>
      </c>
      <c r="I135" s="494">
        <v>0.8377</v>
      </c>
      <c r="J135" s="6">
        <v>0.0</v>
      </c>
      <c r="K135" s="6">
        <v>3.0</v>
      </c>
      <c r="L135" s="6">
        <v>7.0</v>
      </c>
      <c r="M135" s="6">
        <v>11.0</v>
      </c>
      <c r="N135" s="6">
        <v>170.9</v>
      </c>
      <c r="O135" s="6">
        <v>0.0</v>
      </c>
      <c r="P135" s="494">
        <v>61.529335562240576</v>
      </c>
      <c r="Q135" s="494">
        <v>133.834854026578</v>
      </c>
      <c r="R135" s="494">
        <v>233.61381213854614</v>
      </c>
    </row>
    <row r="136">
      <c r="A136" s="5" t="s">
        <v>69</v>
      </c>
      <c r="B136" s="5" t="s">
        <v>163</v>
      </c>
      <c r="C136" s="5" t="s">
        <v>58</v>
      </c>
      <c r="D136" s="6">
        <v>3.0</v>
      </c>
      <c r="E136" s="6">
        <v>4.0</v>
      </c>
      <c r="F136" s="6">
        <v>87935.0</v>
      </c>
      <c r="G136" s="6">
        <v>18083.0</v>
      </c>
      <c r="H136" s="494">
        <v>0.8225</v>
      </c>
      <c r="I136" s="494">
        <v>0.8541</v>
      </c>
      <c r="J136" s="6">
        <v>0.0</v>
      </c>
      <c r="K136" s="6">
        <v>2.0</v>
      </c>
      <c r="L136" s="6">
        <v>4.0</v>
      </c>
      <c r="M136" s="6">
        <v>6.0</v>
      </c>
      <c r="N136" s="6">
        <v>366.9</v>
      </c>
      <c r="O136" s="6">
        <v>0.0</v>
      </c>
      <c r="P136" s="494">
        <v>159.63479962677047</v>
      </c>
      <c r="Q136" s="494">
        <v>310.7480724262613</v>
      </c>
      <c r="R136" s="494">
        <v>501.8544852545985</v>
      </c>
    </row>
    <row r="137">
      <c r="A137" s="5" t="s">
        <v>69</v>
      </c>
      <c r="B137" s="5" t="s">
        <v>1857</v>
      </c>
      <c r="C137" s="5" t="s">
        <v>58</v>
      </c>
      <c r="D137" s="6">
        <v>3.0</v>
      </c>
      <c r="E137" s="6">
        <v>4.0</v>
      </c>
      <c r="F137" s="6">
        <v>46375.0</v>
      </c>
      <c r="G137" s="6">
        <v>9347.0</v>
      </c>
      <c r="H137" s="494">
        <v>0.8062</v>
      </c>
      <c r="I137" s="494">
        <v>0.8406</v>
      </c>
      <c r="J137" s="6">
        <v>0.0</v>
      </c>
      <c r="K137" s="6">
        <v>2.0</v>
      </c>
      <c r="L137" s="6">
        <v>4.0</v>
      </c>
      <c r="M137" s="6">
        <v>7.0</v>
      </c>
      <c r="N137" s="6">
        <v>338.2</v>
      </c>
      <c r="O137" s="6">
        <v>0.0</v>
      </c>
      <c r="P137" s="494">
        <v>128.9239718863516</v>
      </c>
      <c r="Q137" s="494">
        <v>275.79284704949805</v>
      </c>
      <c r="R137" s="494">
        <v>463.9670917002581</v>
      </c>
    </row>
    <row r="138">
      <c r="A138" s="5" t="s">
        <v>69</v>
      </c>
      <c r="B138" s="5" t="s">
        <v>163</v>
      </c>
      <c r="C138" s="5" t="s">
        <v>59</v>
      </c>
      <c r="D138" s="6">
        <v>4.0</v>
      </c>
      <c r="E138" s="6">
        <v>4.0</v>
      </c>
      <c r="F138" s="6">
        <v>40277.0</v>
      </c>
      <c r="G138" s="6">
        <v>8838.0</v>
      </c>
      <c r="H138" s="494">
        <v>0.8777</v>
      </c>
      <c r="I138" s="494">
        <v>0.8934</v>
      </c>
      <c r="J138" s="6">
        <v>0.0</v>
      </c>
      <c r="K138" s="6">
        <v>1.0</v>
      </c>
      <c r="L138" s="6">
        <v>2.0</v>
      </c>
      <c r="M138" s="6">
        <v>4.0</v>
      </c>
      <c r="N138" s="6">
        <v>691.4</v>
      </c>
      <c r="O138" s="6">
        <v>0.0</v>
      </c>
      <c r="P138" s="494">
        <v>307.61674270704293</v>
      </c>
      <c r="Q138" s="494">
        <v>595.0816544218</v>
      </c>
      <c r="R138" s="494">
        <v>954.9455979893507</v>
      </c>
    </row>
    <row r="139">
      <c r="A139" s="5" t="s">
        <v>69</v>
      </c>
      <c r="B139" s="5" t="s">
        <v>1857</v>
      </c>
      <c r="C139" s="5" t="s">
        <v>59</v>
      </c>
      <c r="D139" s="6">
        <v>4.0</v>
      </c>
      <c r="E139" s="6">
        <v>4.0</v>
      </c>
      <c r="F139" s="6">
        <v>20001.0</v>
      </c>
      <c r="G139" s="6">
        <v>4218.0</v>
      </c>
      <c r="H139" s="494">
        <v>0.8435</v>
      </c>
      <c r="I139" s="494">
        <v>0.8617</v>
      </c>
      <c r="J139" s="6">
        <v>0.0</v>
      </c>
      <c r="K139" s="6">
        <v>1.0</v>
      </c>
      <c r="L139" s="6">
        <v>2.0</v>
      </c>
      <c r="M139" s="6">
        <v>4.0</v>
      </c>
      <c r="N139" s="6">
        <v>658.3</v>
      </c>
      <c r="O139" s="6">
        <v>0.0</v>
      </c>
      <c r="P139" s="494">
        <v>268.52245360453117</v>
      </c>
      <c r="Q139" s="494">
        <v>548.1899558687146</v>
      </c>
      <c r="R139" s="494">
        <v>899.5067559249</v>
      </c>
    </row>
    <row r="140">
      <c r="A140" s="5" t="s">
        <v>69</v>
      </c>
      <c r="B140" s="5" t="s">
        <v>163</v>
      </c>
      <c r="C140" s="5" t="s">
        <v>60</v>
      </c>
      <c r="D140" s="6">
        <v>5.0</v>
      </c>
      <c r="E140" s="6">
        <v>4.0</v>
      </c>
      <c r="F140" s="6">
        <v>5163.0</v>
      </c>
      <c r="G140" s="6">
        <v>1171.0</v>
      </c>
      <c r="H140" s="494">
        <v>0.907</v>
      </c>
      <c r="I140" s="494">
        <v>0.914</v>
      </c>
      <c r="J140" s="6">
        <v>0.0</v>
      </c>
      <c r="K140" s="6">
        <v>1.0</v>
      </c>
      <c r="L140" s="6">
        <v>1.0</v>
      </c>
      <c r="M140" s="6">
        <v>2.0</v>
      </c>
      <c r="N140" s="6">
        <v>1360.6</v>
      </c>
      <c r="O140" s="6">
        <v>0.0</v>
      </c>
      <c r="P140" s="494">
        <v>703.9462866991701</v>
      </c>
      <c r="Q140" s="494">
        <v>1275.1998932977026</v>
      </c>
      <c r="R140" s="494">
        <v>1868.4659424544918</v>
      </c>
    </row>
    <row r="141">
      <c r="A141" s="5" t="s">
        <v>69</v>
      </c>
      <c r="B141" s="5" t="s">
        <v>1857</v>
      </c>
      <c r="C141" s="5" t="s">
        <v>60</v>
      </c>
      <c r="D141" s="6">
        <v>5.0</v>
      </c>
      <c r="E141" s="6">
        <v>4.0</v>
      </c>
      <c r="F141" s="6">
        <v>2531.0</v>
      </c>
      <c r="G141" s="6">
        <v>554.0</v>
      </c>
      <c r="H141" s="494">
        <v>0.8751</v>
      </c>
      <c r="I141" s="494">
        <v>0.8834</v>
      </c>
      <c r="J141" s="6">
        <v>0.0</v>
      </c>
      <c r="K141" s="6">
        <v>1.0</v>
      </c>
      <c r="L141" s="6">
        <v>1.0</v>
      </c>
      <c r="M141" s="6">
        <v>2.0</v>
      </c>
      <c r="N141" s="6">
        <v>1342.4</v>
      </c>
      <c r="O141" s="6">
        <v>0.0</v>
      </c>
      <c r="P141" s="494">
        <v>589.6521014492755</v>
      </c>
      <c r="Q141" s="494">
        <v>1197.573056633153</v>
      </c>
      <c r="R141" s="494">
        <v>1885.1058381433384</v>
      </c>
    </row>
    <row r="142">
      <c r="A142" s="5" t="s">
        <v>134</v>
      </c>
      <c r="B142" s="5" t="s">
        <v>163</v>
      </c>
      <c r="C142" s="5" t="s">
        <v>56</v>
      </c>
      <c r="D142" s="6">
        <v>1.0</v>
      </c>
      <c r="E142" s="6">
        <v>2.0</v>
      </c>
      <c r="F142" s="6">
        <v>176282.0</v>
      </c>
      <c r="G142" s="6">
        <v>29651.0</v>
      </c>
      <c r="H142" s="494">
        <v>0.3364</v>
      </c>
      <c r="I142" s="494">
        <v>0.956</v>
      </c>
      <c r="J142" s="6">
        <v>0.315</v>
      </c>
      <c r="K142" s="6">
        <v>2.0</v>
      </c>
      <c r="L142" s="6">
        <v>3.0</v>
      </c>
      <c r="M142" s="6">
        <v>5.0</v>
      </c>
      <c r="N142" s="6">
        <v>1.0</v>
      </c>
      <c r="O142" s="5" t="s">
        <v>1986</v>
      </c>
      <c r="P142" s="6">
        <v>0.0</v>
      </c>
      <c r="Q142" s="6">
        <v>0.0</v>
      </c>
      <c r="R142" s="6">
        <v>0.659911937397189</v>
      </c>
    </row>
    <row r="143">
      <c r="A143" s="5" t="s">
        <v>134</v>
      </c>
      <c r="B143" s="5" t="s">
        <v>1857</v>
      </c>
      <c r="C143" s="5" t="s">
        <v>56</v>
      </c>
      <c r="D143" s="6">
        <v>1.0</v>
      </c>
      <c r="E143" s="6">
        <v>2.0</v>
      </c>
      <c r="F143" s="6">
        <v>120262.0</v>
      </c>
      <c r="G143" s="6">
        <v>23559.0</v>
      </c>
      <c r="H143" s="494">
        <v>0.3918</v>
      </c>
      <c r="I143" s="494">
        <v>0.9737</v>
      </c>
      <c r="J143" s="6">
        <v>0.3365</v>
      </c>
      <c r="K143" s="6">
        <v>2.0</v>
      </c>
      <c r="L143" s="6">
        <v>4.0</v>
      </c>
      <c r="M143" s="6">
        <v>5.0</v>
      </c>
      <c r="N143" s="6">
        <v>0.7</v>
      </c>
      <c r="O143" s="5" t="s">
        <v>1986</v>
      </c>
      <c r="P143" s="6">
        <v>0.0</v>
      </c>
      <c r="Q143" s="6">
        <v>0.0</v>
      </c>
      <c r="R143" s="6">
        <v>0.0</v>
      </c>
    </row>
    <row r="144">
      <c r="A144" s="5" t="s">
        <v>134</v>
      </c>
      <c r="B144" s="5" t="s">
        <v>163</v>
      </c>
      <c r="C144" s="5" t="s">
        <v>57</v>
      </c>
      <c r="D144" s="6">
        <v>2.0</v>
      </c>
      <c r="E144" s="6">
        <v>2.0</v>
      </c>
      <c r="F144" s="6">
        <v>101217.0</v>
      </c>
      <c r="G144" s="6">
        <v>27587.0</v>
      </c>
      <c r="H144" s="494">
        <v>0.5451</v>
      </c>
      <c r="I144" s="494">
        <v>0.9653</v>
      </c>
      <c r="J144" s="6">
        <v>0.3102</v>
      </c>
      <c r="K144" s="6">
        <v>2.0</v>
      </c>
      <c r="L144" s="6">
        <v>3.0</v>
      </c>
      <c r="M144" s="6">
        <v>5.0</v>
      </c>
      <c r="N144" s="6">
        <v>1.4</v>
      </c>
      <c r="O144" s="5" t="s">
        <v>1986</v>
      </c>
      <c r="P144" s="6">
        <v>0.0</v>
      </c>
      <c r="Q144" s="6">
        <v>0.0</v>
      </c>
      <c r="R144" s="6">
        <v>0.6186350249900665</v>
      </c>
    </row>
    <row r="145">
      <c r="A145" s="5" t="s">
        <v>134</v>
      </c>
      <c r="B145" s="5" t="s">
        <v>1857</v>
      </c>
      <c r="C145" s="5" t="s">
        <v>57</v>
      </c>
      <c r="D145" s="6">
        <v>2.0</v>
      </c>
      <c r="E145" s="6">
        <v>2.0</v>
      </c>
      <c r="F145" s="6">
        <v>57003.0</v>
      </c>
      <c r="G145" s="6">
        <v>16511.0</v>
      </c>
      <c r="H145" s="494">
        <v>0.5793</v>
      </c>
      <c r="I145" s="494">
        <v>0.9738</v>
      </c>
      <c r="J145" s="6">
        <v>0.3092</v>
      </c>
      <c r="K145" s="6">
        <v>2.0</v>
      </c>
      <c r="L145" s="6">
        <v>4.0</v>
      </c>
      <c r="M145" s="6">
        <v>5.0</v>
      </c>
      <c r="N145" s="6">
        <v>1.1</v>
      </c>
      <c r="O145" s="5" t="s">
        <v>1986</v>
      </c>
      <c r="P145" s="6">
        <v>0.0</v>
      </c>
      <c r="Q145" s="6">
        <v>0.0</v>
      </c>
      <c r="R145" s="6">
        <v>0.18980577925153982</v>
      </c>
    </row>
    <row r="146">
      <c r="A146" s="5" t="s">
        <v>134</v>
      </c>
      <c r="B146" s="5" t="s">
        <v>163</v>
      </c>
      <c r="C146" s="5" t="s">
        <v>58</v>
      </c>
      <c r="D146" s="6">
        <v>3.0</v>
      </c>
      <c r="E146" s="6">
        <v>2.0</v>
      </c>
      <c r="F146" s="6">
        <v>61955.0</v>
      </c>
      <c r="G146" s="6">
        <v>20416.0</v>
      </c>
      <c r="H146" s="494">
        <v>0.6591</v>
      </c>
      <c r="I146" s="494">
        <v>0.9578</v>
      </c>
      <c r="J146" s="6">
        <v>0.3052</v>
      </c>
      <c r="K146" s="6">
        <v>2.0</v>
      </c>
      <c r="L146" s="6">
        <v>3.0</v>
      </c>
      <c r="M146" s="6">
        <v>5.0</v>
      </c>
      <c r="N146" s="6">
        <v>1.9</v>
      </c>
      <c r="O146" s="5" t="s">
        <v>1986</v>
      </c>
      <c r="P146" s="6">
        <v>0.0</v>
      </c>
      <c r="Q146" s="6">
        <v>0.0</v>
      </c>
      <c r="R146" s="6">
        <v>1.2002170790717113</v>
      </c>
    </row>
    <row r="147">
      <c r="A147" s="5" t="s">
        <v>134</v>
      </c>
      <c r="B147" s="5" t="s">
        <v>1857</v>
      </c>
      <c r="C147" s="5" t="s">
        <v>58</v>
      </c>
      <c r="D147" s="6">
        <v>3.0</v>
      </c>
      <c r="E147" s="6">
        <v>2.0</v>
      </c>
      <c r="F147" s="6">
        <v>33254.0</v>
      </c>
      <c r="G147" s="6">
        <v>11539.0</v>
      </c>
      <c r="H147" s="494">
        <v>0.694</v>
      </c>
      <c r="I147" s="494">
        <v>0.9678</v>
      </c>
      <c r="J147" s="6">
        <v>0.2881</v>
      </c>
      <c r="K147" s="6">
        <v>2.0</v>
      </c>
      <c r="L147" s="6">
        <v>4.0</v>
      </c>
      <c r="M147" s="6">
        <v>5.0</v>
      </c>
      <c r="N147" s="6">
        <v>1.6</v>
      </c>
      <c r="O147" s="5" t="s">
        <v>1986</v>
      </c>
      <c r="P147" s="6">
        <v>0.0</v>
      </c>
      <c r="Q147" s="6">
        <v>0.0</v>
      </c>
      <c r="R147" s="6">
        <v>0.21567791373239978</v>
      </c>
    </row>
    <row r="148">
      <c r="A148" s="5" t="s">
        <v>134</v>
      </c>
      <c r="B148" s="5" t="s">
        <v>163</v>
      </c>
      <c r="C148" s="5" t="s">
        <v>59</v>
      </c>
      <c r="D148" s="6">
        <v>4.0</v>
      </c>
      <c r="E148" s="6">
        <v>2.0</v>
      </c>
      <c r="F148" s="6">
        <v>28243.0</v>
      </c>
      <c r="G148" s="6">
        <v>9445.0</v>
      </c>
      <c r="H148" s="494">
        <v>0.6688</v>
      </c>
      <c r="I148" s="494">
        <v>0.8442</v>
      </c>
      <c r="J148" s="6">
        <v>0.2827</v>
      </c>
      <c r="K148" s="6">
        <v>2.0</v>
      </c>
      <c r="L148" s="6">
        <v>3.0</v>
      </c>
      <c r="M148" s="6">
        <v>5.0</v>
      </c>
      <c r="N148" s="6">
        <v>2.4</v>
      </c>
      <c r="O148" s="5" t="s">
        <v>1986</v>
      </c>
      <c r="P148" s="6">
        <v>0.0</v>
      </c>
      <c r="Q148" s="6">
        <v>0.0</v>
      </c>
      <c r="R148" s="6">
        <v>1.9644196774843574</v>
      </c>
    </row>
    <row r="149">
      <c r="A149" s="5" t="s">
        <v>134</v>
      </c>
      <c r="B149" s="5" t="s">
        <v>1857</v>
      </c>
      <c r="C149" s="5" t="s">
        <v>59</v>
      </c>
      <c r="D149" s="6">
        <v>4.0</v>
      </c>
      <c r="E149" s="6">
        <v>2.0</v>
      </c>
      <c r="F149" s="6">
        <v>14923.0</v>
      </c>
      <c r="G149" s="6">
        <v>5513.0</v>
      </c>
      <c r="H149" s="494">
        <v>0.7389</v>
      </c>
      <c r="I149" s="494">
        <v>0.9113</v>
      </c>
      <c r="J149" s="6">
        <v>0.2784</v>
      </c>
      <c r="K149" s="6">
        <v>2.0</v>
      </c>
      <c r="L149" s="6">
        <v>4.0</v>
      </c>
      <c r="M149" s="6">
        <v>5.0</v>
      </c>
      <c r="N149" s="6">
        <v>1.8</v>
      </c>
      <c r="O149" s="5" t="s">
        <v>1986</v>
      </c>
      <c r="P149" s="6">
        <v>0.0</v>
      </c>
      <c r="Q149" s="6">
        <v>0.0</v>
      </c>
      <c r="R149" s="6">
        <v>0.5913176539612671</v>
      </c>
    </row>
    <row r="150">
      <c r="A150" s="5" t="s">
        <v>134</v>
      </c>
      <c r="B150" s="5" t="s">
        <v>163</v>
      </c>
      <c r="C150" s="5" t="s">
        <v>60</v>
      </c>
      <c r="D150" s="6">
        <v>5.0</v>
      </c>
      <c r="E150" s="6">
        <v>2.0</v>
      </c>
      <c r="F150" s="6">
        <v>3909.0</v>
      </c>
      <c r="G150" s="6">
        <v>904.0</v>
      </c>
      <c r="H150" s="494">
        <v>0.4623</v>
      </c>
      <c r="I150" s="494">
        <v>0.5226</v>
      </c>
      <c r="J150" s="6">
        <v>0.2573</v>
      </c>
      <c r="K150" s="6">
        <v>2.0</v>
      </c>
      <c r="L150" s="6">
        <v>3.0</v>
      </c>
      <c r="M150" s="6">
        <v>5.0</v>
      </c>
      <c r="N150" s="6">
        <v>2.7</v>
      </c>
      <c r="O150" s="5" t="s">
        <v>1986</v>
      </c>
      <c r="P150" s="6">
        <v>0.0</v>
      </c>
      <c r="Q150" s="6">
        <v>0.0</v>
      </c>
      <c r="R150" s="6">
        <v>2.9977769034035013</v>
      </c>
    </row>
    <row r="151">
      <c r="A151" s="5" t="s">
        <v>134</v>
      </c>
      <c r="B151" s="5" t="s">
        <v>1857</v>
      </c>
      <c r="C151" s="5" t="s">
        <v>60</v>
      </c>
      <c r="D151" s="6">
        <v>5.0</v>
      </c>
      <c r="E151" s="6">
        <v>2.0</v>
      </c>
      <c r="F151" s="6">
        <v>1988.0</v>
      </c>
      <c r="G151" s="6">
        <v>601.0</v>
      </c>
      <c r="H151" s="494">
        <v>0.6041</v>
      </c>
      <c r="I151" s="494">
        <v>0.6876</v>
      </c>
      <c r="J151" s="6">
        <v>0.2689</v>
      </c>
      <c r="K151" s="6">
        <v>2.0</v>
      </c>
      <c r="L151" s="6">
        <v>4.0</v>
      </c>
      <c r="M151" s="6">
        <v>5.0</v>
      </c>
      <c r="N151" s="6">
        <v>2.1</v>
      </c>
      <c r="O151" s="5" t="s">
        <v>1986</v>
      </c>
      <c r="P151" s="6">
        <v>0.0</v>
      </c>
      <c r="Q151" s="6">
        <v>0.0</v>
      </c>
      <c r="R151" s="6">
        <v>0.8554582210242587</v>
      </c>
    </row>
    <row r="152">
      <c r="A152" s="5" t="s">
        <v>32</v>
      </c>
      <c r="B152" s="5" t="s">
        <v>163</v>
      </c>
      <c r="C152" s="5" t="s">
        <v>56</v>
      </c>
      <c r="D152" s="6">
        <v>1.0</v>
      </c>
      <c r="E152" s="6">
        <v>4.0</v>
      </c>
      <c r="F152" s="6">
        <v>211541.0</v>
      </c>
      <c r="G152" s="6">
        <v>30597.0</v>
      </c>
      <c r="H152" s="494">
        <v>0.5785</v>
      </c>
      <c r="I152" s="494">
        <v>0.7423</v>
      </c>
      <c r="J152" s="494">
        <v>0.0</v>
      </c>
      <c r="K152" s="6">
        <v>5.0</v>
      </c>
      <c r="L152" s="6">
        <v>8.0</v>
      </c>
      <c r="M152" s="6">
        <v>12.0</v>
      </c>
      <c r="N152" s="6">
        <v>145.2</v>
      </c>
      <c r="O152" s="6">
        <v>0.0</v>
      </c>
      <c r="P152" s="494">
        <v>2.7029837964705576</v>
      </c>
      <c r="Q152" s="494">
        <v>13.265945698777642</v>
      </c>
      <c r="R152" s="494">
        <v>133.09446824354924</v>
      </c>
    </row>
    <row r="153">
      <c r="A153" s="5" t="s">
        <v>32</v>
      </c>
      <c r="B153" s="5" t="s">
        <v>1857</v>
      </c>
      <c r="C153" s="5" t="s">
        <v>56</v>
      </c>
      <c r="D153" s="6">
        <v>1.0</v>
      </c>
      <c r="E153" s="6">
        <v>4.0</v>
      </c>
      <c r="F153" s="6">
        <v>159583.0</v>
      </c>
      <c r="G153" s="6">
        <v>24968.0</v>
      </c>
      <c r="H153" s="494">
        <v>0.6258</v>
      </c>
      <c r="I153" s="494">
        <v>0.7798</v>
      </c>
      <c r="J153" s="494">
        <v>0.0</v>
      </c>
      <c r="K153" s="6">
        <v>6.0</v>
      </c>
      <c r="L153" s="6">
        <v>9.0</v>
      </c>
      <c r="M153" s="6">
        <v>13.0</v>
      </c>
      <c r="N153" s="6">
        <v>121.1</v>
      </c>
      <c r="O153" s="6">
        <v>0.0</v>
      </c>
      <c r="P153" s="494">
        <v>2.2112285764498814</v>
      </c>
      <c r="Q153" s="494">
        <v>9.012040429172151</v>
      </c>
      <c r="R153" s="494">
        <v>53.74726223197242</v>
      </c>
    </row>
    <row r="154">
      <c r="A154" s="5" t="s">
        <v>32</v>
      </c>
      <c r="B154" s="5" t="s">
        <v>163</v>
      </c>
      <c r="C154" s="5" t="s">
        <v>57</v>
      </c>
      <c r="D154" s="6">
        <v>2.0</v>
      </c>
      <c r="E154" s="6">
        <v>4.0</v>
      </c>
      <c r="F154" s="6">
        <v>138708.0</v>
      </c>
      <c r="G154" s="6">
        <v>25149.0</v>
      </c>
      <c r="H154" s="494">
        <v>0.7252</v>
      </c>
      <c r="I154" s="494">
        <v>0.7942</v>
      </c>
      <c r="J154" s="494">
        <v>0.0</v>
      </c>
      <c r="K154" s="6">
        <v>3.0</v>
      </c>
      <c r="L154" s="6">
        <v>6.0</v>
      </c>
      <c r="M154" s="6">
        <v>9.0</v>
      </c>
      <c r="N154" s="6">
        <v>689.5</v>
      </c>
      <c r="O154" s="6">
        <v>0.0</v>
      </c>
      <c r="P154" s="494">
        <v>26.61684432297434</v>
      </c>
      <c r="Q154" s="494">
        <v>316.9217801541151</v>
      </c>
      <c r="R154" s="494">
        <v>947.4880947194221</v>
      </c>
    </row>
    <row r="155">
      <c r="A155" s="5" t="s">
        <v>32</v>
      </c>
      <c r="B155" s="5" t="s">
        <v>1857</v>
      </c>
      <c r="C155" s="5" t="s">
        <v>57</v>
      </c>
      <c r="D155" s="6">
        <v>2.0</v>
      </c>
      <c r="E155" s="6">
        <v>4.0</v>
      </c>
      <c r="F155" s="6">
        <v>79801.0</v>
      </c>
      <c r="G155" s="6">
        <v>14573.0</v>
      </c>
      <c r="H155" s="494">
        <v>0.7305</v>
      </c>
      <c r="I155" s="494">
        <v>0.8057</v>
      </c>
      <c r="J155" s="494">
        <v>0.0</v>
      </c>
      <c r="K155" s="6">
        <v>3.0</v>
      </c>
      <c r="L155" s="6">
        <v>6.0</v>
      </c>
      <c r="M155" s="6">
        <v>10.0</v>
      </c>
      <c r="N155" s="6">
        <v>633.2</v>
      </c>
      <c r="O155" s="6">
        <v>0.0</v>
      </c>
      <c r="P155" s="494">
        <v>16.46329900057193</v>
      </c>
      <c r="Q155" s="494">
        <v>217.47921950449967</v>
      </c>
      <c r="R155" s="494">
        <v>838.1281212489444</v>
      </c>
    </row>
    <row r="156">
      <c r="A156" s="5" t="s">
        <v>32</v>
      </c>
      <c r="B156" s="5" t="s">
        <v>163</v>
      </c>
      <c r="C156" s="5" t="s">
        <v>58</v>
      </c>
      <c r="D156" s="6">
        <v>3.0</v>
      </c>
      <c r="E156" s="6">
        <v>4.0</v>
      </c>
      <c r="F156" s="6">
        <v>76593.0</v>
      </c>
      <c r="G156" s="6">
        <v>14617.0</v>
      </c>
      <c r="H156" s="494">
        <v>0.7634</v>
      </c>
      <c r="I156" s="494">
        <v>0.8022</v>
      </c>
      <c r="J156" s="494">
        <v>0.0</v>
      </c>
      <c r="K156" s="6">
        <v>2.0</v>
      </c>
      <c r="L156" s="6">
        <v>4.0</v>
      </c>
      <c r="M156" s="6">
        <v>7.0</v>
      </c>
      <c r="N156" s="6">
        <v>1496.6</v>
      </c>
      <c r="O156" s="6">
        <v>0.0</v>
      </c>
      <c r="P156" s="494">
        <v>315.41589081078286</v>
      </c>
      <c r="Q156" s="494">
        <v>1108.1798599067354</v>
      </c>
      <c r="R156" s="494">
        <v>2252.350514104177</v>
      </c>
    </row>
    <row r="157">
      <c r="A157" s="5" t="s">
        <v>32</v>
      </c>
      <c r="B157" s="5" t="s">
        <v>1857</v>
      </c>
      <c r="C157" s="5" t="s">
        <v>58</v>
      </c>
      <c r="D157" s="6">
        <v>3.0</v>
      </c>
      <c r="E157" s="6">
        <v>4.0</v>
      </c>
      <c r="F157" s="6">
        <v>41479.0</v>
      </c>
      <c r="G157" s="6">
        <v>7861.0</v>
      </c>
      <c r="H157" s="494">
        <v>0.7581</v>
      </c>
      <c r="I157" s="494">
        <v>0.8041</v>
      </c>
      <c r="J157" s="494">
        <v>0.0</v>
      </c>
      <c r="K157" s="6">
        <v>2.0</v>
      </c>
      <c r="L157" s="6">
        <v>4.0</v>
      </c>
      <c r="M157" s="6">
        <v>8.0</v>
      </c>
      <c r="N157" s="6">
        <v>1418.9</v>
      </c>
      <c r="O157" s="6">
        <v>0.0</v>
      </c>
      <c r="P157" s="494">
        <v>156.86723977293292</v>
      </c>
      <c r="Q157" s="494">
        <v>860.2938492005243</v>
      </c>
      <c r="R157" s="494">
        <v>2146.6707266796293</v>
      </c>
    </row>
    <row r="158">
      <c r="A158" s="5" t="s">
        <v>32</v>
      </c>
      <c r="B158" s="5" t="s">
        <v>163</v>
      </c>
      <c r="C158" s="5" t="s">
        <v>59</v>
      </c>
      <c r="D158" s="6">
        <v>4.0</v>
      </c>
      <c r="E158" s="6">
        <v>4.0</v>
      </c>
      <c r="F158" s="6">
        <v>35227.0</v>
      </c>
      <c r="G158" s="6">
        <v>7327.0</v>
      </c>
      <c r="H158" s="494">
        <v>0.832</v>
      </c>
      <c r="I158" s="494">
        <v>0.851</v>
      </c>
      <c r="J158" s="494">
        <v>0.0</v>
      </c>
      <c r="K158" s="6">
        <v>1.0</v>
      </c>
      <c r="L158" s="6">
        <v>2.0</v>
      </c>
      <c r="M158" s="6">
        <v>4.0</v>
      </c>
      <c r="N158" s="6">
        <v>3630.2</v>
      </c>
      <c r="O158" s="6">
        <v>0.0</v>
      </c>
      <c r="P158" s="494">
        <v>1229.0690941622863</v>
      </c>
      <c r="Q158" s="494">
        <v>2929.151664271021</v>
      </c>
      <c r="R158" s="494">
        <v>5225.9842036156215</v>
      </c>
    </row>
    <row r="159">
      <c r="A159" s="5" t="s">
        <v>32</v>
      </c>
      <c r="B159" s="5" t="s">
        <v>1857</v>
      </c>
      <c r="C159" s="5" t="s">
        <v>59</v>
      </c>
      <c r="D159" s="6">
        <v>4.0</v>
      </c>
      <c r="E159" s="6">
        <v>4.0</v>
      </c>
      <c r="F159" s="6">
        <v>18032.0</v>
      </c>
      <c r="G159" s="6">
        <v>3645.0</v>
      </c>
      <c r="H159" s="494">
        <v>0.8086</v>
      </c>
      <c r="I159" s="494">
        <v>0.8334</v>
      </c>
      <c r="J159" s="494">
        <v>0.0</v>
      </c>
      <c r="K159" s="6">
        <v>1.0</v>
      </c>
      <c r="L159" s="6">
        <v>2.0</v>
      </c>
      <c r="M159" s="6">
        <v>5.0</v>
      </c>
      <c r="N159" s="6">
        <v>3461.6</v>
      </c>
      <c r="O159" s="6">
        <v>0.0</v>
      </c>
      <c r="P159" s="494">
        <v>850.7889328780086</v>
      </c>
      <c r="Q159" s="494">
        <v>2564.610758990589</v>
      </c>
      <c r="R159" s="494">
        <v>5110.8600810642565</v>
      </c>
    </row>
    <row r="160">
      <c r="A160" s="5" t="s">
        <v>32</v>
      </c>
      <c r="B160" s="5" t="s">
        <v>163</v>
      </c>
      <c r="C160" s="5" t="s">
        <v>60</v>
      </c>
      <c r="D160" s="6">
        <v>5.0</v>
      </c>
      <c r="E160" s="6">
        <v>4.0</v>
      </c>
      <c r="F160" s="6">
        <v>4960.0</v>
      </c>
      <c r="G160" s="6">
        <v>1070.0</v>
      </c>
      <c r="H160" s="494">
        <v>0.8627</v>
      </c>
      <c r="I160" s="494">
        <v>0.8736</v>
      </c>
      <c r="J160" s="494">
        <v>0.0</v>
      </c>
      <c r="K160" s="6">
        <v>1.0</v>
      </c>
      <c r="L160" s="6">
        <v>1.0</v>
      </c>
      <c r="M160" s="6">
        <v>2.0</v>
      </c>
      <c r="N160" s="6">
        <v>9497.7</v>
      </c>
      <c r="O160" s="6">
        <v>0.0</v>
      </c>
      <c r="P160" s="494">
        <v>4980.472658875448</v>
      </c>
      <c r="Q160" s="494">
        <v>8642.14711681372</v>
      </c>
      <c r="R160" s="494">
        <v>12788.489319922632</v>
      </c>
    </row>
    <row r="161">
      <c r="A161" s="5" t="s">
        <v>32</v>
      </c>
      <c r="B161" s="5" t="s">
        <v>1857</v>
      </c>
      <c r="C161" s="5" t="s">
        <v>60</v>
      </c>
      <c r="D161" s="6">
        <v>5.0</v>
      </c>
      <c r="E161" s="6">
        <v>4.0</v>
      </c>
      <c r="F161" s="6">
        <v>2361.0</v>
      </c>
      <c r="G161" s="6">
        <v>498.0</v>
      </c>
      <c r="H161" s="494">
        <v>0.8429</v>
      </c>
      <c r="I161" s="494">
        <v>0.8568</v>
      </c>
      <c r="J161" s="494">
        <v>0.0</v>
      </c>
      <c r="K161" s="6">
        <v>1.0</v>
      </c>
      <c r="L161" s="6">
        <v>1.0</v>
      </c>
      <c r="M161" s="6">
        <v>2.0</v>
      </c>
      <c r="N161" s="6">
        <v>9369.9</v>
      </c>
      <c r="O161" s="6">
        <v>0.0</v>
      </c>
      <c r="P161" s="494">
        <v>4222.890770687645</v>
      </c>
      <c r="Q161" s="494">
        <v>8378.059611188259</v>
      </c>
      <c r="R161" s="494">
        <v>12881.550940081703</v>
      </c>
    </row>
    <row r="162">
      <c r="H162" s="495"/>
      <c r="I162" s="495"/>
      <c r="J162" s="495"/>
      <c r="P162" s="495"/>
      <c r="Q162" s="495"/>
      <c r="R162" s="495"/>
    </row>
    <row r="163">
      <c r="H163" s="495"/>
      <c r="I163" s="495"/>
      <c r="J163" s="495"/>
      <c r="P163" s="495"/>
      <c r="Q163" s="495"/>
      <c r="R163" s="495"/>
    </row>
    <row r="164">
      <c r="H164" s="495"/>
      <c r="I164" s="495"/>
      <c r="J164" s="495"/>
      <c r="P164" s="495"/>
      <c r="Q164" s="495"/>
      <c r="R164" s="495"/>
    </row>
    <row r="165">
      <c r="H165" s="495"/>
      <c r="I165" s="495"/>
      <c r="J165" s="495"/>
      <c r="P165" s="495"/>
      <c r="Q165" s="495"/>
      <c r="R165" s="495"/>
    </row>
    <row r="166">
      <c r="H166" s="495"/>
      <c r="I166" s="495"/>
      <c r="J166" s="495"/>
      <c r="P166" s="495"/>
      <c r="Q166" s="495"/>
      <c r="R166" s="495"/>
    </row>
    <row r="167">
      <c r="H167" s="495"/>
      <c r="I167" s="495"/>
      <c r="J167" s="495"/>
      <c r="P167" s="495"/>
      <c r="Q167" s="495"/>
      <c r="R167" s="495"/>
    </row>
    <row r="168">
      <c r="H168" s="495"/>
      <c r="I168" s="495"/>
      <c r="J168" s="495"/>
      <c r="P168" s="495"/>
      <c r="Q168" s="495"/>
      <c r="R168" s="495"/>
    </row>
    <row r="169">
      <c r="H169" s="495"/>
      <c r="I169" s="495"/>
      <c r="J169" s="495"/>
      <c r="P169" s="495"/>
      <c r="Q169" s="495"/>
      <c r="R169" s="495"/>
    </row>
    <row r="170">
      <c r="H170" s="495"/>
      <c r="I170" s="495"/>
      <c r="J170" s="495"/>
      <c r="P170" s="495"/>
      <c r="Q170" s="495"/>
      <c r="R170" s="495"/>
    </row>
    <row r="171">
      <c r="H171" s="495"/>
      <c r="I171" s="495"/>
      <c r="J171" s="495"/>
      <c r="P171" s="495"/>
      <c r="Q171" s="495"/>
      <c r="R171" s="495"/>
    </row>
    <row r="172">
      <c r="H172" s="495"/>
      <c r="I172" s="495"/>
      <c r="J172" s="495"/>
      <c r="P172" s="495"/>
      <c r="Q172" s="495"/>
      <c r="R172" s="495"/>
    </row>
    <row r="173">
      <c r="H173" s="495"/>
      <c r="I173" s="495"/>
      <c r="J173" s="495"/>
      <c r="P173" s="495"/>
      <c r="Q173" s="495"/>
      <c r="R173" s="495"/>
    </row>
    <row r="174">
      <c r="H174" s="495"/>
      <c r="I174" s="495"/>
      <c r="J174" s="495"/>
      <c r="P174" s="495"/>
      <c r="Q174" s="495"/>
      <c r="R174" s="495"/>
    </row>
    <row r="175">
      <c r="H175" s="495"/>
      <c r="I175" s="495"/>
      <c r="J175" s="495"/>
      <c r="P175" s="495"/>
      <c r="Q175" s="495"/>
      <c r="R175" s="495"/>
    </row>
    <row r="176">
      <c r="H176" s="495"/>
      <c r="I176" s="495"/>
      <c r="J176" s="495"/>
      <c r="P176" s="495"/>
      <c r="Q176" s="495"/>
      <c r="R176" s="495"/>
    </row>
    <row r="177">
      <c r="H177" s="495"/>
      <c r="I177" s="495"/>
      <c r="J177" s="495"/>
      <c r="P177" s="495"/>
      <c r="Q177" s="495"/>
      <c r="R177" s="495"/>
    </row>
    <row r="178">
      <c r="H178" s="495"/>
      <c r="I178" s="495"/>
      <c r="J178" s="495"/>
      <c r="P178" s="495"/>
      <c r="Q178" s="495"/>
      <c r="R178" s="495"/>
    </row>
    <row r="179">
      <c r="H179" s="495"/>
      <c r="I179" s="495"/>
      <c r="J179" s="495"/>
      <c r="P179" s="495"/>
      <c r="Q179" s="495"/>
      <c r="R179" s="495"/>
    </row>
    <row r="180">
      <c r="H180" s="495"/>
      <c r="I180" s="495"/>
      <c r="J180" s="495"/>
      <c r="P180" s="495"/>
      <c r="Q180" s="495"/>
      <c r="R180" s="495"/>
    </row>
    <row r="181">
      <c r="H181" s="495"/>
      <c r="I181" s="495"/>
      <c r="J181" s="495"/>
      <c r="P181" s="495"/>
      <c r="Q181" s="495"/>
      <c r="R181" s="495"/>
    </row>
    <row r="182">
      <c r="H182" s="495"/>
      <c r="I182" s="495"/>
      <c r="J182" s="495"/>
      <c r="P182" s="495"/>
      <c r="Q182" s="495"/>
      <c r="R182" s="495"/>
    </row>
    <row r="183">
      <c r="H183" s="495"/>
      <c r="I183" s="495"/>
      <c r="J183" s="495"/>
      <c r="P183" s="495"/>
      <c r="Q183" s="495"/>
      <c r="R183" s="495"/>
    </row>
    <row r="184">
      <c r="H184" s="495"/>
      <c r="I184" s="495"/>
      <c r="J184" s="495"/>
      <c r="P184" s="495"/>
      <c r="Q184" s="495"/>
      <c r="R184" s="495"/>
    </row>
    <row r="185">
      <c r="H185" s="495"/>
      <c r="I185" s="495"/>
      <c r="J185" s="495"/>
      <c r="P185" s="495"/>
      <c r="Q185" s="495"/>
      <c r="R185" s="495"/>
    </row>
    <row r="186">
      <c r="H186" s="495"/>
      <c r="I186" s="495"/>
      <c r="J186" s="495"/>
      <c r="P186" s="495"/>
      <c r="Q186" s="495"/>
      <c r="R186" s="495"/>
    </row>
    <row r="187">
      <c r="H187" s="495"/>
      <c r="I187" s="495"/>
      <c r="J187" s="495"/>
      <c r="P187" s="495"/>
      <c r="Q187" s="495"/>
      <c r="R187" s="495"/>
    </row>
    <row r="188">
      <c r="H188" s="495"/>
      <c r="I188" s="495"/>
      <c r="J188" s="495"/>
      <c r="P188" s="495"/>
      <c r="Q188" s="495"/>
      <c r="R188" s="495"/>
    </row>
    <row r="189">
      <c r="H189" s="495"/>
      <c r="I189" s="495"/>
      <c r="J189" s="495"/>
      <c r="P189" s="495"/>
      <c r="Q189" s="495"/>
      <c r="R189" s="495"/>
    </row>
    <row r="190">
      <c r="H190" s="495"/>
      <c r="I190" s="495"/>
      <c r="J190" s="495"/>
      <c r="P190" s="495"/>
      <c r="Q190" s="495"/>
      <c r="R190" s="495"/>
    </row>
    <row r="191">
      <c r="H191" s="495"/>
      <c r="I191" s="495"/>
      <c r="J191" s="495"/>
      <c r="P191" s="495"/>
      <c r="Q191" s="495"/>
      <c r="R191" s="495"/>
    </row>
    <row r="192">
      <c r="H192" s="495"/>
      <c r="I192" s="495"/>
      <c r="J192" s="495"/>
      <c r="P192" s="495"/>
      <c r="Q192" s="495"/>
      <c r="R192" s="495"/>
    </row>
    <row r="193">
      <c r="H193" s="495"/>
      <c r="I193" s="495"/>
      <c r="J193" s="495"/>
      <c r="P193" s="495"/>
      <c r="Q193" s="495"/>
      <c r="R193" s="495"/>
    </row>
    <row r="194">
      <c r="H194" s="495"/>
      <c r="I194" s="495"/>
      <c r="J194" s="495"/>
      <c r="P194" s="495"/>
      <c r="Q194" s="495"/>
      <c r="R194" s="495"/>
    </row>
    <row r="195">
      <c r="H195" s="495"/>
      <c r="I195" s="495"/>
      <c r="J195" s="495"/>
      <c r="P195" s="495"/>
      <c r="Q195" s="495"/>
      <c r="R195" s="495"/>
    </row>
    <row r="196">
      <c r="H196" s="495"/>
      <c r="I196" s="495"/>
      <c r="J196" s="495"/>
      <c r="P196" s="495"/>
      <c r="Q196" s="495"/>
      <c r="R196" s="495"/>
    </row>
    <row r="197">
      <c r="H197" s="495"/>
      <c r="I197" s="495"/>
      <c r="J197" s="495"/>
      <c r="P197" s="495"/>
      <c r="Q197" s="495"/>
      <c r="R197" s="495"/>
    </row>
    <row r="198">
      <c r="H198" s="495"/>
      <c r="I198" s="495"/>
      <c r="J198" s="495"/>
      <c r="P198" s="495"/>
      <c r="Q198" s="495"/>
      <c r="R198" s="495"/>
    </row>
    <row r="199">
      <c r="H199" s="495"/>
      <c r="I199" s="495"/>
      <c r="J199" s="495"/>
      <c r="P199" s="495"/>
      <c r="Q199" s="495"/>
      <c r="R199" s="495"/>
    </row>
    <row r="200">
      <c r="H200" s="495"/>
      <c r="I200" s="495"/>
      <c r="J200" s="495"/>
      <c r="P200" s="495"/>
      <c r="Q200" s="495"/>
      <c r="R200" s="495"/>
    </row>
    <row r="201">
      <c r="H201" s="495"/>
      <c r="I201" s="495"/>
      <c r="J201" s="495"/>
      <c r="P201" s="495"/>
      <c r="Q201" s="495"/>
      <c r="R201" s="495"/>
    </row>
    <row r="202">
      <c r="H202" s="495"/>
      <c r="I202" s="495"/>
      <c r="J202" s="495"/>
      <c r="P202" s="495"/>
      <c r="Q202" s="495"/>
      <c r="R202" s="495"/>
    </row>
    <row r="203">
      <c r="H203" s="495"/>
      <c r="I203" s="495"/>
      <c r="J203" s="495"/>
      <c r="P203" s="495"/>
      <c r="Q203" s="495"/>
      <c r="R203" s="495"/>
    </row>
    <row r="204">
      <c r="H204" s="495"/>
      <c r="I204" s="495"/>
      <c r="J204" s="495"/>
      <c r="P204" s="495"/>
      <c r="Q204" s="495"/>
      <c r="R204" s="495"/>
    </row>
    <row r="205">
      <c r="H205" s="495"/>
      <c r="I205" s="495"/>
      <c r="J205" s="495"/>
      <c r="P205" s="495"/>
      <c r="Q205" s="495"/>
      <c r="R205" s="495"/>
    </row>
    <row r="206">
      <c r="H206" s="495"/>
      <c r="I206" s="495"/>
      <c r="J206" s="495"/>
      <c r="P206" s="495"/>
      <c r="Q206" s="495"/>
      <c r="R206" s="495"/>
    </row>
    <row r="207">
      <c r="H207" s="495"/>
      <c r="I207" s="495"/>
      <c r="J207" s="495"/>
      <c r="P207" s="495"/>
      <c r="Q207" s="495"/>
      <c r="R207" s="495"/>
    </row>
    <row r="208">
      <c r="H208" s="495"/>
      <c r="I208" s="495"/>
      <c r="J208" s="495"/>
      <c r="P208" s="495"/>
      <c r="Q208" s="495"/>
      <c r="R208" s="495"/>
    </row>
    <row r="209">
      <c r="H209" s="495"/>
      <c r="I209" s="495"/>
      <c r="J209" s="495"/>
      <c r="P209" s="495"/>
      <c r="Q209" s="495"/>
      <c r="R209" s="495"/>
    </row>
    <row r="210">
      <c r="H210" s="495"/>
      <c r="I210" s="495"/>
      <c r="J210" s="495"/>
      <c r="P210" s="495"/>
      <c r="Q210" s="495"/>
      <c r="R210" s="495"/>
    </row>
    <row r="211">
      <c r="H211" s="495"/>
      <c r="I211" s="495"/>
      <c r="J211" s="495"/>
      <c r="P211" s="495"/>
      <c r="Q211" s="495"/>
      <c r="R211" s="495"/>
    </row>
    <row r="212">
      <c r="H212" s="495"/>
      <c r="I212" s="495"/>
      <c r="J212" s="495"/>
      <c r="P212" s="495"/>
      <c r="Q212" s="495"/>
      <c r="R212" s="495"/>
    </row>
    <row r="213">
      <c r="H213" s="495"/>
      <c r="I213" s="495"/>
      <c r="J213" s="495"/>
      <c r="P213" s="495"/>
      <c r="Q213" s="495"/>
      <c r="R213" s="495"/>
    </row>
    <row r="214">
      <c r="H214" s="495"/>
      <c r="I214" s="495"/>
      <c r="J214" s="495"/>
      <c r="P214" s="495"/>
      <c r="Q214" s="495"/>
      <c r="R214" s="495"/>
    </row>
    <row r="215">
      <c r="H215" s="495"/>
      <c r="I215" s="495"/>
      <c r="J215" s="495"/>
      <c r="P215" s="495"/>
      <c r="Q215" s="495"/>
      <c r="R215" s="495"/>
    </row>
    <row r="216">
      <c r="H216" s="495"/>
      <c r="I216" s="495"/>
      <c r="J216" s="495"/>
      <c r="P216" s="495"/>
      <c r="Q216" s="495"/>
      <c r="R216" s="495"/>
    </row>
    <row r="217">
      <c r="H217" s="495"/>
      <c r="I217" s="495"/>
      <c r="J217" s="495"/>
      <c r="P217" s="495"/>
      <c r="Q217" s="495"/>
      <c r="R217" s="495"/>
    </row>
    <row r="218">
      <c r="H218" s="495"/>
      <c r="I218" s="495"/>
      <c r="J218" s="495"/>
      <c r="P218" s="495"/>
      <c r="Q218" s="495"/>
      <c r="R218" s="495"/>
    </row>
    <row r="219">
      <c r="H219" s="495"/>
      <c r="I219" s="495"/>
      <c r="J219" s="495"/>
      <c r="P219" s="495"/>
      <c r="Q219" s="495"/>
      <c r="R219" s="495"/>
    </row>
    <row r="220">
      <c r="H220" s="495"/>
      <c r="I220" s="495"/>
      <c r="J220" s="495"/>
      <c r="P220" s="495"/>
      <c r="Q220" s="495"/>
      <c r="R220" s="495"/>
    </row>
    <row r="221">
      <c r="H221" s="495"/>
      <c r="I221" s="495"/>
      <c r="J221" s="495"/>
      <c r="P221" s="495"/>
      <c r="Q221" s="495"/>
      <c r="R221" s="495"/>
    </row>
    <row r="222">
      <c r="H222" s="495"/>
      <c r="I222" s="495"/>
      <c r="J222" s="495"/>
      <c r="P222" s="495"/>
      <c r="Q222" s="495"/>
      <c r="R222" s="495"/>
    </row>
    <row r="223">
      <c r="H223" s="495"/>
      <c r="I223" s="495"/>
      <c r="J223" s="495"/>
      <c r="P223" s="495"/>
      <c r="Q223" s="495"/>
      <c r="R223" s="495"/>
    </row>
    <row r="224">
      <c r="H224" s="495"/>
      <c r="I224" s="495"/>
      <c r="J224" s="495"/>
      <c r="P224" s="495"/>
      <c r="Q224" s="495"/>
      <c r="R224" s="495"/>
    </row>
    <row r="225">
      <c r="H225" s="495"/>
      <c r="I225" s="495"/>
      <c r="J225" s="495"/>
      <c r="P225" s="495"/>
      <c r="Q225" s="495"/>
      <c r="R225" s="495"/>
    </row>
    <row r="226">
      <c r="H226" s="495"/>
      <c r="I226" s="495"/>
      <c r="J226" s="495"/>
      <c r="P226" s="495"/>
      <c r="Q226" s="495"/>
      <c r="R226" s="495"/>
    </row>
    <row r="227">
      <c r="H227" s="495"/>
      <c r="I227" s="495"/>
      <c r="J227" s="495"/>
      <c r="P227" s="495"/>
      <c r="Q227" s="495"/>
      <c r="R227" s="495"/>
    </row>
    <row r="228">
      <c r="H228" s="495"/>
      <c r="I228" s="495"/>
      <c r="J228" s="495"/>
      <c r="P228" s="495"/>
      <c r="Q228" s="495"/>
      <c r="R228" s="495"/>
    </row>
    <row r="229">
      <c r="H229" s="495"/>
      <c r="I229" s="495"/>
      <c r="J229" s="495"/>
      <c r="P229" s="495"/>
      <c r="Q229" s="495"/>
      <c r="R229" s="495"/>
    </row>
    <row r="230">
      <c r="H230" s="495"/>
      <c r="I230" s="495"/>
      <c r="J230" s="495"/>
      <c r="P230" s="495"/>
      <c r="Q230" s="495"/>
      <c r="R230" s="495"/>
    </row>
    <row r="231">
      <c r="H231" s="495"/>
      <c r="I231" s="495"/>
      <c r="J231" s="495"/>
      <c r="P231" s="495"/>
      <c r="Q231" s="495"/>
      <c r="R231" s="495"/>
    </row>
    <row r="232">
      <c r="H232" s="495"/>
      <c r="I232" s="495"/>
      <c r="J232" s="495"/>
      <c r="P232" s="495"/>
      <c r="Q232" s="495"/>
      <c r="R232" s="495"/>
    </row>
    <row r="233">
      <c r="H233" s="495"/>
      <c r="I233" s="495"/>
      <c r="J233" s="495"/>
      <c r="P233" s="495"/>
      <c r="Q233" s="495"/>
      <c r="R233" s="495"/>
    </row>
    <row r="234">
      <c r="H234" s="495"/>
      <c r="I234" s="495"/>
      <c r="J234" s="495"/>
      <c r="P234" s="495"/>
      <c r="Q234" s="495"/>
      <c r="R234" s="495"/>
    </row>
    <row r="235">
      <c r="H235" s="495"/>
      <c r="I235" s="495"/>
      <c r="J235" s="495"/>
      <c r="P235" s="495"/>
      <c r="Q235" s="495"/>
      <c r="R235" s="495"/>
    </row>
    <row r="236">
      <c r="H236" s="495"/>
      <c r="I236" s="495"/>
      <c r="J236" s="495"/>
      <c r="P236" s="495"/>
      <c r="Q236" s="495"/>
      <c r="R236" s="495"/>
    </row>
    <row r="237">
      <c r="H237" s="495"/>
      <c r="I237" s="495"/>
      <c r="J237" s="495"/>
      <c r="P237" s="495"/>
      <c r="Q237" s="495"/>
      <c r="R237" s="495"/>
    </row>
    <row r="238">
      <c r="H238" s="495"/>
      <c r="I238" s="495"/>
      <c r="J238" s="495"/>
      <c r="P238" s="495"/>
      <c r="Q238" s="495"/>
      <c r="R238" s="495"/>
    </row>
    <row r="239">
      <c r="H239" s="495"/>
      <c r="I239" s="495"/>
      <c r="J239" s="495"/>
      <c r="P239" s="495"/>
      <c r="Q239" s="495"/>
      <c r="R239" s="495"/>
    </row>
    <row r="240">
      <c r="H240" s="495"/>
      <c r="I240" s="495"/>
      <c r="J240" s="495"/>
      <c r="P240" s="495"/>
      <c r="Q240" s="495"/>
      <c r="R240" s="495"/>
    </row>
    <row r="241">
      <c r="H241" s="495"/>
      <c r="I241" s="495"/>
      <c r="J241" s="495"/>
      <c r="P241" s="495"/>
      <c r="Q241" s="495"/>
      <c r="R241" s="495"/>
    </row>
    <row r="242">
      <c r="H242" s="495"/>
      <c r="I242" s="495"/>
      <c r="J242" s="495"/>
      <c r="P242" s="495"/>
      <c r="Q242" s="495"/>
      <c r="R242" s="495"/>
    </row>
    <row r="243">
      <c r="H243" s="495"/>
      <c r="I243" s="495"/>
      <c r="J243" s="495"/>
      <c r="P243" s="495"/>
      <c r="Q243" s="495"/>
      <c r="R243" s="495"/>
    </row>
    <row r="244">
      <c r="H244" s="495"/>
      <c r="I244" s="495"/>
      <c r="J244" s="495"/>
      <c r="P244" s="495"/>
      <c r="Q244" s="495"/>
      <c r="R244" s="495"/>
    </row>
    <row r="245">
      <c r="H245" s="495"/>
      <c r="I245" s="495"/>
      <c r="J245" s="495"/>
      <c r="P245" s="495"/>
      <c r="Q245" s="495"/>
      <c r="R245" s="495"/>
    </row>
    <row r="246">
      <c r="H246" s="495"/>
      <c r="I246" s="495"/>
      <c r="J246" s="495"/>
      <c r="P246" s="495"/>
      <c r="Q246" s="495"/>
      <c r="R246" s="495"/>
    </row>
    <row r="247">
      <c r="H247" s="495"/>
      <c r="I247" s="495"/>
      <c r="J247" s="495"/>
      <c r="P247" s="495"/>
      <c r="Q247" s="495"/>
      <c r="R247" s="495"/>
    </row>
    <row r="248">
      <c r="H248" s="495"/>
      <c r="I248" s="495"/>
      <c r="J248" s="495"/>
      <c r="P248" s="495"/>
      <c r="Q248" s="495"/>
      <c r="R248" s="495"/>
    </row>
    <row r="249">
      <c r="H249" s="495"/>
      <c r="I249" s="495"/>
      <c r="J249" s="495"/>
      <c r="P249" s="495"/>
      <c r="Q249" s="495"/>
      <c r="R249" s="495"/>
    </row>
    <row r="250">
      <c r="H250" s="495"/>
      <c r="I250" s="495"/>
      <c r="J250" s="495"/>
      <c r="P250" s="495"/>
      <c r="Q250" s="495"/>
      <c r="R250" s="495"/>
    </row>
    <row r="251">
      <c r="H251" s="495"/>
      <c r="I251" s="495"/>
      <c r="J251" s="495"/>
      <c r="P251" s="495"/>
      <c r="Q251" s="495"/>
      <c r="R251" s="495"/>
    </row>
    <row r="252">
      <c r="H252" s="495"/>
      <c r="I252" s="495"/>
      <c r="J252" s="495"/>
      <c r="P252" s="495"/>
      <c r="Q252" s="495"/>
      <c r="R252" s="495"/>
    </row>
    <row r="253">
      <c r="H253" s="495"/>
      <c r="I253" s="495"/>
      <c r="J253" s="495"/>
      <c r="P253" s="495"/>
      <c r="Q253" s="495"/>
      <c r="R253" s="495"/>
    </row>
    <row r="254">
      <c r="H254" s="495"/>
      <c r="I254" s="495"/>
      <c r="J254" s="495"/>
      <c r="P254" s="495"/>
      <c r="Q254" s="495"/>
      <c r="R254" s="495"/>
    </row>
    <row r="255">
      <c r="H255" s="495"/>
      <c r="I255" s="495"/>
      <c r="J255" s="495"/>
      <c r="P255" s="495"/>
      <c r="Q255" s="495"/>
      <c r="R255" s="495"/>
    </row>
    <row r="256">
      <c r="H256" s="495"/>
      <c r="I256" s="495"/>
      <c r="J256" s="495"/>
      <c r="P256" s="495"/>
      <c r="Q256" s="495"/>
      <c r="R256" s="495"/>
    </row>
    <row r="257">
      <c r="H257" s="495"/>
      <c r="I257" s="495"/>
      <c r="J257" s="495"/>
      <c r="P257" s="495"/>
      <c r="Q257" s="495"/>
      <c r="R257" s="495"/>
    </row>
    <row r="258">
      <c r="H258" s="495"/>
      <c r="I258" s="495"/>
      <c r="J258" s="495"/>
      <c r="P258" s="495"/>
      <c r="Q258" s="495"/>
      <c r="R258" s="495"/>
    </row>
    <row r="259">
      <c r="H259" s="495"/>
      <c r="I259" s="495"/>
      <c r="J259" s="495"/>
      <c r="P259" s="495"/>
      <c r="Q259" s="495"/>
      <c r="R259" s="495"/>
    </row>
    <row r="260">
      <c r="H260" s="495"/>
      <c r="I260" s="495"/>
      <c r="J260" s="495"/>
      <c r="P260" s="495"/>
      <c r="Q260" s="495"/>
      <c r="R260" s="495"/>
    </row>
    <row r="261">
      <c r="H261" s="495"/>
      <c r="I261" s="495"/>
      <c r="J261" s="495"/>
      <c r="P261" s="495"/>
      <c r="Q261" s="495"/>
      <c r="R261" s="495"/>
    </row>
    <row r="262">
      <c r="H262" s="495"/>
      <c r="I262" s="495"/>
      <c r="J262" s="495"/>
      <c r="P262" s="495"/>
      <c r="Q262" s="495"/>
      <c r="R262" s="495"/>
    </row>
    <row r="263">
      <c r="H263" s="495"/>
      <c r="I263" s="495"/>
      <c r="J263" s="495"/>
      <c r="P263" s="495"/>
      <c r="Q263" s="495"/>
      <c r="R263" s="495"/>
    </row>
    <row r="264">
      <c r="H264" s="495"/>
      <c r="I264" s="495"/>
      <c r="J264" s="495"/>
      <c r="P264" s="495"/>
      <c r="Q264" s="495"/>
      <c r="R264" s="495"/>
    </row>
    <row r="265">
      <c r="H265" s="495"/>
      <c r="I265" s="495"/>
      <c r="J265" s="495"/>
      <c r="P265" s="495"/>
      <c r="Q265" s="495"/>
      <c r="R265" s="495"/>
    </row>
    <row r="266">
      <c r="H266" s="495"/>
      <c r="I266" s="495"/>
      <c r="J266" s="495"/>
      <c r="P266" s="495"/>
      <c r="Q266" s="495"/>
      <c r="R266" s="495"/>
    </row>
    <row r="267">
      <c r="H267" s="495"/>
      <c r="I267" s="495"/>
      <c r="J267" s="495"/>
      <c r="P267" s="495"/>
      <c r="Q267" s="495"/>
      <c r="R267" s="495"/>
    </row>
    <row r="268">
      <c r="H268" s="495"/>
      <c r="I268" s="495"/>
      <c r="J268" s="495"/>
      <c r="P268" s="495"/>
      <c r="Q268" s="495"/>
      <c r="R268" s="495"/>
    </row>
    <row r="269">
      <c r="H269" s="495"/>
      <c r="I269" s="495"/>
      <c r="J269" s="495"/>
      <c r="P269" s="495"/>
      <c r="Q269" s="495"/>
      <c r="R269" s="495"/>
    </row>
    <row r="270">
      <c r="H270" s="495"/>
      <c r="I270" s="495"/>
      <c r="J270" s="495"/>
      <c r="P270" s="495"/>
      <c r="Q270" s="495"/>
      <c r="R270" s="495"/>
    </row>
    <row r="271">
      <c r="H271" s="495"/>
      <c r="I271" s="495"/>
      <c r="J271" s="495"/>
      <c r="P271" s="495"/>
      <c r="Q271" s="495"/>
      <c r="R271" s="495"/>
    </row>
    <row r="272">
      <c r="H272" s="495"/>
      <c r="I272" s="495"/>
      <c r="J272" s="495"/>
      <c r="P272" s="495"/>
      <c r="Q272" s="495"/>
      <c r="R272" s="495"/>
    </row>
    <row r="273">
      <c r="H273" s="495"/>
      <c r="I273" s="495"/>
      <c r="J273" s="495"/>
      <c r="P273" s="495"/>
      <c r="Q273" s="495"/>
      <c r="R273" s="495"/>
    </row>
    <row r="274">
      <c r="H274" s="495"/>
      <c r="I274" s="495"/>
      <c r="J274" s="495"/>
      <c r="P274" s="495"/>
      <c r="Q274" s="495"/>
      <c r="R274" s="495"/>
    </row>
    <row r="275">
      <c r="H275" s="495"/>
      <c r="I275" s="495"/>
      <c r="J275" s="495"/>
      <c r="P275" s="495"/>
      <c r="Q275" s="495"/>
      <c r="R275" s="495"/>
    </row>
    <row r="276">
      <c r="H276" s="495"/>
      <c r="I276" s="495"/>
      <c r="J276" s="495"/>
      <c r="P276" s="495"/>
      <c r="Q276" s="495"/>
      <c r="R276" s="495"/>
    </row>
    <row r="277">
      <c r="H277" s="495"/>
      <c r="I277" s="495"/>
      <c r="J277" s="495"/>
      <c r="P277" s="495"/>
      <c r="Q277" s="495"/>
      <c r="R277" s="495"/>
    </row>
    <row r="278">
      <c r="H278" s="495"/>
      <c r="I278" s="495"/>
      <c r="J278" s="495"/>
      <c r="P278" s="495"/>
      <c r="Q278" s="495"/>
      <c r="R278" s="495"/>
    </row>
    <row r="279">
      <c r="H279" s="495"/>
      <c r="I279" s="495"/>
      <c r="J279" s="495"/>
      <c r="P279" s="495"/>
      <c r="Q279" s="495"/>
      <c r="R279" s="495"/>
    </row>
    <row r="280">
      <c r="H280" s="495"/>
      <c r="I280" s="495"/>
      <c r="J280" s="495"/>
      <c r="P280" s="495"/>
      <c r="Q280" s="495"/>
      <c r="R280" s="495"/>
    </row>
    <row r="281">
      <c r="H281" s="495"/>
      <c r="I281" s="495"/>
      <c r="J281" s="495"/>
      <c r="P281" s="495"/>
      <c r="Q281" s="495"/>
      <c r="R281" s="495"/>
    </row>
    <row r="282">
      <c r="H282" s="495"/>
      <c r="I282" s="495"/>
      <c r="J282" s="495"/>
      <c r="P282" s="495"/>
      <c r="Q282" s="495"/>
      <c r="R282" s="495"/>
    </row>
    <row r="283">
      <c r="H283" s="495"/>
      <c r="I283" s="495"/>
      <c r="J283" s="495"/>
      <c r="P283" s="495"/>
      <c r="Q283" s="495"/>
      <c r="R283" s="495"/>
    </row>
    <row r="284">
      <c r="H284" s="495"/>
      <c r="I284" s="495"/>
      <c r="J284" s="495"/>
      <c r="P284" s="495"/>
      <c r="Q284" s="495"/>
      <c r="R284" s="495"/>
    </row>
    <row r="285">
      <c r="H285" s="495"/>
      <c r="I285" s="495"/>
      <c r="J285" s="495"/>
      <c r="P285" s="495"/>
      <c r="Q285" s="495"/>
      <c r="R285" s="495"/>
    </row>
    <row r="286">
      <c r="H286" s="495"/>
      <c r="I286" s="495"/>
      <c r="J286" s="495"/>
      <c r="P286" s="495"/>
      <c r="Q286" s="495"/>
      <c r="R286" s="495"/>
    </row>
    <row r="287">
      <c r="H287" s="495"/>
      <c r="I287" s="495"/>
      <c r="J287" s="495"/>
      <c r="P287" s="495"/>
      <c r="Q287" s="495"/>
      <c r="R287" s="495"/>
    </row>
    <row r="288">
      <c r="H288" s="495"/>
      <c r="I288" s="495"/>
      <c r="J288" s="495"/>
      <c r="P288" s="495"/>
      <c r="Q288" s="495"/>
      <c r="R288" s="495"/>
    </row>
    <row r="289">
      <c r="H289" s="495"/>
      <c r="I289" s="495"/>
      <c r="J289" s="495"/>
      <c r="P289" s="495"/>
      <c r="Q289" s="495"/>
      <c r="R289" s="495"/>
    </row>
    <row r="290">
      <c r="H290" s="495"/>
      <c r="I290" s="495"/>
      <c r="J290" s="495"/>
      <c r="P290" s="495"/>
      <c r="Q290" s="495"/>
      <c r="R290" s="495"/>
    </row>
    <row r="291">
      <c r="H291" s="495"/>
      <c r="I291" s="495"/>
      <c r="J291" s="495"/>
      <c r="P291" s="495"/>
      <c r="Q291" s="495"/>
      <c r="R291" s="495"/>
    </row>
    <row r="292">
      <c r="H292" s="495"/>
      <c r="I292" s="495"/>
      <c r="J292" s="495"/>
      <c r="P292" s="495"/>
      <c r="Q292" s="495"/>
      <c r="R292" s="495"/>
    </row>
    <row r="293">
      <c r="H293" s="495"/>
      <c r="I293" s="495"/>
      <c r="J293" s="495"/>
      <c r="P293" s="495"/>
      <c r="Q293" s="495"/>
      <c r="R293" s="495"/>
    </row>
    <row r="294">
      <c r="H294" s="495"/>
      <c r="I294" s="495"/>
      <c r="J294" s="495"/>
      <c r="P294" s="495"/>
      <c r="Q294" s="495"/>
      <c r="R294" s="495"/>
    </row>
    <row r="295">
      <c r="H295" s="495"/>
      <c r="I295" s="495"/>
      <c r="J295" s="495"/>
      <c r="P295" s="495"/>
      <c r="Q295" s="495"/>
      <c r="R295" s="495"/>
    </row>
    <row r="296">
      <c r="H296" s="495"/>
      <c r="I296" s="495"/>
      <c r="J296" s="495"/>
      <c r="P296" s="495"/>
      <c r="Q296" s="495"/>
      <c r="R296" s="495"/>
    </row>
    <row r="297">
      <c r="H297" s="495"/>
      <c r="I297" s="495"/>
      <c r="J297" s="495"/>
      <c r="P297" s="495"/>
      <c r="Q297" s="495"/>
      <c r="R297" s="495"/>
    </row>
    <row r="298">
      <c r="H298" s="495"/>
      <c r="I298" s="495"/>
      <c r="J298" s="495"/>
      <c r="P298" s="495"/>
      <c r="Q298" s="495"/>
      <c r="R298" s="495"/>
    </row>
    <row r="299">
      <c r="H299" s="495"/>
      <c r="I299" s="495"/>
      <c r="J299" s="495"/>
      <c r="P299" s="495"/>
      <c r="Q299" s="495"/>
      <c r="R299" s="495"/>
    </row>
    <row r="300">
      <c r="H300" s="495"/>
      <c r="I300" s="495"/>
      <c r="J300" s="495"/>
      <c r="P300" s="495"/>
      <c r="Q300" s="495"/>
      <c r="R300" s="495"/>
    </row>
    <row r="301">
      <c r="H301" s="495"/>
      <c r="I301" s="495"/>
      <c r="J301" s="495"/>
      <c r="P301" s="495"/>
      <c r="Q301" s="495"/>
      <c r="R301" s="495"/>
    </row>
    <row r="302">
      <c r="H302" s="495"/>
      <c r="I302" s="495"/>
      <c r="J302" s="495"/>
      <c r="P302" s="495"/>
      <c r="Q302" s="495"/>
      <c r="R302" s="495"/>
    </row>
    <row r="303">
      <c r="H303" s="495"/>
      <c r="I303" s="495"/>
      <c r="J303" s="495"/>
      <c r="P303" s="495"/>
      <c r="Q303" s="495"/>
      <c r="R303" s="495"/>
    </row>
    <row r="304">
      <c r="H304" s="495"/>
      <c r="I304" s="495"/>
      <c r="J304" s="495"/>
      <c r="P304" s="495"/>
      <c r="Q304" s="495"/>
      <c r="R304" s="495"/>
    </row>
    <row r="305">
      <c r="H305" s="495"/>
      <c r="I305" s="495"/>
      <c r="J305" s="495"/>
      <c r="P305" s="495"/>
      <c r="Q305" s="495"/>
      <c r="R305" s="495"/>
    </row>
    <row r="306">
      <c r="H306" s="495"/>
      <c r="I306" s="495"/>
      <c r="J306" s="495"/>
      <c r="P306" s="495"/>
      <c r="Q306" s="495"/>
      <c r="R306" s="495"/>
    </row>
    <row r="307">
      <c r="H307" s="495"/>
      <c r="I307" s="495"/>
      <c r="J307" s="495"/>
      <c r="P307" s="495"/>
      <c r="Q307" s="495"/>
      <c r="R307" s="495"/>
    </row>
    <row r="308">
      <c r="H308" s="495"/>
      <c r="I308" s="495"/>
      <c r="J308" s="495"/>
      <c r="P308" s="495"/>
      <c r="Q308" s="495"/>
      <c r="R308" s="495"/>
    </row>
    <row r="309">
      <c r="H309" s="495"/>
      <c r="I309" s="495"/>
      <c r="J309" s="495"/>
      <c r="P309" s="495"/>
      <c r="Q309" s="495"/>
      <c r="R309" s="495"/>
    </row>
    <row r="310">
      <c r="H310" s="495"/>
      <c r="I310" s="495"/>
      <c r="J310" s="495"/>
      <c r="P310" s="495"/>
      <c r="Q310" s="495"/>
      <c r="R310" s="495"/>
    </row>
    <row r="311">
      <c r="H311" s="495"/>
      <c r="I311" s="495"/>
      <c r="J311" s="495"/>
      <c r="P311" s="495"/>
      <c r="Q311" s="495"/>
      <c r="R311" s="495"/>
    </row>
    <row r="312">
      <c r="H312" s="495"/>
      <c r="I312" s="495"/>
      <c r="J312" s="495"/>
      <c r="P312" s="495"/>
      <c r="Q312" s="495"/>
      <c r="R312" s="495"/>
    </row>
    <row r="313">
      <c r="H313" s="495"/>
      <c r="I313" s="495"/>
      <c r="J313" s="495"/>
      <c r="P313" s="495"/>
      <c r="Q313" s="495"/>
      <c r="R313" s="495"/>
    </row>
    <row r="314">
      <c r="H314" s="495"/>
      <c r="I314" s="495"/>
      <c r="J314" s="495"/>
      <c r="P314" s="495"/>
      <c r="Q314" s="495"/>
      <c r="R314" s="495"/>
    </row>
    <row r="315">
      <c r="H315" s="495"/>
      <c r="I315" s="495"/>
      <c r="J315" s="495"/>
      <c r="P315" s="495"/>
      <c r="Q315" s="495"/>
      <c r="R315" s="495"/>
    </row>
    <row r="316">
      <c r="H316" s="495"/>
      <c r="I316" s="495"/>
      <c r="J316" s="495"/>
      <c r="P316" s="495"/>
      <c r="Q316" s="495"/>
      <c r="R316" s="495"/>
    </row>
    <row r="317">
      <c r="H317" s="495"/>
      <c r="I317" s="495"/>
      <c r="J317" s="495"/>
      <c r="P317" s="495"/>
      <c r="Q317" s="495"/>
      <c r="R317" s="495"/>
    </row>
    <row r="318">
      <c r="H318" s="495"/>
      <c r="I318" s="495"/>
      <c r="J318" s="495"/>
      <c r="P318" s="495"/>
      <c r="Q318" s="495"/>
      <c r="R318" s="495"/>
    </row>
    <row r="319">
      <c r="H319" s="495"/>
      <c r="I319" s="495"/>
      <c r="J319" s="495"/>
      <c r="P319" s="495"/>
      <c r="Q319" s="495"/>
      <c r="R319" s="495"/>
    </row>
    <row r="320">
      <c r="H320" s="495"/>
      <c r="I320" s="495"/>
      <c r="J320" s="495"/>
      <c r="P320" s="495"/>
      <c r="Q320" s="495"/>
      <c r="R320" s="495"/>
    </row>
    <row r="321">
      <c r="H321" s="495"/>
      <c r="I321" s="495"/>
      <c r="J321" s="495"/>
      <c r="P321" s="495"/>
      <c r="Q321" s="495"/>
      <c r="R321" s="495"/>
    </row>
    <row r="322">
      <c r="H322" s="495"/>
      <c r="I322" s="495"/>
      <c r="J322" s="495"/>
      <c r="P322" s="495"/>
      <c r="Q322" s="495"/>
      <c r="R322" s="495"/>
    </row>
    <row r="323">
      <c r="H323" s="495"/>
      <c r="I323" s="495"/>
      <c r="J323" s="495"/>
      <c r="P323" s="495"/>
      <c r="Q323" s="495"/>
      <c r="R323" s="495"/>
    </row>
    <row r="324">
      <c r="H324" s="495"/>
      <c r="I324" s="495"/>
      <c r="J324" s="495"/>
      <c r="P324" s="495"/>
      <c r="Q324" s="495"/>
      <c r="R324" s="495"/>
    </row>
    <row r="325">
      <c r="H325" s="495"/>
      <c r="I325" s="495"/>
      <c r="J325" s="495"/>
      <c r="P325" s="495"/>
      <c r="Q325" s="495"/>
      <c r="R325" s="495"/>
    </row>
    <row r="326">
      <c r="H326" s="495"/>
      <c r="I326" s="495"/>
      <c r="J326" s="495"/>
      <c r="P326" s="495"/>
      <c r="Q326" s="495"/>
      <c r="R326" s="495"/>
    </row>
    <row r="327">
      <c r="H327" s="495"/>
      <c r="I327" s="495"/>
      <c r="J327" s="495"/>
      <c r="P327" s="495"/>
      <c r="Q327" s="495"/>
      <c r="R327" s="495"/>
    </row>
    <row r="328">
      <c r="H328" s="495"/>
      <c r="I328" s="495"/>
      <c r="J328" s="495"/>
      <c r="P328" s="495"/>
      <c r="Q328" s="495"/>
      <c r="R328" s="495"/>
    </row>
    <row r="329">
      <c r="H329" s="495"/>
      <c r="I329" s="495"/>
      <c r="J329" s="495"/>
      <c r="P329" s="495"/>
      <c r="Q329" s="495"/>
      <c r="R329" s="495"/>
    </row>
    <row r="330">
      <c r="H330" s="495"/>
      <c r="I330" s="495"/>
      <c r="J330" s="495"/>
      <c r="P330" s="495"/>
      <c r="Q330" s="495"/>
      <c r="R330" s="495"/>
    </row>
    <row r="331">
      <c r="H331" s="495"/>
      <c r="I331" s="495"/>
      <c r="J331" s="495"/>
      <c r="P331" s="495"/>
      <c r="Q331" s="495"/>
      <c r="R331" s="495"/>
    </row>
    <row r="332">
      <c r="H332" s="495"/>
      <c r="I332" s="495"/>
      <c r="J332" s="495"/>
      <c r="P332" s="495"/>
      <c r="Q332" s="495"/>
      <c r="R332" s="495"/>
    </row>
    <row r="333">
      <c r="H333" s="495"/>
      <c r="I333" s="495"/>
      <c r="J333" s="495"/>
      <c r="P333" s="495"/>
      <c r="Q333" s="495"/>
      <c r="R333" s="495"/>
    </row>
    <row r="334">
      <c r="H334" s="495"/>
      <c r="I334" s="495"/>
      <c r="J334" s="495"/>
      <c r="P334" s="495"/>
      <c r="Q334" s="495"/>
      <c r="R334" s="495"/>
    </row>
    <row r="335">
      <c r="H335" s="495"/>
      <c r="I335" s="495"/>
      <c r="J335" s="495"/>
      <c r="P335" s="495"/>
      <c r="Q335" s="495"/>
      <c r="R335" s="495"/>
    </row>
    <row r="336">
      <c r="H336" s="495"/>
      <c r="I336" s="495"/>
      <c r="J336" s="495"/>
      <c r="P336" s="495"/>
      <c r="Q336" s="495"/>
      <c r="R336" s="495"/>
    </row>
    <row r="337">
      <c r="H337" s="495"/>
      <c r="I337" s="495"/>
      <c r="J337" s="495"/>
      <c r="P337" s="495"/>
      <c r="Q337" s="495"/>
      <c r="R337" s="495"/>
    </row>
    <row r="338">
      <c r="H338" s="495"/>
      <c r="I338" s="495"/>
      <c r="J338" s="495"/>
      <c r="P338" s="495"/>
      <c r="Q338" s="495"/>
      <c r="R338" s="495"/>
    </row>
    <row r="339">
      <c r="H339" s="495"/>
      <c r="I339" s="495"/>
      <c r="J339" s="495"/>
      <c r="P339" s="495"/>
      <c r="Q339" s="495"/>
      <c r="R339" s="495"/>
    </row>
    <row r="340">
      <c r="H340" s="495"/>
      <c r="I340" s="495"/>
      <c r="J340" s="495"/>
      <c r="P340" s="495"/>
      <c r="Q340" s="495"/>
      <c r="R340" s="495"/>
    </row>
    <row r="341">
      <c r="H341" s="495"/>
      <c r="I341" s="495"/>
      <c r="J341" s="495"/>
      <c r="P341" s="495"/>
      <c r="Q341" s="495"/>
      <c r="R341" s="495"/>
    </row>
    <row r="342">
      <c r="H342" s="495"/>
      <c r="I342" s="495"/>
      <c r="J342" s="495"/>
      <c r="P342" s="495"/>
      <c r="Q342" s="495"/>
      <c r="R342" s="495"/>
    </row>
    <row r="343">
      <c r="H343" s="495"/>
      <c r="I343" s="495"/>
      <c r="J343" s="495"/>
      <c r="P343" s="495"/>
      <c r="Q343" s="495"/>
      <c r="R343" s="495"/>
    </row>
    <row r="344">
      <c r="H344" s="495"/>
      <c r="I344" s="495"/>
      <c r="J344" s="495"/>
      <c r="P344" s="495"/>
      <c r="Q344" s="495"/>
      <c r="R344" s="495"/>
    </row>
    <row r="345">
      <c r="H345" s="495"/>
      <c r="I345" s="495"/>
      <c r="J345" s="495"/>
      <c r="P345" s="495"/>
      <c r="Q345" s="495"/>
      <c r="R345" s="495"/>
    </row>
    <row r="346">
      <c r="H346" s="495"/>
      <c r="I346" s="495"/>
      <c r="J346" s="495"/>
      <c r="P346" s="495"/>
      <c r="Q346" s="495"/>
      <c r="R346" s="495"/>
    </row>
    <row r="347">
      <c r="H347" s="495"/>
      <c r="I347" s="495"/>
      <c r="J347" s="495"/>
      <c r="P347" s="495"/>
      <c r="Q347" s="495"/>
      <c r="R347" s="495"/>
    </row>
    <row r="348">
      <c r="H348" s="495"/>
      <c r="I348" s="495"/>
      <c r="J348" s="495"/>
      <c r="P348" s="495"/>
      <c r="Q348" s="495"/>
      <c r="R348" s="495"/>
    </row>
    <row r="349">
      <c r="H349" s="495"/>
      <c r="I349" s="495"/>
      <c r="J349" s="495"/>
      <c r="P349" s="495"/>
      <c r="Q349" s="495"/>
      <c r="R349" s="495"/>
    </row>
    <row r="350">
      <c r="H350" s="495"/>
      <c r="I350" s="495"/>
      <c r="J350" s="495"/>
      <c r="P350" s="495"/>
      <c r="Q350" s="495"/>
      <c r="R350" s="495"/>
    </row>
    <row r="351">
      <c r="H351" s="495"/>
      <c r="I351" s="495"/>
      <c r="J351" s="495"/>
      <c r="P351" s="495"/>
      <c r="Q351" s="495"/>
      <c r="R351" s="495"/>
    </row>
    <row r="352">
      <c r="H352" s="495"/>
      <c r="I352" s="495"/>
      <c r="J352" s="495"/>
      <c r="P352" s="495"/>
      <c r="Q352" s="495"/>
      <c r="R352" s="495"/>
    </row>
    <row r="353">
      <c r="H353" s="495"/>
      <c r="I353" s="495"/>
      <c r="J353" s="495"/>
      <c r="P353" s="495"/>
      <c r="Q353" s="495"/>
      <c r="R353" s="495"/>
    </row>
    <row r="354">
      <c r="H354" s="495"/>
      <c r="I354" s="495"/>
      <c r="J354" s="495"/>
      <c r="P354" s="495"/>
      <c r="Q354" s="495"/>
      <c r="R354" s="495"/>
    </row>
    <row r="355">
      <c r="H355" s="495"/>
      <c r="I355" s="495"/>
      <c r="J355" s="495"/>
      <c r="P355" s="495"/>
      <c r="Q355" s="495"/>
      <c r="R355" s="495"/>
    </row>
    <row r="356">
      <c r="H356" s="495"/>
      <c r="I356" s="495"/>
      <c r="J356" s="495"/>
      <c r="P356" s="495"/>
      <c r="Q356" s="495"/>
      <c r="R356" s="495"/>
    </row>
    <row r="357">
      <c r="H357" s="495"/>
      <c r="I357" s="495"/>
      <c r="J357" s="495"/>
      <c r="P357" s="495"/>
      <c r="Q357" s="495"/>
      <c r="R357" s="495"/>
    </row>
    <row r="358">
      <c r="H358" s="495"/>
      <c r="I358" s="495"/>
      <c r="J358" s="495"/>
      <c r="P358" s="495"/>
      <c r="Q358" s="495"/>
      <c r="R358" s="495"/>
    </row>
    <row r="359">
      <c r="H359" s="495"/>
      <c r="I359" s="495"/>
      <c r="J359" s="495"/>
      <c r="P359" s="495"/>
      <c r="Q359" s="495"/>
      <c r="R359" s="495"/>
    </row>
    <row r="360">
      <c r="H360" s="495"/>
      <c r="I360" s="495"/>
      <c r="J360" s="495"/>
      <c r="P360" s="495"/>
      <c r="Q360" s="495"/>
      <c r="R360" s="495"/>
    </row>
    <row r="361">
      <c r="H361" s="495"/>
      <c r="I361" s="495"/>
      <c r="J361" s="495"/>
      <c r="P361" s="495"/>
      <c r="Q361" s="495"/>
      <c r="R361" s="495"/>
    </row>
    <row r="362">
      <c r="H362" s="495"/>
      <c r="I362" s="495"/>
      <c r="J362" s="495"/>
      <c r="P362" s="495"/>
      <c r="Q362" s="495"/>
      <c r="R362" s="495"/>
    </row>
    <row r="363">
      <c r="H363" s="495"/>
      <c r="I363" s="495"/>
      <c r="J363" s="495"/>
      <c r="P363" s="495"/>
      <c r="Q363" s="495"/>
      <c r="R363" s="495"/>
    </row>
    <row r="364">
      <c r="H364" s="495"/>
      <c r="I364" s="495"/>
      <c r="J364" s="495"/>
      <c r="P364" s="495"/>
      <c r="Q364" s="495"/>
      <c r="R364" s="495"/>
    </row>
    <row r="365">
      <c r="H365" s="495"/>
      <c r="I365" s="495"/>
      <c r="J365" s="495"/>
      <c r="P365" s="495"/>
      <c r="Q365" s="495"/>
      <c r="R365" s="495"/>
    </row>
    <row r="366">
      <c r="H366" s="495"/>
      <c r="I366" s="495"/>
      <c r="J366" s="495"/>
      <c r="P366" s="495"/>
      <c r="Q366" s="495"/>
      <c r="R366" s="495"/>
    </row>
    <row r="367">
      <c r="H367" s="495"/>
      <c r="I367" s="495"/>
      <c r="J367" s="495"/>
      <c r="P367" s="495"/>
      <c r="Q367" s="495"/>
      <c r="R367" s="495"/>
    </row>
    <row r="368">
      <c r="H368" s="495"/>
      <c r="I368" s="495"/>
      <c r="J368" s="495"/>
      <c r="P368" s="495"/>
      <c r="Q368" s="495"/>
      <c r="R368" s="495"/>
    </row>
    <row r="369">
      <c r="H369" s="495"/>
      <c r="I369" s="495"/>
      <c r="J369" s="495"/>
      <c r="P369" s="495"/>
      <c r="Q369" s="495"/>
      <c r="R369" s="495"/>
    </row>
    <row r="370">
      <c r="H370" s="495"/>
      <c r="I370" s="495"/>
      <c r="J370" s="495"/>
      <c r="P370" s="495"/>
      <c r="Q370" s="495"/>
      <c r="R370" s="495"/>
    </row>
    <row r="371">
      <c r="H371" s="495"/>
      <c r="I371" s="495"/>
      <c r="J371" s="495"/>
      <c r="P371" s="495"/>
      <c r="Q371" s="495"/>
      <c r="R371" s="495"/>
    </row>
    <row r="372">
      <c r="H372" s="495"/>
      <c r="I372" s="495"/>
      <c r="J372" s="495"/>
      <c r="P372" s="495"/>
      <c r="Q372" s="495"/>
      <c r="R372" s="495"/>
    </row>
    <row r="373">
      <c r="H373" s="495"/>
      <c r="I373" s="495"/>
      <c r="J373" s="495"/>
      <c r="P373" s="495"/>
      <c r="Q373" s="495"/>
      <c r="R373" s="495"/>
    </row>
    <row r="374">
      <c r="H374" s="495"/>
      <c r="I374" s="495"/>
      <c r="J374" s="495"/>
      <c r="P374" s="495"/>
      <c r="Q374" s="495"/>
      <c r="R374" s="495"/>
    </row>
    <row r="375">
      <c r="H375" s="495"/>
      <c r="I375" s="495"/>
      <c r="J375" s="495"/>
      <c r="P375" s="495"/>
      <c r="Q375" s="495"/>
      <c r="R375" s="495"/>
    </row>
    <row r="376">
      <c r="H376" s="495"/>
      <c r="I376" s="495"/>
      <c r="J376" s="495"/>
      <c r="P376" s="495"/>
      <c r="Q376" s="495"/>
      <c r="R376" s="495"/>
    </row>
    <row r="377">
      <c r="H377" s="495"/>
      <c r="I377" s="495"/>
      <c r="J377" s="495"/>
      <c r="P377" s="495"/>
      <c r="Q377" s="495"/>
      <c r="R377" s="495"/>
    </row>
    <row r="378">
      <c r="H378" s="495"/>
      <c r="I378" s="495"/>
      <c r="J378" s="495"/>
      <c r="P378" s="495"/>
      <c r="Q378" s="495"/>
      <c r="R378" s="495"/>
    </row>
    <row r="379">
      <c r="H379" s="495"/>
      <c r="I379" s="495"/>
      <c r="J379" s="495"/>
      <c r="P379" s="495"/>
      <c r="Q379" s="495"/>
      <c r="R379" s="495"/>
    </row>
    <row r="380">
      <c r="H380" s="495"/>
      <c r="I380" s="495"/>
      <c r="J380" s="495"/>
      <c r="P380" s="495"/>
      <c r="Q380" s="495"/>
      <c r="R380" s="495"/>
    </row>
    <row r="381">
      <c r="H381" s="495"/>
      <c r="I381" s="495"/>
      <c r="J381" s="495"/>
      <c r="P381" s="495"/>
      <c r="Q381" s="495"/>
      <c r="R381" s="495"/>
    </row>
    <row r="382">
      <c r="H382" s="495"/>
      <c r="I382" s="495"/>
      <c r="J382" s="495"/>
      <c r="P382" s="495"/>
      <c r="Q382" s="495"/>
      <c r="R382" s="495"/>
    </row>
    <row r="383">
      <c r="H383" s="495"/>
      <c r="I383" s="495"/>
      <c r="J383" s="495"/>
      <c r="P383" s="495"/>
      <c r="Q383" s="495"/>
      <c r="R383" s="495"/>
    </row>
    <row r="384">
      <c r="H384" s="495"/>
      <c r="I384" s="495"/>
      <c r="J384" s="495"/>
      <c r="P384" s="495"/>
      <c r="Q384" s="495"/>
      <c r="R384" s="495"/>
    </row>
    <row r="385">
      <c r="H385" s="495"/>
      <c r="I385" s="495"/>
      <c r="J385" s="495"/>
      <c r="P385" s="495"/>
      <c r="Q385" s="495"/>
      <c r="R385" s="495"/>
    </row>
    <row r="386">
      <c r="H386" s="495"/>
      <c r="I386" s="495"/>
      <c r="J386" s="495"/>
      <c r="P386" s="495"/>
      <c r="Q386" s="495"/>
      <c r="R386" s="495"/>
    </row>
    <row r="387">
      <c r="H387" s="495"/>
      <c r="I387" s="495"/>
      <c r="J387" s="495"/>
      <c r="P387" s="495"/>
      <c r="Q387" s="495"/>
      <c r="R387" s="495"/>
    </row>
    <row r="388">
      <c r="H388" s="495"/>
      <c r="I388" s="495"/>
      <c r="J388" s="495"/>
      <c r="P388" s="495"/>
      <c r="Q388" s="495"/>
      <c r="R388" s="495"/>
    </row>
    <row r="389">
      <c r="H389" s="495"/>
      <c r="I389" s="495"/>
      <c r="J389" s="495"/>
      <c r="P389" s="495"/>
      <c r="Q389" s="495"/>
      <c r="R389" s="495"/>
    </row>
    <row r="390">
      <c r="H390" s="495"/>
      <c r="I390" s="495"/>
      <c r="J390" s="495"/>
      <c r="P390" s="495"/>
      <c r="Q390" s="495"/>
      <c r="R390" s="495"/>
    </row>
    <row r="391">
      <c r="H391" s="495"/>
      <c r="I391" s="495"/>
      <c r="J391" s="495"/>
      <c r="P391" s="495"/>
      <c r="Q391" s="495"/>
      <c r="R391" s="495"/>
    </row>
    <row r="392">
      <c r="H392" s="495"/>
      <c r="I392" s="495"/>
      <c r="J392" s="495"/>
      <c r="P392" s="495"/>
      <c r="Q392" s="495"/>
      <c r="R392" s="495"/>
    </row>
    <row r="393">
      <c r="H393" s="495"/>
      <c r="I393" s="495"/>
      <c r="J393" s="495"/>
      <c r="P393" s="495"/>
      <c r="Q393" s="495"/>
      <c r="R393" s="495"/>
    </row>
    <row r="394">
      <c r="H394" s="495"/>
      <c r="I394" s="495"/>
      <c r="J394" s="495"/>
      <c r="P394" s="495"/>
      <c r="Q394" s="495"/>
      <c r="R394" s="495"/>
    </row>
    <row r="395">
      <c r="H395" s="495"/>
      <c r="I395" s="495"/>
      <c r="J395" s="495"/>
      <c r="P395" s="495"/>
      <c r="Q395" s="495"/>
      <c r="R395" s="495"/>
    </row>
    <row r="396">
      <c r="H396" s="495"/>
      <c r="I396" s="495"/>
      <c r="J396" s="495"/>
      <c r="P396" s="495"/>
      <c r="Q396" s="495"/>
      <c r="R396" s="495"/>
    </row>
    <row r="397">
      <c r="H397" s="495"/>
      <c r="I397" s="495"/>
      <c r="J397" s="495"/>
      <c r="P397" s="495"/>
      <c r="Q397" s="495"/>
      <c r="R397" s="495"/>
    </row>
    <row r="398">
      <c r="H398" s="495"/>
      <c r="I398" s="495"/>
      <c r="J398" s="495"/>
      <c r="P398" s="495"/>
      <c r="Q398" s="495"/>
      <c r="R398" s="495"/>
    </row>
    <row r="399">
      <c r="H399" s="495"/>
      <c r="I399" s="495"/>
      <c r="J399" s="495"/>
      <c r="P399" s="495"/>
      <c r="Q399" s="495"/>
      <c r="R399" s="495"/>
    </row>
    <row r="400">
      <c r="H400" s="495"/>
      <c r="I400" s="495"/>
      <c r="J400" s="495"/>
      <c r="P400" s="495"/>
      <c r="Q400" s="495"/>
      <c r="R400" s="495"/>
    </row>
    <row r="401">
      <c r="H401" s="495"/>
      <c r="I401" s="495"/>
      <c r="J401" s="495"/>
      <c r="P401" s="495"/>
      <c r="Q401" s="495"/>
      <c r="R401" s="495"/>
    </row>
    <row r="402">
      <c r="H402" s="495"/>
      <c r="I402" s="495"/>
      <c r="J402" s="495"/>
      <c r="P402" s="495"/>
      <c r="Q402" s="495"/>
      <c r="R402" s="495"/>
    </row>
    <row r="403">
      <c r="H403" s="495"/>
      <c r="I403" s="495"/>
      <c r="J403" s="495"/>
      <c r="P403" s="495"/>
      <c r="Q403" s="495"/>
      <c r="R403" s="495"/>
    </row>
    <row r="404">
      <c r="H404" s="495"/>
      <c r="I404" s="495"/>
      <c r="J404" s="495"/>
      <c r="P404" s="495"/>
      <c r="Q404" s="495"/>
      <c r="R404" s="495"/>
    </row>
    <row r="405">
      <c r="H405" s="495"/>
      <c r="I405" s="495"/>
      <c r="J405" s="495"/>
      <c r="P405" s="495"/>
      <c r="Q405" s="495"/>
      <c r="R405" s="495"/>
    </row>
    <row r="406">
      <c r="H406" s="495"/>
      <c r="I406" s="495"/>
      <c r="J406" s="495"/>
      <c r="P406" s="495"/>
      <c r="Q406" s="495"/>
      <c r="R406" s="495"/>
    </row>
    <row r="407">
      <c r="H407" s="495"/>
      <c r="I407" s="495"/>
      <c r="J407" s="495"/>
      <c r="P407" s="495"/>
      <c r="Q407" s="495"/>
      <c r="R407" s="495"/>
    </row>
    <row r="408">
      <c r="H408" s="495"/>
      <c r="I408" s="495"/>
      <c r="J408" s="495"/>
      <c r="P408" s="495"/>
      <c r="Q408" s="495"/>
      <c r="R408" s="495"/>
    </row>
    <row r="409">
      <c r="H409" s="495"/>
      <c r="I409" s="495"/>
      <c r="J409" s="495"/>
      <c r="P409" s="495"/>
      <c r="Q409" s="495"/>
      <c r="R409" s="495"/>
    </row>
    <row r="410">
      <c r="H410" s="495"/>
      <c r="I410" s="495"/>
      <c r="J410" s="495"/>
      <c r="P410" s="495"/>
      <c r="Q410" s="495"/>
      <c r="R410" s="495"/>
    </row>
    <row r="411">
      <c r="H411" s="495"/>
      <c r="I411" s="495"/>
      <c r="J411" s="495"/>
      <c r="P411" s="495"/>
      <c r="Q411" s="495"/>
      <c r="R411" s="495"/>
    </row>
    <row r="412">
      <c r="H412" s="495"/>
      <c r="I412" s="495"/>
      <c r="J412" s="495"/>
      <c r="P412" s="495"/>
      <c r="Q412" s="495"/>
      <c r="R412" s="495"/>
    </row>
    <row r="413">
      <c r="H413" s="495"/>
      <c r="I413" s="495"/>
      <c r="J413" s="495"/>
      <c r="P413" s="495"/>
      <c r="Q413" s="495"/>
      <c r="R413" s="495"/>
    </row>
    <row r="414">
      <c r="H414" s="495"/>
      <c r="I414" s="495"/>
      <c r="J414" s="495"/>
      <c r="P414" s="495"/>
      <c r="Q414" s="495"/>
      <c r="R414" s="495"/>
    </row>
    <row r="415">
      <c r="H415" s="495"/>
      <c r="I415" s="495"/>
      <c r="J415" s="495"/>
      <c r="P415" s="495"/>
      <c r="Q415" s="495"/>
      <c r="R415" s="495"/>
    </row>
    <row r="416">
      <c r="H416" s="495"/>
      <c r="I416" s="495"/>
      <c r="J416" s="495"/>
      <c r="P416" s="495"/>
      <c r="Q416" s="495"/>
      <c r="R416" s="495"/>
    </row>
    <row r="417">
      <c r="H417" s="495"/>
      <c r="I417" s="495"/>
      <c r="J417" s="495"/>
      <c r="P417" s="495"/>
      <c r="Q417" s="495"/>
      <c r="R417" s="495"/>
    </row>
    <row r="418">
      <c r="H418" s="495"/>
      <c r="I418" s="495"/>
      <c r="J418" s="495"/>
      <c r="P418" s="495"/>
      <c r="Q418" s="495"/>
      <c r="R418" s="495"/>
    </row>
    <row r="419">
      <c r="H419" s="495"/>
      <c r="I419" s="495"/>
      <c r="J419" s="495"/>
      <c r="P419" s="495"/>
      <c r="Q419" s="495"/>
      <c r="R419" s="495"/>
    </row>
    <row r="420">
      <c r="H420" s="495"/>
      <c r="I420" s="495"/>
      <c r="J420" s="495"/>
      <c r="P420" s="495"/>
      <c r="Q420" s="495"/>
      <c r="R420" s="495"/>
    </row>
    <row r="421">
      <c r="H421" s="495"/>
      <c r="I421" s="495"/>
      <c r="J421" s="495"/>
      <c r="P421" s="495"/>
      <c r="Q421" s="495"/>
      <c r="R421" s="495"/>
    </row>
    <row r="422">
      <c r="H422" s="495"/>
      <c r="I422" s="495"/>
      <c r="J422" s="495"/>
      <c r="P422" s="495"/>
      <c r="Q422" s="495"/>
      <c r="R422" s="495"/>
    </row>
    <row r="423">
      <c r="H423" s="495"/>
      <c r="I423" s="495"/>
      <c r="J423" s="495"/>
      <c r="P423" s="495"/>
      <c r="Q423" s="495"/>
      <c r="R423" s="495"/>
    </row>
    <row r="424">
      <c r="H424" s="495"/>
      <c r="I424" s="495"/>
      <c r="J424" s="495"/>
      <c r="P424" s="495"/>
      <c r="Q424" s="495"/>
      <c r="R424" s="495"/>
    </row>
    <row r="425">
      <c r="H425" s="495"/>
      <c r="I425" s="495"/>
      <c r="J425" s="495"/>
      <c r="P425" s="495"/>
      <c r="Q425" s="495"/>
      <c r="R425" s="495"/>
    </row>
    <row r="426">
      <c r="H426" s="495"/>
      <c r="I426" s="495"/>
      <c r="J426" s="495"/>
      <c r="P426" s="495"/>
      <c r="Q426" s="495"/>
      <c r="R426" s="495"/>
    </row>
    <row r="427">
      <c r="H427" s="495"/>
      <c r="I427" s="495"/>
      <c r="J427" s="495"/>
      <c r="P427" s="495"/>
      <c r="Q427" s="495"/>
      <c r="R427" s="495"/>
    </row>
    <row r="428">
      <c r="H428" s="495"/>
      <c r="I428" s="495"/>
      <c r="J428" s="495"/>
      <c r="P428" s="495"/>
      <c r="Q428" s="495"/>
      <c r="R428" s="495"/>
    </row>
    <row r="429">
      <c r="H429" s="495"/>
      <c r="I429" s="495"/>
      <c r="J429" s="495"/>
      <c r="P429" s="495"/>
      <c r="Q429" s="495"/>
      <c r="R429" s="495"/>
    </row>
    <row r="430">
      <c r="H430" s="495"/>
      <c r="I430" s="495"/>
      <c r="J430" s="495"/>
      <c r="P430" s="495"/>
      <c r="Q430" s="495"/>
      <c r="R430" s="495"/>
    </row>
    <row r="431">
      <c r="H431" s="495"/>
      <c r="I431" s="495"/>
      <c r="J431" s="495"/>
      <c r="P431" s="495"/>
      <c r="Q431" s="495"/>
      <c r="R431" s="495"/>
    </row>
    <row r="432">
      <c r="H432" s="495"/>
      <c r="I432" s="495"/>
      <c r="J432" s="495"/>
      <c r="P432" s="495"/>
      <c r="Q432" s="495"/>
      <c r="R432" s="495"/>
    </row>
    <row r="433">
      <c r="H433" s="495"/>
      <c r="I433" s="495"/>
      <c r="J433" s="495"/>
      <c r="P433" s="495"/>
      <c r="Q433" s="495"/>
      <c r="R433" s="495"/>
    </row>
    <row r="434">
      <c r="H434" s="495"/>
      <c r="I434" s="495"/>
      <c r="J434" s="495"/>
      <c r="P434" s="495"/>
      <c r="Q434" s="495"/>
      <c r="R434" s="495"/>
    </row>
    <row r="435">
      <c r="H435" s="495"/>
      <c r="I435" s="495"/>
      <c r="J435" s="495"/>
      <c r="P435" s="495"/>
      <c r="Q435" s="495"/>
      <c r="R435" s="495"/>
    </row>
    <row r="436">
      <c r="H436" s="495"/>
      <c r="I436" s="495"/>
      <c r="J436" s="495"/>
      <c r="P436" s="495"/>
      <c r="Q436" s="495"/>
      <c r="R436" s="495"/>
    </row>
    <row r="437">
      <c r="H437" s="495"/>
      <c r="I437" s="495"/>
      <c r="J437" s="495"/>
      <c r="P437" s="495"/>
      <c r="Q437" s="495"/>
      <c r="R437" s="495"/>
    </row>
    <row r="438">
      <c r="H438" s="495"/>
      <c r="I438" s="495"/>
      <c r="J438" s="495"/>
      <c r="P438" s="495"/>
      <c r="Q438" s="495"/>
      <c r="R438" s="495"/>
    </row>
    <row r="439">
      <c r="H439" s="495"/>
      <c r="I439" s="495"/>
      <c r="J439" s="495"/>
      <c r="P439" s="495"/>
      <c r="Q439" s="495"/>
      <c r="R439" s="495"/>
    </row>
    <row r="440">
      <c r="H440" s="495"/>
      <c r="I440" s="495"/>
      <c r="J440" s="495"/>
      <c r="P440" s="495"/>
      <c r="Q440" s="495"/>
      <c r="R440" s="495"/>
    </row>
    <row r="441">
      <c r="H441" s="495"/>
      <c r="I441" s="495"/>
      <c r="J441" s="495"/>
      <c r="P441" s="495"/>
      <c r="Q441" s="495"/>
      <c r="R441" s="495"/>
    </row>
    <row r="442">
      <c r="H442" s="495"/>
      <c r="I442" s="495"/>
      <c r="J442" s="495"/>
      <c r="P442" s="495"/>
      <c r="Q442" s="495"/>
      <c r="R442" s="495"/>
    </row>
    <row r="443">
      <c r="H443" s="495"/>
      <c r="I443" s="495"/>
      <c r="J443" s="495"/>
      <c r="P443" s="495"/>
      <c r="Q443" s="495"/>
      <c r="R443" s="495"/>
    </row>
    <row r="444">
      <c r="H444" s="495"/>
      <c r="I444" s="495"/>
      <c r="J444" s="495"/>
      <c r="P444" s="495"/>
      <c r="Q444" s="495"/>
      <c r="R444" s="495"/>
    </row>
    <row r="445">
      <c r="H445" s="495"/>
      <c r="I445" s="495"/>
      <c r="J445" s="495"/>
      <c r="P445" s="495"/>
      <c r="Q445" s="495"/>
      <c r="R445" s="495"/>
    </row>
    <row r="446">
      <c r="H446" s="495"/>
      <c r="I446" s="495"/>
      <c r="J446" s="495"/>
      <c r="P446" s="495"/>
      <c r="Q446" s="495"/>
      <c r="R446" s="495"/>
    </row>
    <row r="447">
      <c r="H447" s="495"/>
      <c r="I447" s="495"/>
      <c r="J447" s="495"/>
      <c r="P447" s="495"/>
      <c r="Q447" s="495"/>
      <c r="R447" s="495"/>
    </row>
    <row r="448">
      <c r="H448" s="495"/>
      <c r="I448" s="495"/>
      <c r="J448" s="495"/>
      <c r="P448" s="495"/>
      <c r="Q448" s="495"/>
      <c r="R448" s="495"/>
    </row>
    <row r="449">
      <c r="H449" s="495"/>
      <c r="I449" s="495"/>
      <c r="J449" s="495"/>
      <c r="P449" s="495"/>
      <c r="Q449" s="495"/>
      <c r="R449" s="495"/>
    </row>
    <row r="450">
      <c r="H450" s="495"/>
      <c r="I450" s="495"/>
      <c r="J450" s="495"/>
      <c r="P450" s="495"/>
      <c r="Q450" s="495"/>
      <c r="R450" s="495"/>
    </row>
    <row r="451">
      <c r="H451" s="495"/>
      <c r="I451" s="495"/>
      <c r="J451" s="495"/>
      <c r="P451" s="495"/>
      <c r="Q451" s="495"/>
      <c r="R451" s="495"/>
    </row>
    <row r="452">
      <c r="H452" s="495"/>
      <c r="I452" s="495"/>
      <c r="J452" s="495"/>
      <c r="P452" s="495"/>
      <c r="Q452" s="495"/>
      <c r="R452" s="495"/>
    </row>
    <row r="453">
      <c r="H453" s="495"/>
      <c r="I453" s="495"/>
      <c r="J453" s="495"/>
      <c r="P453" s="495"/>
      <c r="Q453" s="495"/>
      <c r="R453" s="495"/>
    </row>
    <row r="454">
      <c r="H454" s="495"/>
      <c r="I454" s="495"/>
      <c r="J454" s="495"/>
      <c r="P454" s="495"/>
      <c r="Q454" s="495"/>
      <c r="R454" s="495"/>
    </row>
    <row r="455">
      <c r="H455" s="495"/>
      <c r="I455" s="495"/>
      <c r="J455" s="495"/>
      <c r="P455" s="495"/>
      <c r="Q455" s="495"/>
      <c r="R455" s="495"/>
    </row>
    <row r="456">
      <c r="H456" s="495"/>
      <c r="I456" s="495"/>
      <c r="J456" s="495"/>
      <c r="P456" s="495"/>
      <c r="Q456" s="495"/>
      <c r="R456" s="495"/>
    </row>
    <row r="457">
      <c r="H457" s="495"/>
      <c r="I457" s="495"/>
      <c r="J457" s="495"/>
      <c r="P457" s="495"/>
      <c r="Q457" s="495"/>
      <c r="R457" s="495"/>
    </row>
    <row r="458">
      <c r="H458" s="495"/>
      <c r="I458" s="495"/>
      <c r="J458" s="495"/>
      <c r="P458" s="495"/>
      <c r="Q458" s="495"/>
      <c r="R458" s="495"/>
    </row>
    <row r="459">
      <c r="H459" s="495"/>
      <c r="I459" s="495"/>
      <c r="J459" s="495"/>
      <c r="P459" s="495"/>
      <c r="Q459" s="495"/>
      <c r="R459" s="495"/>
    </row>
    <row r="460">
      <c r="H460" s="495"/>
      <c r="I460" s="495"/>
      <c r="J460" s="495"/>
      <c r="P460" s="495"/>
      <c r="Q460" s="495"/>
      <c r="R460" s="495"/>
    </row>
    <row r="461">
      <c r="H461" s="495"/>
      <c r="I461" s="495"/>
      <c r="J461" s="495"/>
      <c r="P461" s="495"/>
      <c r="Q461" s="495"/>
      <c r="R461" s="495"/>
    </row>
    <row r="462">
      <c r="H462" s="495"/>
      <c r="I462" s="495"/>
      <c r="J462" s="495"/>
      <c r="P462" s="495"/>
      <c r="Q462" s="495"/>
      <c r="R462" s="495"/>
    </row>
    <row r="463">
      <c r="H463" s="495"/>
      <c r="I463" s="495"/>
      <c r="J463" s="495"/>
      <c r="P463" s="495"/>
      <c r="Q463" s="495"/>
      <c r="R463" s="495"/>
    </row>
    <row r="464">
      <c r="H464" s="495"/>
      <c r="I464" s="495"/>
      <c r="J464" s="495"/>
      <c r="P464" s="495"/>
      <c r="Q464" s="495"/>
      <c r="R464" s="495"/>
    </row>
    <row r="465">
      <c r="H465" s="495"/>
      <c r="I465" s="495"/>
      <c r="J465" s="495"/>
      <c r="P465" s="495"/>
      <c r="Q465" s="495"/>
      <c r="R465" s="495"/>
    </row>
    <row r="466">
      <c r="H466" s="495"/>
      <c r="I466" s="495"/>
      <c r="J466" s="495"/>
      <c r="P466" s="495"/>
      <c r="Q466" s="495"/>
      <c r="R466" s="495"/>
    </row>
    <row r="467">
      <c r="H467" s="495"/>
      <c r="I467" s="495"/>
      <c r="J467" s="495"/>
      <c r="P467" s="495"/>
      <c r="Q467" s="495"/>
      <c r="R467" s="495"/>
    </row>
    <row r="468">
      <c r="H468" s="495"/>
      <c r="I468" s="495"/>
      <c r="J468" s="495"/>
      <c r="P468" s="495"/>
      <c r="Q468" s="495"/>
      <c r="R468" s="495"/>
    </row>
    <row r="469">
      <c r="H469" s="495"/>
      <c r="I469" s="495"/>
      <c r="J469" s="495"/>
      <c r="P469" s="495"/>
      <c r="Q469" s="495"/>
      <c r="R469" s="495"/>
    </row>
    <row r="470">
      <c r="H470" s="495"/>
      <c r="I470" s="495"/>
      <c r="J470" s="495"/>
      <c r="P470" s="495"/>
      <c r="Q470" s="495"/>
      <c r="R470" s="495"/>
    </row>
    <row r="471">
      <c r="H471" s="495"/>
      <c r="I471" s="495"/>
      <c r="J471" s="495"/>
      <c r="P471" s="495"/>
      <c r="Q471" s="495"/>
      <c r="R471" s="495"/>
    </row>
    <row r="472">
      <c r="H472" s="495"/>
      <c r="I472" s="495"/>
      <c r="J472" s="495"/>
      <c r="P472" s="495"/>
      <c r="Q472" s="495"/>
      <c r="R472" s="495"/>
    </row>
    <row r="473">
      <c r="H473" s="495"/>
      <c r="I473" s="495"/>
      <c r="J473" s="495"/>
      <c r="P473" s="495"/>
      <c r="Q473" s="495"/>
      <c r="R473" s="495"/>
    </row>
    <row r="474">
      <c r="H474" s="495"/>
      <c r="I474" s="495"/>
      <c r="J474" s="495"/>
      <c r="P474" s="495"/>
      <c r="Q474" s="495"/>
      <c r="R474" s="495"/>
    </row>
    <row r="475">
      <c r="H475" s="495"/>
      <c r="I475" s="495"/>
      <c r="J475" s="495"/>
      <c r="P475" s="495"/>
      <c r="Q475" s="495"/>
      <c r="R475" s="495"/>
    </row>
    <row r="476">
      <c r="H476" s="495"/>
      <c r="I476" s="495"/>
      <c r="J476" s="495"/>
      <c r="P476" s="495"/>
      <c r="Q476" s="495"/>
      <c r="R476" s="495"/>
    </row>
    <row r="477">
      <c r="H477" s="495"/>
      <c r="I477" s="495"/>
      <c r="J477" s="495"/>
      <c r="P477" s="495"/>
      <c r="Q477" s="495"/>
      <c r="R477" s="495"/>
    </row>
    <row r="478">
      <c r="H478" s="495"/>
      <c r="I478" s="495"/>
      <c r="J478" s="495"/>
      <c r="P478" s="495"/>
      <c r="Q478" s="495"/>
      <c r="R478" s="495"/>
    </row>
    <row r="479">
      <c r="H479" s="495"/>
      <c r="I479" s="495"/>
      <c r="J479" s="495"/>
      <c r="P479" s="495"/>
      <c r="Q479" s="495"/>
      <c r="R479" s="495"/>
    </row>
    <row r="480">
      <c r="H480" s="495"/>
      <c r="I480" s="495"/>
      <c r="J480" s="495"/>
      <c r="P480" s="495"/>
      <c r="Q480" s="495"/>
      <c r="R480" s="495"/>
    </row>
    <row r="481">
      <c r="H481" s="495"/>
      <c r="I481" s="495"/>
      <c r="J481" s="495"/>
      <c r="P481" s="495"/>
      <c r="Q481" s="495"/>
      <c r="R481" s="495"/>
    </row>
    <row r="482">
      <c r="H482" s="495"/>
      <c r="I482" s="495"/>
      <c r="J482" s="495"/>
      <c r="P482" s="495"/>
      <c r="Q482" s="495"/>
      <c r="R482" s="495"/>
    </row>
    <row r="483">
      <c r="H483" s="495"/>
      <c r="I483" s="495"/>
      <c r="J483" s="495"/>
      <c r="P483" s="495"/>
      <c r="Q483" s="495"/>
      <c r="R483" s="495"/>
    </row>
    <row r="484">
      <c r="H484" s="495"/>
      <c r="I484" s="495"/>
      <c r="J484" s="495"/>
      <c r="P484" s="495"/>
      <c r="Q484" s="495"/>
      <c r="R484" s="495"/>
    </row>
    <row r="485">
      <c r="H485" s="495"/>
      <c r="I485" s="495"/>
      <c r="J485" s="495"/>
      <c r="P485" s="495"/>
      <c r="Q485" s="495"/>
      <c r="R485" s="495"/>
    </row>
    <row r="486">
      <c r="H486" s="495"/>
      <c r="I486" s="495"/>
      <c r="J486" s="495"/>
      <c r="P486" s="495"/>
      <c r="Q486" s="495"/>
      <c r="R486" s="495"/>
    </row>
    <row r="487">
      <c r="H487" s="495"/>
      <c r="I487" s="495"/>
      <c r="J487" s="495"/>
      <c r="P487" s="495"/>
      <c r="Q487" s="495"/>
      <c r="R487" s="495"/>
    </row>
    <row r="488">
      <c r="H488" s="495"/>
      <c r="I488" s="495"/>
      <c r="J488" s="495"/>
      <c r="P488" s="495"/>
      <c r="Q488" s="495"/>
      <c r="R488" s="495"/>
    </row>
    <row r="489">
      <c r="H489" s="495"/>
      <c r="I489" s="495"/>
      <c r="J489" s="495"/>
      <c r="P489" s="495"/>
      <c r="Q489" s="495"/>
      <c r="R489" s="495"/>
    </row>
    <row r="490">
      <c r="H490" s="495"/>
      <c r="I490" s="495"/>
      <c r="J490" s="495"/>
      <c r="P490" s="495"/>
      <c r="Q490" s="495"/>
      <c r="R490" s="495"/>
    </row>
    <row r="491">
      <c r="H491" s="495"/>
      <c r="I491" s="495"/>
      <c r="J491" s="495"/>
      <c r="P491" s="495"/>
      <c r="Q491" s="495"/>
      <c r="R491" s="495"/>
    </row>
    <row r="492">
      <c r="H492" s="495"/>
      <c r="I492" s="495"/>
      <c r="J492" s="495"/>
      <c r="P492" s="495"/>
      <c r="Q492" s="495"/>
      <c r="R492" s="495"/>
    </row>
    <row r="493">
      <c r="H493" s="495"/>
      <c r="I493" s="495"/>
      <c r="J493" s="495"/>
      <c r="P493" s="495"/>
      <c r="Q493" s="495"/>
      <c r="R493" s="495"/>
    </row>
    <row r="494">
      <c r="H494" s="495"/>
      <c r="I494" s="495"/>
      <c r="J494" s="495"/>
      <c r="P494" s="495"/>
      <c r="Q494" s="495"/>
      <c r="R494" s="495"/>
    </row>
    <row r="495">
      <c r="H495" s="495"/>
      <c r="I495" s="495"/>
      <c r="J495" s="495"/>
      <c r="P495" s="495"/>
      <c r="Q495" s="495"/>
      <c r="R495" s="495"/>
    </row>
    <row r="496">
      <c r="H496" s="495"/>
      <c r="I496" s="495"/>
      <c r="J496" s="495"/>
      <c r="P496" s="495"/>
      <c r="Q496" s="495"/>
      <c r="R496" s="495"/>
    </row>
    <row r="497">
      <c r="H497" s="495"/>
      <c r="I497" s="495"/>
      <c r="J497" s="495"/>
      <c r="P497" s="495"/>
      <c r="Q497" s="495"/>
      <c r="R497" s="495"/>
    </row>
    <row r="498">
      <c r="H498" s="495"/>
      <c r="I498" s="495"/>
      <c r="J498" s="495"/>
      <c r="P498" s="495"/>
      <c r="Q498" s="495"/>
      <c r="R498" s="495"/>
    </row>
    <row r="499">
      <c r="H499" s="495"/>
      <c r="I499" s="495"/>
      <c r="J499" s="495"/>
      <c r="P499" s="495"/>
      <c r="Q499" s="495"/>
      <c r="R499" s="495"/>
    </row>
    <row r="500">
      <c r="H500" s="495"/>
      <c r="I500" s="495"/>
      <c r="J500" s="495"/>
      <c r="P500" s="495"/>
      <c r="Q500" s="495"/>
      <c r="R500" s="495"/>
    </row>
    <row r="501">
      <c r="H501" s="495"/>
      <c r="I501" s="495"/>
      <c r="J501" s="495"/>
      <c r="P501" s="495"/>
      <c r="Q501" s="495"/>
      <c r="R501" s="495"/>
    </row>
    <row r="502">
      <c r="H502" s="495"/>
      <c r="I502" s="495"/>
      <c r="J502" s="495"/>
      <c r="P502" s="495"/>
      <c r="Q502" s="495"/>
      <c r="R502" s="495"/>
    </row>
    <row r="503">
      <c r="H503" s="495"/>
      <c r="I503" s="495"/>
      <c r="J503" s="495"/>
      <c r="P503" s="495"/>
      <c r="Q503" s="495"/>
      <c r="R503" s="495"/>
    </row>
    <row r="504">
      <c r="H504" s="495"/>
      <c r="I504" s="495"/>
      <c r="J504" s="495"/>
      <c r="P504" s="495"/>
      <c r="Q504" s="495"/>
      <c r="R504" s="495"/>
    </row>
    <row r="505">
      <c r="H505" s="495"/>
      <c r="I505" s="495"/>
      <c r="J505" s="495"/>
      <c r="P505" s="495"/>
      <c r="Q505" s="495"/>
      <c r="R505" s="495"/>
    </row>
    <row r="506">
      <c r="H506" s="495"/>
      <c r="I506" s="495"/>
      <c r="J506" s="495"/>
      <c r="P506" s="495"/>
      <c r="Q506" s="495"/>
      <c r="R506" s="495"/>
    </row>
    <row r="507">
      <c r="H507" s="495"/>
      <c r="I507" s="495"/>
      <c r="J507" s="495"/>
      <c r="P507" s="495"/>
      <c r="Q507" s="495"/>
      <c r="R507" s="495"/>
    </row>
    <row r="508">
      <c r="H508" s="495"/>
      <c r="I508" s="495"/>
      <c r="J508" s="495"/>
      <c r="P508" s="495"/>
      <c r="Q508" s="495"/>
      <c r="R508" s="495"/>
    </row>
    <row r="509">
      <c r="H509" s="495"/>
      <c r="I509" s="495"/>
      <c r="J509" s="495"/>
      <c r="P509" s="495"/>
      <c r="Q509" s="495"/>
      <c r="R509" s="495"/>
    </row>
    <row r="510">
      <c r="H510" s="495"/>
      <c r="I510" s="495"/>
      <c r="J510" s="495"/>
      <c r="P510" s="495"/>
      <c r="Q510" s="495"/>
      <c r="R510" s="495"/>
    </row>
    <row r="511">
      <c r="H511" s="495"/>
      <c r="I511" s="495"/>
      <c r="J511" s="495"/>
      <c r="P511" s="495"/>
      <c r="Q511" s="495"/>
      <c r="R511" s="495"/>
    </row>
    <row r="512">
      <c r="H512" s="495"/>
      <c r="I512" s="495"/>
      <c r="J512" s="495"/>
      <c r="P512" s="495"/>
      <c r="Q512" s="495"/>
      <c r="R512" s="495"/>
    </row>
    <row r="513">
      <c r="H513" s="495"/>
      <c r="I513" s="495"/>
      <c r="J513" s="495"/>
      <c r="P513" s="495"/>
      <c r="Q513" s="495"/>
      <c r="R513" s="495"/>
    </row>
    <row r="514">
      <c r="H514" s="495"/>
      <c r="I514" s="495"/>
      <c r="J514" s="495"/>
      <c r="P514" s="495"/>
      <c r="Q514" s="495"/>
      <c r="R514" s="495"/>
    </row>
    <row r="515">
      <c r="H515" s="495"/>
      <c r="I515" s="495"/>
      <c r="J515" s="495"/>
      <c r="P515" s="495"/>
      <c r="Q515" s="495"/>
      <c r="R515" s="495"/>
    </row>
    <row r="516">
      <c r="H516" s="495"/>
      <c r="I516" s="495"/>
      <c r="J516" s="495"/>
      <c r="P516" s="495"/>
      <c r="Q516" s="495"/>
      <c r="R516" s="495"/>
    </row>
    <row r="517">
      <c r="H517" s="495"/>
      <c r="I517" s="495"/>
      <c r="J517" s="495"/>
      <c r="P517" s="495"/>
      <c r="Q517" s="495"/>
      <c r="R517" s="495"/>
    </row>
    <row r="518">
      <c r="H518" s="495"/>
      <c r="I518" s="495"/>
      <c r="J518" s="495"/>
      <c r="P518" s="495"/>
      <c r="Q518" s="495"/>
      <c r="R518" s="495"/>
    </row>
    <row r="519">
      <c r="H519" s="495"/>
      <c r="I519" s="495"/>
      <c r="J519" s="495"/>
      <c r="P519" s="495"/>
      <c r="Q519" s="495"/>
      <c r="R519" s="495"/>
    </row>
    <row r="520">
      <c r="H520" s="495"/>
      <c r="I520" s="495"/>
      <c r="J520" s="495"/>
      <c r="P520" s="495"/>
      <c r="Q520" s="495"/>
      <c r="R520" s="495"/>
    </row>
    <row r="521">
      <c r="H521" s="495"/>
      <c r="I521" s="495"/>
      <c r="J521" s="495"/>
      <c r="P521" s="495"/>
      <c r="Q521" s="495"/>
      <c r="R521" s="495"/>
    </row>
    <row r="522">
      <c r="H522" s="495"/>
      <c r="I522" s="495"/>
      <c r="J522" s="495"/>
      <c r="P522" s="495"/>
      <c r="Q522" s="495"/>
      <c r="R522" s="495"/>
    </row>
    <row r="523">
      <c r="H523" s="495"/>
      <c r="I523" s="495"/>
      <c r="J523" s="495"/>
      <c r="P523" s="495"/>
      <c r="Q523" s="495"/>
      <c r="R523" s="495"/>
    </row>
    <row r="524">
      <c r="H524" s="495"/>
      <c r="I524" s="495"/>
      <c r="J524" s="495"/>
      <c r="P524" s="495"/>
      <c r="Q524" s="495"/>
      <c r="R524" s="495"/>
    </row>
    <row r="525">
      <c r="H525" s="495"/>
      <c r="I525" s="495"/>
      <c r="J525" s="495"/>
      <c r="P525" s="495"/>
      <c r="Q525" s="495"/>
      <c r="R525" s="495"/>
    </row>
    <row r="526">
      <c r="H526" s="495"/>
      <c r="I526" s="495"/>
      <c r="J526" s="495"/>
      <c r="P526" s="495"/>
      <c r="Q526" s="495"/>
      <c r="R526" s="495"/>
    </row>
    <row r="527">
      <c r="H527" s="495"/>
      <c r="I527" s="495"/>
      <c r="J527" s="495"/>
      <c r="P527" s="495"/>
      <c r="Q527" s="495"/>
      <c r="R527" s="495"/>
    </row>
    <row r="528">
      <c r="H528" s="495"/>
      <c r="I528" s="495"/>
      <c r="J528" s="495"/>
      <c r="P528" s="495"/>
      <c r="Q528" s="495"/>
      <c r="R528" s="495"/>
    </row>
    <row r="529">
      <c r="H529" s="495"/>
      <c r="I529" s="495"/>
      <c r="J529" s="495"/>
      <c r="P529" s="495"/>
      <c r="Q529" s="495"/>
      <c r="R529" s="495"/>
    </row>
    <row r="530">
      <c r="H530" s="495"/>
      <c r="I530" s="495"/>
      <c r="J530" s="495"/>
      <c r="P530" s="495"/>
      <c r="Q530" s="495"/>
      <c r="R530" s="495"/>
    </row>
    <row r="531">
      <c r="H531" s="495"/>
      <c r="I531" s="495"/>
      <c r="J531" s="495"/>
      <c r="P531" s="495"/>
      <c r="Q531" s="495"/>
      <c r="R531" s="495"/>
    </row>
    <row r="532">
      <c r="H532" s="495"/>
      <c r="I532" s="495"/>
      <c r="J532" s="495"/>
      <c r="P532" s="495"/>
      <c r="Q532" s="495"/>
      <c r="R532" s="495"/>
    </row>
    <row r="533">
      <c r="H533" s="495"/>
      <c r="I533" s="495"/>
      <c r="J533" s="495"/>
      <c r="P533" s="495"/>
      <c r="Q533" s="495"/>
      <c r="R533" s="495"/>
    </row>
    <row r="534">
      <c r="H534" s="495"/>
      <c r="I534" s="495"/>
      <c r="J534" s="495"/>
      <c r="P534" s="495"/>
      <c r="Q534" s="495"/>
      <c r="R534" s="495"/>
    </row>
    <row r="535">
      <c r="H535" s="495"/>
      <c r="I535" s="495"/>
      <c r="J535" s="495"/>
      <c r="P535" s="495"/>
      <c r="Q535" s="495"/>
      <c r="R535" s="495"/>
    </row>
    <row r="536">
      <c r="H536" s="495"/>
      <c r="I536" s="495"/>
      <c r="J536" s="495"/>
      <c r="P536" s="495"/>
      <c r="Q536" s="495"/>
      <c r="R536" s="495"/>
    </row>
    <row r="537">
      <c r="H537" s="495"/>
      <c r="I537" s="495"/>
      <c r="J537" s="495"/>
      <c r="P537" s="495"/>
      <c r="Q537" s="495"/>
      <c r="R537" s="495"/>
    </row>
    <row r="538">
      <c r="H538" s="495"/>
      <c r="I538" s="495"/>
      <c r="J538" s="495"/>
      <c r="P538" s="495"/>
      <c r="Q538" s="495"/>
      <c r="R538" s="495"/>
    </row>
    <row r="539">
      <c r="H539" s="495"/>
      <c r="I539" s="495"/>
      <c r="J539" s="495"/>
      <c r="P539" s="495"/>
      <c r="Q539" s="495"/>
      <c r="R539" s="495"/>
    </row>
    <row r="540">
      <c r="H540" s="495"/>
      <c r="I540" s="495"/>
      <c r="J540" s="495"/>
      <c r="P540" s="495"/>
      <c r="Q540" s="495"/>
      <c r="R540" s="495"/>
    </row>
    <row r="541">
      <c r="H541" s="495"/>
      <c r="I541" s="495"/>
      <c r="J541" s="495"/>
      <c r="P541" s="495"/>
      <c r="Q541" s="495"/>
      <c r="R541" s="495"/>
    </row>
    <row r="542">
      <c r="H542" s="495"/>
      <c r="I542" s="495"/>
      <c r="J542" s="495"/>
      <c r="P542" s="495"/>
      <c r="Q542" s="495"/>
      <c r="R542" s="495"/>
    </row>
    <row r="543">
      <c r="H543" s="495"/>
      <c r="I543" s="495"/>
      <c r="J543" s="495"/>
      <c r="P543" s="495"/>
      <c r="Q543" s="495"/>
      <c r="R543" s="495"/>
    </row>
    <row r="544">
      <c r="H544" s="495"/>
      <c r="I544" s="495"/>
      <c r="J544" s="495"/>
      <c r="P544" s="495"/>
      <c r="Q544" s="495"/>
      <c r="R544" s="495"/>
    </row>
    <row r="545">
      <c r="H545" s="495"/>
      <c r="I545" s="495"/>
      <c r="J545" s="495"/>
      <c r="P545" s="495"/>
      <c r="Q545" s="495"/>
      <c r="R545" s="495"/>
    </row>
    <row r="546">
      <c r="H546" s="495"/>
      <c r="I546" s="495"/>
      <c r="J546" s="495"/>
      <c r="P546" s="495"/>
      <c r="Q546" s="495"/>
      <c r="R546" s="495"/>
    </row>
    <row r="547">
      <c r="H547" s="495"/>
      <c r="I547" s="495"/>
      <c r="J547" s="495"/>
      <c r="P547" s="495"/>
      <c r="Q547" s="495"/>
      <c r="R547" s="495"/>
    </row>
    <row r="548">
      <c r="H548" s="495"/>
      <c r="I548" s="495"/>
      <c r="J548" s="495"/>
      <c r="P548" s="495"/>
      <c r="Q548" s="495"/>
      <c r="R548" s="495"/>
    </row>
    <row r="549">
      <c r="H549" s="495"/>
      <c r="I549" s="495"/>
      <c r="J549" s="495"/>
      <c r="P549" s="495"/>
      <c r="Q549" s="495"/>
      <c r="R549" s="495"/>
    </row>
    <row r="550">
      <c r="H550" s="495"/>
      <c r="I550" s="495"/>
      <c r="J550" s="495"/>
      <c r="P550" s="495"/>
      <c r="Q550" s="495"/>
      <c r="R550" s="495"/>
    </row>
    <row r="551">
      <c r="H551" s="495"/>
      <c r="I551" s="495"/>
      <c r="J551" s="495"/>
      <c r="P551" s="495"/>
      <c r="Q551" s="495"/>
      <c r="R551" s="495"/>
    </row>
    <row r="552">
      <c r="H552" s="495"/>
      <c r="I552" s="495"/>
      <c r="J552" s="495"/>
      <c r="P552" s="495"/>
      <c r="Q552" s="495"/>
      <c r="R552" s="495"/>
    </row>
    <row r="553">
      <c r="H553" s="495"/>
      <c r="I553" s="495"/>
      <c r="J553" s="495"/>
      <c r="P553" s="495"/>
      <c r="Q553" s="495"/>
      <c r="R553" s="495"/>
    </row>
    <row r="554">
      <c r="H554" s="495"/>
      <c r="I554" s="495"/>
      <c r="J554" s="495"/>
      <c r="P554" s="495"/>
      <c r="Q554" s="495"/>
      <c r="R554" s="495"/>
    </row>
    <row r="555">
      <c r="H555" s="495"/>
      <c r="I555" s="495"/>
      <c r="J555" s="495"/>
      <c r="P555" s="495"/>
      <c r="Q555" s="495"/>
      <c r="R555" s="495"/>
    </row>
    <row r="556">
      <c r="H556" s="495"/>
      <c r="I556" s="495"/>
      <c r="J556" s="495"/>
      <c r="P556" s="495"/>
      <c r="Q556" s="495"/>
      <c r="R556" s="495"/>
    </row>
    <row r="557">
      <c r="H557" s="495"/>
      <c r="I557" s="495"/>
      <c r="J557" s="495"/>
      <c r="P557" s="495"/>
      <c r="Q557" s="495"/>
      <c r="R557" s="495"/>
    </row>
    <row r="558">
      <c r="H558" s="495"/>
      <c r="I558" s="495"/>
      <c r="J558" s="495"/>
      <c r="P558" s="495"/>
      <c r="Q558" s="495"/>
      <c r="R558" s="495"/>
    </row>
    <row r="559">
      <c r="H559" s="495"/>
      <c r="I559" s="495"/>
      <c r="J559" s="495"/>
      <c r="P559" s="495"/>
      <c r="Q559" s="495"/>
      <c r="R559" s="495"/>
    </row>
    <row r="560">
      <c r="H560" s="495"/>
      <c r="I560" s="495"/>
      <c r="J560" s="495"/>
      <c r="P560" s="495"/>
      <c r="Q560" s="495"/>
      <c r="R560" s="495"/>
    </row>
    <row r="561">
      <c r="H561" s="495"/>
      <c r="I561" s="495"/>
      <c r="J561" s="495"/>
      <c r="P561" s="495"/>
      <c r="Q561" s="495"/>
      <c r="R561" s="495"/>
    </row>
    <row r="562">
      <c r="H562" s="495"/>
      <c r="I562" s="495"/>
      <c r="J562" s="495"/>
      <c r="P562" s="495"/>
      <c r="Q562" s="495"/>
      <c r="R562" s="495"/>
    </row>
    <row r="563">
      <c r="H563" s="495"/>
      <c r="I563" s="495"/>
      <c r="J563" s="495"/>
      <c r="P563" s="495"/>
      <c r="Q563" s="495"/>
      <c r="R563" s="495"/>
    </row>
    <row r="564">
      <c r="H564" s="495"/>
      <c r="I564" s="495"/>
      <c r="J564" s="495"/>
      <c r="P564" s="495"/>
      <c r="Q564" s="495"/>
      <c r="R564" s="495"/>
    </row>
    <row r="565">
      <c r="H565" s="495"/>
      <c r="I565" s="495"/>
      <c r="J565" s="495"/>
      <c r="P565" s="495"/>
      <c r="Q565" s="495"/>
      <c r="R565" s="495"/>
    </row>
    <row r="566">
      <c r="H566" s="495"/>
      <c r="I566" s="495"/>
      <c r="J566" s="495"/>
      <c r="P566" s="495"/>
      <c r="Q566" s="495"/>
      <c r="R566" s="495"/>
    </row>
    <row r="567">
      <c r="H567" s="495"/>
      <c r="I567" s="495"/>
      <c r="J567" s="495"/>
      <c r="P567" s="495"/>
      <c r="Q567" s="495"/>
      <c r="R567" s="495"/>
    </row>
    <row r="568">
      <c r="H568" s="495"/>
      <c r="I568" s="495"/>
      <c r="J568" s="495"/>
      <c r="P568" s="495"/>
      <c r="Q568" s="495"/>
      <c r="R568" s="495"/>
    </row>
    <row r="569">
      <c r="H569" s="495"/>
      <c r="I569" s="495"/>
      <c r="J569" s="495"/>
      <c r="P569" s="495"/>
      <c r="Q569" s="495"/>
      <c r="R569" s="495"/>
    </row>
    <row r="570">
      <c r="H570" s="495"/>
      <c r="I570" s="495"/>
      <c r="J570" s="495"/>
      <c r="P570" s="495"/>
      <c r="Q570" s="495"/>
      <c r="R570" s="495"/>
    </row>
    <row r="571">
      <c r="H571" s="495"/>
      <c r="I571" s="495"/>
      <c r="J571" s="495"/>
      <c r="P571" s="495"/>
      <c r="Q571" s="495"/>
      <c r="R571" s="495"/>
    </row>
    <row r="572">
      <c r="H572" s="495"/>
      <c r="I572" s="495"/>
      <c r="J572" s="495"/>
      <c r="P572" s="495"/>
      <c r="Q572" s="495"/>
      <c r="R572" s="495"/>
    </row>
    <row r="573">
      <c r="H573" s="495"/>
      <c r="I573" s="495"/>
      <c r="J573" s="495"/>
      <c r="P573" s="495"/>
      <c r="Q573" s="495"/>
      <c r="R573" s="495"/>
    </row>
    <row r="574">
      <c r="H574" s="495"/>
      <c r="I574" s="495"/>
      <c r="J574" s="495"/>
      <c r="P574" s="495"/>
      <c r="Q574" s="495"/>
      <c r="R574" s="495"/>
    </row>
    <row r="575">
      <c r="H575" s="495"/>
      <c r="I575" s="495"/>
      <c r="J575" s="495"/>
      <c r="P575" s="495"/>
      <c r="Q575" s="495"/>
      <c r="R575" s="495"/>
    </row>
    <row r="576">
      <c r="H576" s="495"/>
      <c r="I576" s="495"/>
      <c r="J576" s="495"/>
      <c r="P576" s="495"/>
      <c r="Q576" s="495"/>
      <c r="R576" s="495"/>
    </row>
    <row r="577">
      <c r="H577" s="495"/>
      <c r="I577" s="495"/>
      <c r="J577" s="495"/>
      <c r="P577" s="495"/>
      <c r="Q577" s="495"/>
      <c r="R577" s="495"/>
    </row>
    <row r="578">
      <c r="H578" s="495"/>
      <c r="I578" s="495"/>
      <c r="J578" s="495"/>
      <c r="P578" s="495"/>
      <c r="Q578" s="495"/>
      <c r="R578" s="495"/>
    </row>
    <row r="579">
      <c r="H579" s="495"/>
      <c r="I579" s="495"/>
      <c r="J579" s="495"/>
      <c r="P579" s="495"/>
      <c r="Q579" s="495"/>
      <c r="R579" s="495"/>
    </row>
    <row r="580">
      <c r="H580" s="495"/>
      <c r="I580" s="495"/>
      <c r="J580" s="495"/>
      <c r="P580" s="495"/>
      <c r="Q580" s="495"/>
      <c r="R580" s="495"/>
    </row>
    <row r="581">
      <c r="H581" s="495"/>
      <c r="I581" s="495"/>
      <c r="J581" s="495"/>
      <c r="P581" s="495"/>
      <c r="Q581" s="495"/>
      <c r="R581" s="495"/>
    </row>
    <row r="582">
      <c r="H582" s="495"/>
      <c r="I582" s="495"/>
      <c r="J582" s="495"/>
      <c r="P582" s="495"/>
      <c r="Q582" s="495"/>
      <c r="R582" s="495"/>
    </row>
    <row r="583">
      <c r="H583" s="495"/>
      <c r="I583" s="495"/>
      <c r="J583" s="495"/>
      <c r="P583" s="495"/>
      <c r="Q583" s="495"/>
      <c r="R583" s="495"/>
    </row>
    <row r="584">
      <c r="H584" s="495"/>
      <c r="I584" s="495"/>
      <c r="J584" s="495"/>
      <c r="P584" s="495"/>
      <c r="Q584" s="495"/>
      <c r="R584" s="495"/>
    </row>
    <row r="585">
      <c r="H585" s="495"/>
      <c r="I585" s="495"/>
      <c r="J585" s="495"/>
      <c r="P585" s="495"/>
      <c r="Q585" s="495"/>
      <c r="R585" s="495"/>
    </row>
    <row r="586">
      <c r="H586" s="495"/>
      <c r="I586" s="495"/>
      <c r="J586" s="495"/>
      <c r="P586" s="495"/>
      <c r="Q586" s="495"/>
      <c r="R586" s="495"/>
    </row>
    <row r="587">
      <c r="H587" s="495"/>
      <c r="I587" s="495"/>
      <c r="J587" s="495"/>
      <c r="P587" s="495"/>
      <c r="Q587" s="495"/>
      <c r="R587" s="495"/>
    </row>
    <row r="588">
      <c r="H588" s="495"/>
      <c r="I588" s="495"/>
      <c r="J588" s="495"/>
      <c r="P588" s="495"/>
      <c r="Q588" s="495"/>
      <c r="R588" s="495"/>
    </row>
    <row r="589">
      <c r="H589" s="495"/>
      <c r="I589" s="495"/>
      <c r="J589" s="495"/>
      <c r="P589" s="495"/>
      <c r="Q589" s="495"/>
      <c r="R589" s="495"/>
    </row>
    <row r="590">
      <c r="H590" s="495"/>
      <c r="I590" s="495"/>
      <c r="J590" s="495"/>
      <c r="P590" s="495"/>
      <c r="Q590" s="495"/>
      <c r="R590" s="495"/>
    </row>
    <row r="591">
      <c r="H591" s="495"/>
      <c r="I591" s="495"/>
      <c r="J591" s="495"/>
      <c r="P591" s="495"/>
      <c r="Q591" s="495"/>
      <c r="R591" s="495"/>
    </row>
    <row r="592">
      <c r="H592" s="495"/>
      <c r="I592" s="495"/>
      <c r="J592" s="495"/>
      <c r="P592" s="495"/>
      <c r="Q592" s="495"/>
      <c r="R592" s="495"/>
    </row>
    <row r="593">
      <c r="H593" s="495"/>
      <c r="I593" s="495"/>
      <c r="J593" s="495"/>
      <c r="P593" s="495"/>
      <c r="Q593" s="495"/>
      <c r="R593" s="495"/>
    </row>
    <row r="594">
      <c r="H594" s="495"/>
      <c r="I594" s="495"/>
      <c r="J594" s="495"/>
      <c r="P594" s="495"/>
      <c r="Q594" s="495"/>
      <c r="R594" s="495"/>
    </row>
    <row r="595">
      <c r="H595" s="495"/>
      <c r="I595" s="495"/>
      <c r="J595" s="495"/>
      <c r="P595" s="495"/>
      <c r="Q595" s="495"/>
      <c r="R595" s="495"/>
    </row>
    <row r="596">
      <c r="H596" s="495"/>
      <c r="I596" s="495"/>
      <c r="J596" s="495"/>
      <c r="P596" s="495"/>
      <c r="Q596" s="495"/>
      <c r="R596" s="495"/>
    </row>
    <row r="597">
      <c r="H597" s="495"/>
      <c r="I597" s="495"/>
      <c r="J597" s="495"/>
      <c r="P597" s="495"/>
      <c r="Q597" s="495"/>
      <c r="R597" s="495"/>
    </row>
    <row r="598">
      <c r="H598" s="495"/>
      <c r="I598" s="495"/>
      <c r="J598" s="495"/>
      <c r="P598" s="495"/>
      <c r="Q598" s="495"/>
      <c r="R598" s="495"/>
    </row>
    <row r="599">
      <c r="H599" s="495"/>
      <c r="I599" s="495"/>
      <c r="J599" s="495"/>
      <c r="P599" s="495"/>
      <c r="Q599" s="495"/>
      <c r="R599" s="495"/>
    </row>
    <row r="600">
      <c r="H600" s="495"/>
      <c r="I600" s="495"/>
      <c r="J600" s="495"/>
      <c r="P600" s="495"/>
      <c r="Q600" s="495"/>
      <c r="R600" s="495"/>
    </row>
    <row r="601">
      <c r="H601" s="495"/>
      <c r="I601" s="495"/>
      <c r="J601" s="495"/>
      <c r="P601" s="495"/>
      <c r="Q601" s="495"/>
      <c r="R601" s="495"/>
    </row>
    <row r="602">
      <c r="H602" s="495"/>
      <c r="I602" s="495"/>
      <c r="J602" s="495"/>
      <c r="P602" s="495"/>
      <c r="Q602" s="495"/>
      <c r="R602" s="495"/>
    </row>
    <row r="603">
      <c r="H603" s="495"/>
      <c r="I603" s="495"/>
      <c r="J603" s="495"/>
      <c r="P603" s="495"/>
      <c r="Q603" s="495"/>
      <c r="R603" s="495"/>
    </row>
    <row r="604">
      <c r="H604" s="495"/>
      <c r="I604" s="495"/>
      <c r="J604" s="495"/>
      <c r="P604" s="495"/>
      <c r="Q604" s="495"/>
      <c r="R604" s="495"/>
    </row>
    <row r="605">
      <c r="H605" s="495"/>
      <c r="I605" s="495"/>
      <c r="J605" s="495"/>
      <c r="P605" s="495"/>
      <c r="Q605" s="495"/>
      <c r="R605" s="495"/>
    </row>
    <row r="606">
      <c r="H606" s="495"/>
      <c r="I606" s="495"/>
      <c r="J606" s="495"/>
      <c r="P606" s="495"/>
      <c r="Q606" s="495"/>
      <c r="R606" s="495"/>
    </row>
    <row r="607">
      <c r="H607" s="495"/>
      <c r="I607" s="495"/>
      <c r="J607" s="495"/>
      <c r="P607" s="495"/>
      <c r="Q607" s="495"/>
      <c r="R607" s="495"/>
    </row>
    <row r="608">
      <c r="H608" s="495"/>
      <c r="I608" s="495"/>
      <c r="J608" s="495"/>
      <c r="P608" s="495"/>
      <c r="Q608" s="495"/>
      <c r="R608" s="495"/>
    </row>
    <row r="609">
      <c r="H609" s="495"/>
      <c r="I609" s="495"/>
      <c r="J609" s="495"/>
      <c r="P609" s="495"/>
      <c r="Q609" s="495"/>
      <c r="R609" s="495"/>
    </row>
    <row r="610">
      <c r="H610" s="495"/>
      <c r="I610" s="495"/>
      <c r="J610" s="495"/>
      <c r="P610" s="495"/>
      <c r="Q610" s="495"/>
      <c r="R610" s="495"/>
    </row>
    <row r="611">
      <c r="H611" s="495"/>
      <c r="I611" s="495"/>
      <c r="J611" s="495"/>
      <c r="P611" s="495"/>
      <c r="Q611" s="495"/>
      <c r="R611" s="495"/>
    </row>
    <row r="612">
      <c r="H612" s="495"/>
      <c r="I612" s="495"/>
      <c r="J612" s="495"/>
      <c r="P612" s="495"/>
      <c r="Q612" s="495"/>
      <c r="R612" s="495"/>
    </row>
    <row r="613">
      <c r="H613" s="495"/>
      <c r="I613" s="495"/>
      <c r="J613" s="495"/>
      <c r="P613" s="495"/>
      <c r="Q613" s="495"/>
      <c r="R613" s="495"/>
    </row>
    <row r="614">
      <c r="H614" s="495"/>
      <c r="I614" s="495"/>
      <c r="J614" s="495"/>
      <c r="P614" s="495"/>
      <c r="Q614" s="495"/>
      <c r="R614" s="495"/>
    </row>
    <row r="615">
      <c r="H615" s="495"/>
      <c r="I615" s="495"/>
      <c r="J615" s="495"/>
      <c r="P615" s="495"/>
      <c r="Q615" s="495"/>
      <c r="R615" s="495"/>
    </row>
    <row r="616">
      <c r="H616" s="495"/>
      <c r="I616" s="495"/>
      <c r="J616" s="495"/>
      <c r="P616" s="495"/>
      <c r="Q616" s="495"/>
      <c r="R616" s="495"/>
    </row>
    <row r="617">
      <c r="H617" s="495"/>
      <c r="I617" s="495"/>
      <c r="J617" s="495"/>
      <c r="P617" s="495"/>
      <c r="Q617" s="495"/>
      <c r="R617" s="495"/>
    </row>
    <row r="618">
      <c r="H618" s="495"/>
      <c r="I618" s="495"/>
      <c r="J618" s="495"/>
      <c r="P618" s="495"/>
      <c r="Q618" s="495"/>
      <c r="R618" s="495"/>
    </row>
    <row r="619">
      <c r="H619" s="495"/>
      <c r="I619" s="495"/>
      <c r="J619" s="495"/>
      <c r="P619" s="495"/>
      <c r="Q619" s="495"/>
      <c r="R619" s="495"/>
    </row>
    <row r="620">
      <c r="H620" s="495"/>
      <c r="I620" s="495"/>
      <c r="J620" s="495"/>
      <c r="P620" s="495"/>
      <c r="Q620" s="495"/>
      <c r="R620" s="495"/>
    </row>
    <row r="621">
      <c r="H621" s="495"/>
      <c r="I621" s="495"/>
      <c r="J621" s="495"/>
      <c r="P621" s="495"/>
      <c r="Q621" s="495"/>
      <c r="R621" s="495"/>
    </row>
    <row r="622">
      <c r="H622" s="495"/>
      <c r="I622" s="495"/>
      <c r="J622" s="495"/>
      <c r="P622" s="495"/>
      <c r="Q622" s="495"/>
      <c r="R622" s="495"/>
    </row>
    <row r="623">
      <c r="H623" s="495"/>
      <c r="I623" s="495"/>
      <c r="J623" s="495"/>
      <c r="P623" s="495"/>
      <c r="Q623" s="495"/>
      <c r="R623" s="495"/>
    </row>
    <row r="624">
      <c r="H624" s="495"/>
      <c r="I624" s="495"/>
      <c r="J624" s="495"/>
      <c r="P624" s="495"/>
      <c r="Q624" s="495"/>
      <c r="R624" s="495"/>
    </row>
    <row r="625">
      <c r="H625" s="495"/>
      <c r="I625" s="495"/>
      <c r="J625" s="495"/>
      <c r="P625" s="495"/>
      <c r="Q625" s="495"/>
      <c r="R625" s="495"/>
    </row>
    <row r="626">
      <c r="H626" s="495"/>
      <c r="I626" s="495"/>
      <c r="J626" s="495"/>
      <c r="P626" s="495"/>
      <c r="Q626" s="495"/>
      <c r="R626" s="495"/>
    </row>
    <row r="627">
      <c r="H627" s="495"/>
      <c r="I627" s="495"/>
      <c r="J627" s="495"/>
      <c r="P627" s="495"/>
      <c r="Q627" s="495"/>
      <c r="R627" s="495"/>
    </row>
    <row r="628">
      <c r="H628" s="495"/>
      <c r="I628" s="495"/>
      <c r="J628" s="495"/>
      <c r="P628" s="495"/>
      <c r="Q628" s="495"/>
      <c r="R628" s="495"/>
    </row>
    <row r="629">
      <c r="H629" s="495"/>
      <c r="I629" s="495"/>
      <c r="J629" s="495"/>
      <c r="P629" s="495"/>
      <c r="Q629" s="495"/>
      <c r="R629" s="495"/>
    </row>
    <row r="630">
      <c r="H630" s="495"/>
      <c r="I630" s="495"/>
      <c r="J630" s="495"/>
      <c r="P630" s="495"/>
      <c r="Q630" s="495"/>
      <c r="R630" s="495"/>
    </row>
    <row r="631">
      <c r="H631" s="495"/>
      <c r="I631" s="495"/>
      <c r="J631" s="495"/>
      <c r="P631" s="495"/>
      <c r="Q631" s="495"/>
      <c r="R631" s="495"/>
    </row>
    <row r="632">
      <c r="H632" s="495"/>
      <c r="I632" s="495"/>
      <c r="J632" s="495"/>
      <c r="P632" s="495"/>
      <c r="Q632" s="495"/>
      <c r="R632" s="495"/>
    </row>
    <row r="633">
      <c r="H633" s="495"/>
      <c r="I633" s="495"/>
      <c r="J633" s="495"/>
      <c r="P633" s="495"/>
      <c r="Q633" s="495"/>
      <c r="R633" s="495"/>
    </row>
    <row r="634">
      <c r="H634" s="495"/>
      <c r="I634" s="495"/>
      <c r="J634" s="495"/>
      <c r="P634" s="495"/>
      <c r="Q634" s="495"/>
      <c r="R634" s="495"/>
    </row>
    <row r="635">
      <c r="H635" s="495"/>
      <c r="I635" s="495"/>
      <c r="J635" s="495"/>
      <c r="P635" s="495"/>
      <c r="Q635" s="495"/>
      <c r="R635" s="495"/>
    </row>
    <row r="636">
      <c r="H636" s="495"/>
      <c r="I636" s="495"/>
      <c r="J636" s="495"/>
      <c r="P636" s="495"/>
      <c r="Q636" s="495"/>
      <c r="R636" s="495"/>
    </row>
    <row r="637">
      <c r="H637" s="495"/>
      <c r="I637" s="495"/>
      <c r="J637" s="495"/>
      <c r="P637" s="495"/>
      <c r="Q637" s="495"/>
      <c r="R637" s="495"/>
    </row>
    <row r="638">
      <c r="H638" s="495"/>
      <c r="I638" s="495"/>
      <c r="J638" s="495"/>
      <c r="P638" s="495"/>
      <c r="Q638" s="495"/>
      <c r="R638" s="495"/>
    </row>
    <row r="639">
      <c r="H639" s="495"/>
      <c r="I639" s="495"/>
      <c r="J639" s="495"/>
      <c r="P639" s="495"/>
      <c r="Q639" s="495"/>
      <c r="R639" s="495"/>
    </row>
    <row r="640">
      <c r="H640" s="495"/>
      <c r="I640" s="495"/>
      <c r="J640" s="495"/>
      <c r="P640" s="495"/>
      <c r="Q640" s="495"/>
      <c r="R640" s="495"/>
    </row>
    <row r="641">
      <c r="H641" s="495"/>
      <c r="I641" s="495"/>
      <c r="J641" s="495"/>
      <c r="P641" s="495"/>
      <c r="Q641" s="495"/>
      <c r="R641" s="495"/>
    </row>
    <row r="642">
      <c r="H642" s="495"/>
      <c r="I642" s="495"/>
      <c r="J642" s="495"/>
      <c r="P642" s="495"/>
      <c r="Q642" s="495"/>
      <c r="R642" s="495"/>
    </row>
    <row r="643">
      <c r="H643" s="495"/>
      <c r="I643" s="495"/>
      <c r="J643" s="495"/>
      <c r="P643" s="495"/>
      <c r="Q643" s="495"/>
      <c r="R643" s="495"/>
    </row>
    <row r="644">
      <c r="H644" s="495"/>
      <c r="I644" s="495"/>
      <c r="J644" s="495"/>
      <c r="P644" s="495"/>
      <c r="Q644" s="495"/>
      <c r="R644" s="495"/>
    </row>
    <row r="645">
      <c r="H645" s="495"/>
      <c r="I645" s="495"/>
      <c r="J645" s="495"/>
      <c r="P645" s="495"/>
      <c r="Q645" s="495"/>
      <c r="R645" s="495"/>
    </row>
    <row r="646">
      <c r="H646" s="495"/>
      <c r="I646" s="495"/>
      <c r="J646" s="495"/>
      <c r="P646" s="495"/>
      <c r="Q646" s="495"/>
      <c r="R646" s="495"/>
    </row>
    <row r="647">
      <c r="H647" s="495"/>
      <c r="I647" s="495"/>
      <c r="J647" s="495"/>
      <c r="P647" s="495"/>
      <c r="Q647" s="495"/>
      <c r="R647" s="495"/>
    </row>
    <row r="648">
      <c r="H648" s="495"/>
      <c r="I648" s="495"/>
      <c r="J648" s="495"/>
      <c r="P648" s="495"/>
      <c r="Q648" s="495"/>
      <c r="R648" s="495"/>
    </row>
    <row r="649">
      <c r="H649" s="495"/>
      <c r="I649" s="495"/>
      <c r="J649" s="495"/>
      <c r="P649" s="495"/>
      <c r="Q649" s="495"/>
      <c r="R649" s="495"/>
    </row>
    <row r="650">
      <c r="H650" s="495"/>
      <c r="I650" s="495"/>
      <c r="J650" s="495"/>
      <c r="P650" s="495"/>
      <c r="Q650" s="495"/>
      <c r="R650" s="495"/>
    </row>
    <row r="651">
      <c r="H651" s="495"/>
      <c r="I651" s="495"/>
      <c r="J651" s="495"/>
      <c r="P651" s="495"/>
      <c r="Q651" s="495"/>
      <c r="R651" s="495"/>
    </row>
    <row r="652">
      <c r="H652" s="495"/>
      <c r="I652" s="495"/>
      <c r="J652" s="495"/>
      <c r="P652" s="495"/>
      <c r="Q652" s="495"/>
      <c r="R652" s="495"/>
    </row>
    <row r="653">
      <c r="H653" s="495"/>
      <c r="I653" s="495"/>
      <c r="J653" s="495"/>
      <c r="P653" s="495"/>
      <c r="Q653" s="495"/>
      <c r="R653" s="495"/>
    </row>
    <row r="654">
      <c r="H654" s="495"/>
      <c r="I654" s="495"/>
      <c r="J654" s="495"/>
      <c r="P654" s="495"/>
      <c r="Q654" s="495"/>
      <c r="R654" s="495"/>
    </row>
    <row r="655">
      <c r="H655" s="495"/>
      <c r="I655" s="495"/>
      <c r="J655" s="495"/>
      <c r="P655" s="495"/>
      <c r="Q655" s="495"/>
      <c r="R655" s="495"/>
    </row>
    <row r="656">
      <c r="H656" s="495"/>
      <c r="I656" s="495"/>
      <c r="J656" s="495"/>
      <c r="P656" s="495"/>
      <c r="Q656" s="495"/>
      <c r="R656" s="495"/>
    </row>
    <row r="657">
      <c r="H657" s="495"/>
      <c r="I657" s="495"/>
      <c r="J657" s="495"/>
      <c r="P657" s="495"/>
      <c r="Q657" s="495"/>
      <c r="R657" s="495"/>
    </row>
    <row r="658">
      <c r="H658" s="495"/>
      <c r="I658" s="495"/>
      <c r="J658" s="495"/>
      <c r="P658" s="495"/>
      <c r="Q658" s="495"/>
      <c r="R658" s="495"/>
    </row>
    <row r="659">
      <c r="H659" s="495"/>
      <c r="I659" s="495"/>
      <c r="J659" s="495"/>
      <c r="P659" s="495"/>
      <c r="Q659" s="495"/>
      <c r="R659" s="495"/>
    </row>
    <row r="660">
      <c r="H660" s="495"/>
      <c r="I660" s="495"/>
      <c r="J660" s="495"/>
      <c r="P660" s="495"/>
      <c r="Q660" s="495"/>
      <c r="R660" s="495"/>
    </row>
    <row r="661">
      <c r="H661" s="495"/>
      <c r="I661" s="495"/>
      <c r="J661" s="495"/>
      <c r="P661" s="495"/>
      <c r="Q661" s="495"/>
      <c r="R661" s="495"/>
    </row>
    <row r="662">
      <c r="H662" s="495"/>
      <c r="I662" s="495"/>
      <c r="J662" s="495"/>
      <c r="P662" s="495"/>
      <c r="Q662" s="495"/>
      <c r="R662" s="495"/>
    </row>
    <row r="663">
      <c r="H663" s="495"/>
      <c r="I663" s="495"/>
      <c r="J663" s="495"/>
      <c r="P663" s="495"/>
      <c r="Q663" s="495"/>
      <c r="R663" s="495"/>
    </row>
    <row r="664">
      <c r="H664" s="495"/>
      <c r="I664" s="495"/>
      <c r="J664" s="495"/>
      <c r="P664" s="495"/>
      <c r="Q664" s="495"/>
      <c r="R664" s="495"/>
    </row>
    <row r="665">
      <c r="H665" s="495"/>
      <c r="I665" s="495"/>
      <c r="J665" s="495"/>
      <c r="P665" s="495"/>
      <c r="Q665" s="495"/>
      <c r="R665" s="495"/>
    </row>
    <row r="666">
      <c r="H666" s="495"/>
      <c r="I666" s="495"/>
      <c r="J666" s="495"/>
      <c r="P666" s="495"/>
      <c r="Q666" s="495"/>
      <c r="R666" s="495"/>
    </row>
    <row r="667">
      <c r="H667" s="495"/>
      <c r="I667" s="495"/>
      <c r="J667" s="495"/>
      <c r="P667" s="495"/>
      <c r="Q667" s="495"/>
      <c r="R667" s="495"/>
    </row>
    <row r="668">
      <c r="H668" s="495"/>
      <c r="I668" s="495"/>
      <c r="J668" s="495"/>
      <c r="P668" s="495"/>
      <c r="Q668" s="495"/>
      <c r="R668" s="495"/>
    </row>
    <row r="669">
      <c r="H669" s="495"/>
      <c r="I669" s="495"/>
      <c r="J669" s="495"/>
      <c r="P669" s="495"/>
      <c r="Q669" s="495"/>
      <c r="R669" s="495"/>
    </row>
    <row r="670">
      <c r="H670" s="495"/>
      <c r="I670" s="495"/>
      <c r="J670" s="495"/>
      <c r="P670" s="495"/>
      <c r="Q670" s="495"/>
      <c r="R670" s="495"/>
    </row>
    <row r="671">
      <c r="H671" s="495"/>
      <c r="I671" s="495"/>
      <c r="J671" s="495"/>
      <c r="P671" s="495"/>
      <c r="Q671" s="495"/>
      <c r="R671" s="495"/>
    </row>
    <row r="672">
      <c r="H672" s="495"/>
      <c r="I672" s="495"/>
      <c r="J672" s="495"/>
      <c r="P672" s="495"/>
      <c r="Q672" s="495"/>
      <c r="R672" s="495"/>
    </row>
    <row r="673">
      <c r="H673" s="495"/>
      <c r="I673" s="495"/>
      <c r="J673" s="495"/>
      <c r="P673" s="495"/>
      <c r="Q673" s="495"/>
      <c r="R673" s="495"/>
    </row>
    <row r="674">
      <c r="H674" s="495"/>
      <c r="I674" s="495"/>
      <c r="J674" s="495"/>
      <c r="P674" s="495"/>
      <c r="Q674" s="495"/>
      <c r="R674" s="495"/>
    </row>
    <row r="675">
      <c r="H675" s="495"/>
      <c r="I675" s="495"/>
      <c r="J675" s="495"/>
      <c r="P675" s="495"/>
      <c r="Q675" s="495"/>
      <c r="R675" s="495"/>
    </row>
    <row r="676">
      <c r="H676" s="495"/>
      <c r="I676" s="495"/>
      <c r="J676" s="495"/>
      <c r="P676" s="495"/>
      <c r="Q676" s="495"/>
      <c r="R676" s="495"/>
    </row>
    <row r="677">
      <c r="H677" s="495"/>
      <c r="I677" s="495"/>
      <c r="J677" s="495"/>
      <c r="P677" s="495"/>
      <c r="Q677" s="495"/>
      <c r="R677" s="495"/>
    </row>
    <row r="678">
      <c r="H678" s="495"/>
      <c r="I678" s="495"/>
      <c r="J678" s="495"/>
      <c r="P678" s="495"/>
      <c r="Q678" s="495"/>
      <c r="R678" s="495"/>
    </row>
    <row r="679">
      <c r="H679" s="495"/>
      <c r="I679" s="495"/>
      <c r="J679" s="495"/>
      <c r="P679" s="495"/>
      <c r="Q679" s="495"/>
      <c r="R679" s="495"/>
    </row>
    <row r="680">
      <c r="H680" s="495"/>
      <c r="I680" s="495"/>
      <c r="J680" s="495"/>
      <c r="P680" s="495"/>
      <c r="Q680" s="495"/>
      <c r="R680" s="495"/>
    </row>
    <row r="681">
      <c r="H681" s="495"/>
      <c r="I681" s="495"/>
      <c r="J681" s="495"/>
      <c r="P681" s="495"/>
      <c r="Q681" s="495"/>
      <c r="R681" s="495"/>
    </row>
    <row r="682">
      <c r="H682" s="495"/>
      <c r="I682" s="495"/>
      <c r="J682" s="495"/>
      <c r="P682" s="495"/>
      <c r="Q682" s="495"/>
      <c r="R682" s="495"/>
    </row>
    <row r="683">
      <c r="H683" s="495"/>
      <c r="I683" s="495"/>
      <c r="J683" s="495"/>
      <c r="P683" s="495"/>
      <c r="Q683" s="495"/>
      <c r="R683" s="495"/>
    </row>
    <row r="684">
      <c r="H684" s="495"/>
      <c r="I684" s="495"/>
      <c r="J684" s="495"/>
      <c r="P684" s="495"/>
      <c r="Q684" s="495"/>
      <c r="R684" s="495"/>
    </row>
    <row r="685">
      <c r="H685" s="495"/>
      <c r="I685" s="495"/>
      <c r="J685" s="495"/>
      <c r="P685" s="495"/>
      <c r="Q685" s="495"/>
      <c r="R685" s="495"/>
    </row>
    <row r="686">
      <c r="H686" s="495"/>
      <c r="I686" s="495"/>
      <c r="J686" s="495"/>
      <c r="P686" s="495"/>
      <c r="Q686" s="495"/>
      <c r="R686" s="495"/>
    </row>
    <row r="687">
      <c r="H687" s="495"/>
      <c r="I687" s="495"/>
      <c r="J687" s="495"/>
      <c r="P687" s="495"/>
      <c r="Q687" s="495"/>
      <c r="R687" s="495"/>
    </row>
    <row r="688">
      <c r="H688" s="495"/>
      <c r="I688" s="495"/>
      <c r="J688" s="495"/>
      <c r="P688" s="495"/>
      <c r="Q688" s="495"/>
      <c r="R688" s="495"/>
    </row>
    <row r="689">
      <c r="H689" s="495"/>
      <c r="I689" s="495"/>
      <c r="J689" s="495"/>
      <c r="P689" s="495"/>
      <c r="Q689" s="495"/>
      <c r="R689" s="495"/>
    </row>
    <row r="690">
      <c r="H690" s="495"/>
      <c r="I690" s="495"/>
      <c r="J690" s="495"/>
      <c r="P690" s="495"/>
      <c r="Q690" s="495"/>
      <c r="R690" s="495"/>
    </row>
    <row r="691">
      <c r="H691" s="495"/>
      <c r="I691" s="495"/>
      <c r="J691" s="495"/>
      <c r="P691" s="495"/>
      <c r="Q691" s="495"/>
      <c r="R691" s="495"/>
    </row>
    <row r="692">
      <c r="H692" s="495"/>
      <c r="I692" s="495"/>
      <c r="J692" s="495"/>
      <c r="P692" s="495"/>
      <c r="Q692" s="495"/>
      <c r="R692" s="495"/>
    </row>
    <row r="693">
      <c r="H693" s="495"/>
      <c r="I693" s="495"/>
      <c r="J693" s="495"/>
      <c r="P693" s="495"/>
      <c r="Q693" s="495"/>
      <c r="R693" s="495"/>
    </row>
    <row r="694">
      <c r="H694" s="495"/>
      <c r="I694" s="495"/>
      <c r="J694" s="495"/>
      <c r="P694" s="495"/>
      <c r="Q694" s="495"/>
      <c r="R694" s="495"/>
    </row>
    <row r="695">
      <c r="H695" s="495"/>
      <c r="I695" s="495"/>
      <c r="J695" s="495"/>
      <c r="P695" s="495"/>
      <c r="Q695" s="495"/>
      <c r="R695" s="495"/>
    </row>
    <row r="696">
      <c r="H696" s="495"/>
      <c r="I696" s="495"/>
      <c r="J696" s="495"/>
      <c r="P696" s="495"/>
      <c r="Q696" s="495"/>
      <c r="R696" s="495"/>
    </row>
    <row r="697">
      <c r="H697" s="495"/>
      <c r="I697" s="495"/>
      <c r="J697" s="495"/>
      <c r="P697" s="495"/>
      <c r="Q697" s="495"/>
      <c r="R697" s="495"/>
    </row>
    <row r="698">
      <c r="H698" s="495"/>
      <c r="I698" s="495"/>
      <c r="J698" s="495"/>
      <c r="P698" s="495"/>
      <c r="Q698" s="495"/>
      <c r="R698" s="495"/>
    </row>
    <row r="699">
      <c r="H699" s="495"/>
      <c r="I699" s="495"/>
      <c r="J699" s="495"/>
      <c r="P699" s="495"/>
      <c r="Q699" s="495"/>
      <c r="R699" s="495"/>
    </row>
    <row r="700">
      <c r="H700" s="495"/>
      <c r="I700" s="495"/>
      <c r="J700" s="495"/>
      <c r="P700" s="495"/>
      <c r="Q700" s="495"/>
      <c r="R700" s="495"/>
    </row>
    <row r="701">
      <c r="H701" s="495"/>
      <c r="I701" s="495"/>
      <c r="J701" s="495"/>
      <c r="P701" s="495"/>
      <c r="Q701" s="495"/>
      <c r="R701" s="495"/>
    </row>
    <row r="702">
      <c r="H702" s="495"/>
      <c r="I702" s="495"/>
      <c r="J702" s="495"/>
      <c r="P702" s="495"/>
      <c r="Q702" s="495"/>
      <c r="R702" s="495"/>
    </row>
    <row r="703">
      <c r="H703" s="495"/>
      <c r="I703" s="495"/>
      <c r="J703" s="495"/>
      <c r="P703" s="495"/>
      <c r="Q703" s="495"/>
      <c r="R703" s="495"/>
    </row>
    <row r="704">
      <c r="H704" s="495"/>
      <c r="I704" s="495"/>
      <c r="J704" s="495"/>
      <c r="P704" s="495"/>
      <c r="Q704" s="495"/>
      <c r="R704" s="495"/>
    </row>
    <row r="705">
      <c r="H705" s="495"/>
      <c r="I705" s="495"/>
      <c r="J705" s="495"/>
      <c r="P705" s="495"/>
      <c r="Q705" s="495"/>
      <c r="R705" s="495"/>
    </row>
    <row r="706">
      <c r="H706" s="495"/>
      <c r="I706" s="495"/>
      <c r="J706" s="495"/>
      <c r="P706" s="495"/>
      <c r="Q706" s="495"/>
      <c r="R706" s="495"/>
    </row>
    <row r="707">
      <c r="H707" s="495"/>
      <c r="I707" s="495"/>
      <c r="J707" s="495"/>
      <c r="P707" s="495"/>
      <c r="Q707" s="495"/>
      <c r="R707" s="495"/>
    </row>
    <row r="708">
      <c r="H708" s="495"/>
      <c r="I708" s="495"/>
      <c r="J708" s="495"/>
      <c r="P708" s="495"/>
      <c r="Q708" s="495"/>
      <c r="R708" s="495"/>
    </row>
    <row r="709">
      <c r="H709" s="495"/>
      <c r="I709" s="495"/>
      <c r="J709" s="495"/>
      <c r="P709" s="495"/>
      <c r="Q709" s="495"/>
      <c r="R709" s="495"/>
    </row>
    <row r="710">
      <c r="H710" s="495"/>
      <c r="I710" s="495"/>
      <c r="J710" s="495"/>
      <c r="P710" s="495"/>
      <c r="Q710" s="495"/>
      <c r="R710" s="495"/>
    </row>
    <row r="711">
      <c r="H711" s="495"/>
      <c r="I711" s="495"/>
      <c r="J711" s="495"/>
      <c r="P711" s="495"/>
      <c r="Q711" s="495"/>
      <c r="R711" s="495"/>
    </row>
    <row r="712">
      <c r="H712" s="495"/>
      <c r="I712" s="495"/>
      <c r="J712" s="495"/>
      <c r="P712" s="495"/>
      <c r="Q712" s="495"/>
      <c r="R712" s="495"/>
    </row>
    <row r="713">
      <c r="H713" s="495"/>
      <c r="I713" s="495"/>
      <c r="J713" s="495"/>
      <c r="P713" s="495"/>
      <c r="Q713" s="495"/>
      <c r="R713" s="495"/>
    </row>
    <row r="714">
      <c r="H714" s="495"/>
      <c r="I714" s="495"/>
      <c r="J714" s="495"/>
      <c r="P714" s="495"/>
      <c r="Q714" s="495"/>
      <c r="R714" s="495"/>
    </row>
    <row r="715">
      <c r="H715" s="495"/>
      <c r="I715" s="495"/>
      <c r="J715" s="495"/>
      <c r="P715" s="495"/>
      <c r="Q715" s="495"/>
      <c r="R715" s="495"/>
    </row>
    <row r="716">
      <c r="H716" s="495"/>
      <c r="I716" s="495"/>
      <c r="J716" s="495"/>
      <c r="P716" s="495"/>
      <c r="Q716" s="495"/>
      <c r="R716" s="495"/>
    </row>
    <row r="717">
      <c r="H717" s="495"/>
      <c r="I717" s="495"/>
      <c r="J717" s="495"/>
      <c r="P717" s="495"/>
      <c r="Q717" s="495"/>
      <c r="R717" s="495"/>
    </row>
    <row r="718">
      <c r="H718" s="495"/>
      <c r="I718" s="495"/>
      <c r="J718" s="495"/>
      <c r="P718" s="495"/>
      <c r="Q718" s="495"/>
      <c r="R718" s="495"/>
    </row>
    <row r="719">
      <c r="H719" s="495"/>
      <c r="I719" s="495"/>
      <c r="J719" s="495"/>
      <c r="P719" s="495"/>
      <c r="Q719" s="495"/>
      <c r="R719" s="495"/>
    </row>
    <row r="720">
      <c r="H720" s="495"/>
      <c r="I720" s="495"/>
      <c r="J720" s="495"/>
      <c r="P720" s="495"/>
      <c r="Q720" s="495"/>
      <c r="R720" s="495"/>
    </row>
    <row r="721">
      <c r="H721" s="495"/>
      <c r="I721" s="495"/>
      <c r="J721" s="495"/>
      <c r="P721" s="495"/>
      <c r="Q721" s="495"/>
      <c r="R721" s="495"/>
    </row>
    <row r="722">
      <c r="H722" s="495"/>
      <c r="I722" s="495"/>
      <c r="J722" s="495"/>
      <c r="P722" s="495"/>
      <c r="Q722" s="495"/>
      <c r="R722" s="495"/>
    </row>
    <row r="723">
      <c r="H723" s="495"/>
      <c r="I723" s="495"/>
      <c r="J723" s="495"/>
      <c r="P723" s="495"/>
      <c r="Q723" s="495"/>
      <c r="R723" s="495"/>
    </row>
    <row r="724">
      <c r="H724" s="495"/>
      <c r="I724" s="495"/>
      <c r="J724" s="495"/>
      <c r="P724" s="495"/>
      <c r="Q724" s="495"/>
      <c r="R724" s="495"/>
    </row>
    <row r="725">
      <c r="H725" s="495"/>
      <c r="I725" s="495"/>
      <c r="J725" s="495"/>
      <c r="P725" s="495"/>
      <c r="Q725" s="495"/>
      <c r="R725" s="495"/>
    </row>
    <row r="726">
      <c r="H726" s="495"/>
      <c r="I726" s="495"/>
      <c r="J726" s="495"/>
      <c r="P726" s="495"/>
      <c r="Q726" s="495"/>
      <c r="R726" s="495"/>
    </row>
    <row r="727">
      <c r="H727" s="495"/>
      <c r="I727" s="495"/>
      <c r="J727" s="495"/>
      <c r="P727" s="495"/>
      <c r="Q727" s="495"/>
      <c r="R727" s="495"/>
    </row>
    <row r="728">
      <c r="H728" s="495"/>
      <c r="I728" s="495"/>
      <c r="J728" s="495"/>
      <c r="P728" s="495"/>
      <c r="Q728" s="495"/>
      <c r="R728" s="495"/>
    </row>
    <row r="729">
      <c r="H729" s="495"/>
      <c r="I729" s="495"/>
      <c r="J729" s="495"/>
      <c r="P729" s="495"/>
      <c r="Q729" s="495"/>
      <c r="R729" s="495"/>
    </row>
    <row r="730">
      <c r="H730" s="495"/>
      <c r="I730" s="495"/>
      <c r="J730" s="495"/>
      <c r="P730" s="495"/>
      <c r="Q730" s="495"/>
      <c r="R730" s="495"/>
    </row>
    <row r="731">
      <c r="H731" s="495"/>
      <c r="I731" s="495"/>
      <c r="J731" s="495"/>
      <c r="P731" s="495"/>
      <c r="Q731" s="495"/>
      <c r="R731" s="495"/>
    </row>
    <row r="732">
      <c r="H732" s="495"/>
      <c r="I732" s="495"/>
      <c r="J732" s="495"/>
      <c r="P732" s="495"/>
      <c r="Q732" s="495"/>
      <c r="R732" s="495"/>
    </row>
    <row r="733">
      <c r="H733" s="495"/>
      <c r="I733" s="495"/>
      <c r="J733" s="495"/>
      <c r="P733" s="495"/>
      <c r="Q733" s="495"/>
      <c r="R733" s="495"/>
    </row>
    <row r="734">
      <c r="H734" s="495"/>
      <c r="I734" s="495"/>
      <c r="J734" s="495"/>
      <c r="P734" s="495"/>
      <c r="Q734" s="495"/>
      <c r="R734" s="495"/>
    </row>
    <row r="735">
      <c r="H735" s="495"/>
      <c r="I735" s="495"/>
      <c r="J735" s="495"/>
      <c r="P735" s="495"/>
      <c r="Q735" s="495"/>
      <c r="R735" s="495"/>
    </row>
    <row r="736">
      <c r="H736" s="495"/>
      <c r="I736" s="495"/>
      <c r="J736" s="495"/>
      <c r="P736" s="495"/>
      <c r="Q736" s="495"/>
      <c r="R736" s="495"/>
    </row>
    <row r="737">
      <c r="H737" s="495"/>
      <c r="I737" s="495"/>
      <c r="J737" s="495"/>
      <c r="P737" s="495"/>
      <c r="Q737" s="495"/>
      <c r="R737" s="495"/>
    </row>
    <row r="738">
      <c r="H738" s="495"/>
      <c r="I738" s="495"/>
      <c r="J738" s="495"/>
      <c r="P738" s="495"/>
      <c r="Q738" s="495"/>
      <c r="R738" s="495"/>
    </row>
    <row r="739">
      <c r="H739" s="495"/>
      <c r="I739" s="495"/>
      <c r="J739" s="495"/>
      <c r="P739" s="495"/>
      <c r="Q739" s="495"/>
      <c r="R739" s="495"/>
    </row>
    <row r="740">
      <c r="H740" s="495"/>
      <c r="I740" s="495"/>
      <c r="J740" s="495"/>
      <c r="P740" s="495"/>
      <c r="Q740" s="495"/>
      <c r="R740" s="495"/>
    </row>
    <row r="741">
      <c r="H741" s="495"/>
      <c r="I741" s="495"/>
      <c r="J741" s="495"/>
      <c r="P741" s="495"/>
      <c r="Q741" s="495"/>
      <c r="R741" s="495"/>
    </row>
    <row r="742">
      <c r="H742" s="495"/>
      <c r="I742" s="495"/>
      <c r="J742" s="495"/>
      <c r="P742" s="495"/>
      <c r="Q742" s="495"/>
      <c r="R742" s="495"/>
    </row>
    <row r="743">
      <c r="H743" s="495"/>
      <c r="I743" s="495"/>
      <c r="J743" s="495"/>
      <c r="P743" s="495"/>
      <c r="Q743" s="495"/>
      <c r="R743" s="495"/>
    </row>
    <row r="744">
      <c r="H744" s="495"/>
      <c r="I744" s="495"/>
      <c r="J744" s="495"/>
      <c r="P744" s="495"/>
      <c r="Q744" s="495"/>
      <c r="R744" s="495"/>
    </row>
    <row r="745">
      <c r="H745" s="495"/>
      <c r="I745" s="495"/>
      <c r="J745" s="495"/>
      <c r="P745" s="495"/>
      <c r="Q745" s="495"/>
      <c r="R745" s="495"/>
    </row>
    <row r="746">
      <c r="H746" s="495"/>
      <c r="I746" s="495"/>
      <c r="J746" s="495"/>
      <c r="P746" s="495"/>
      <c r="Q746" s="495"/>
      <c r="R746" s="495"/>
    </row>
    <row r="747">
      <c r="H747" s="495"/>
      <c r="I747" s="495"/>
      <c r="J747" s="495"/>
      <c r="P747" s="495"/>
      <c r="Q747" s="495"/>
      <c r="R747" s="495"/>
    </row>
    <row r="748">
      <c r="H748" s="495"/>
      <c r="I748" s="495"/>
      <c r="J748" s="495"/>
      <c r="P748" s="495"/>
      <c r="Q748" s="495"/>
      <c r="R748" s="495"/>
    </row>
    <row r="749">
      <c r="H749" s="495"/>
      <c r="I749" s="495"/>
      <c r="J749" s="495"/>
      <c r="P749" s="495"/>
      <c r="Q749" s="495"/>
      <c r="R749" s="495"/>
    </row>
    <row r="750">
      <c r="H750" s="495"/>
      <c r="I750" s="495"/>
      <c r="J750" s="495"/>
      <c r="P750" s="495"/>
      <c r="Q750" s="495"/>
      <c r="R750" s="495"/>
    </row>
    <row r="751">
      <c r="H751" s="495"/>
      <c r="I751" s="495"/>
      <c r="J751" s="495"/>
      <c r="P751" s="495"/>
      <c r="Q751" s="495"/>
      <c r="R751" s="495"/>
    </row>
    <row r="752">
      <c r="H752" s="495"/>
      <c r="I752" s="495"/>
      <c r="J752" s="495"/>
      <c r="P752" s="495"/>
      <c r="Q752" s="495"/>
      <c r="R752" s="495"/>
    </row>
    <row r="753">
      <c r="H753" s="495"/>
      <c r="I753" s="495"/>
      <c r="J753" s="495"/>
      <c r="P753" s="495"/>
      <c r="Q753" s="495"/>
      <c r="R753" s="495"/>
    </row>
    <row r="754">
      <c r="H754" s="495"/>
      <c r="I754" s="495"/>
      <c r="J754" s="495"/>
      <c r="P754" s="495"/>
      <c r="Q754" s="495"/>
      <c r="R754" s="495"/>
    </row>
    <row r="755">
      <c r="H755" s="495"/>
      <c r="I755" s="495"/>
      <c r="J755" s="495"/>
      <c r="P755" s="495"/>
      <c r="Q755" s="495"/>
      <c r="R755" s="495"/>
    </row>
    <row r="756">
      <c r="H756" s="495"/>
      <c r="I756" s="495"/>
      <c r="J756" s="495"/>
      <c r="P756" s="495"/>
      <c r="Q756" s="495"/>
      <c r="R756" s="495"/>
    </row>
    <row r="757">
      <c r="H757" s="495"/>
      <c r="I757" s="495"/>
      <c r="J757" s="495"/>
      <c r="P757" s="495"/>
      <c r="Q757" s="495"/>
      <c r="R757" s="495"/>
    </row>
    <row r="758">
      <c r="H758" s="495"/>
      <c r="I758" s="495"/>
      <c r="J758" s="495"/>
      <c r="P758" s="495"/>
      <c r="Q758" s="495"/>
      <c r="R758" s="495"/>
    </row>
    <row r="759">
      <c r="H759" s="495"/>
      <c r="I759" s="495"/>
      <c r="J759" s="495"/>
      <c r="P759" s="495"/>
      <c r="Q759" s="495"/>
      <c r="R759" s="495"/>
    </row>
    <row r="760">
      <c r="H760" s="495"/>
      <c r="I760" s="495"/>
      <c r="J760" s="495"/>
      <c r="P760" s="495"/>
      <c r="Q760" s="495"/>
      <c r="R760" s="495"/>
    </row>
    <row r="761">
      <c r="H761" s="495"/>
      <c r="I761" s="495"/>
      <c r="J761" s="495"/>
      <c r="P761" s="495"/>
      <c r="Q761" s="495"/>
      <c r="R761" s="495"/>
    </row>
    <row r="762">
      <c r="H762" s="495"/>
      <c r="I762" s="495"/>
      <c r="J762" s="495"/>
      <c r="P762" s="495"/>
      <c r="Q762" s="495"/>
      <c r="R762" s="495"/>
    </row>
    <row r="763">
      <c r="H763" s="495"/>
      <c r="I763" s="495"/>
      <c r="J763" s="495"/>
      <c r="P763" s="495"/>
      <c r="Q763" s="495"/>
      <c r="R763" s="495"/>
    </row>
    <row r="764">
      <c r="H764" s="495"/>
      <c r="I764" s="495"/>
      <c r="J764" s="495"/>
      <c r="P764" s="495"/>
      <c r="Q764" s="495"/>
      <c r="R764" s="495"/>
    </row>
    <row r="765">
      <c r="H765" s="495"/>
      <c r="I765" s="495"/>
      <c r="J765" s="495"/>
      <c r="P765" s="495"/>
      <c r="Q765" s="495"/>
      <c r="R765" s="495"/>
    </row>
    <row r="766">
      <c r="H766" s="495"/>
      <c r="I766" s="495"/>
      <c r="J766" s="495"/>
      <c r="P766" s="495"/>
      <c r="Q766" s="495"/>
      <c r="R766" s="495"/>
    </row>
    <row r="767">
      <c r="H767" s="495"/>
      <c r="I767" s="495"/>
      <c r="J767" s="495"/>
      <c r="P767" s="495"/>
      <c r="Q767" s="495"/>
      <c r="R767" s="495"/>
    </row>
    <row r="768">
      <c r="H768" s="495"/>
      <c r="I768" s="495"/>
      <c r="J768" s="495"/>
      <c r="P768" s="495"/>
      <c r="Q768" s="495"/>
      <c r="R768" s="495"/>
    </row>
    <row r="769">
      <c r="H769" s="495"/>
      <c r="I769" s="495"/>
      <c r="J769" s="495"/>
      <c r="P769" s="495"/>
      <c r="Q769" s="495"/>
      <c r="R769" s="495"/>
    </row>
    <row r="770">
      <c r="H770" s="495"/>
      <c r="I770" s="495"/>
      <c r="J770" s="495"/>
      <c r="P770" s="495"/>
      <c r="Q770" s="495"/>
      <c r="R770" s="495"/>
    </row>
    <row r="771">
      <c r="H771" s="495"/>
      <c r="I771" s="495"/>
      <c r="J771" s="495"/>
      <c r="P771" s="495"/>
      <c r="Q771" s="495"/>
      <c r="R771" s="495"/>
    </row>
    <row r="772">
      <c r="H772" s="495"/>
      <c r="I772" s="495"/>
      <c r="J772" s="495"/>
      <c r="P772" s="495"/>
      <c r="Q772" s="495"/>
      <c r="R772" s="495"/>
    </row>
    <row r="773">
      <c r="H773" s="495"/>
      <c r="I773" s="495"/>
      <c r="J773" s="495"/>
      <c r="P773" s="495"/>
      <c r="Q773" s="495"/>
      <c r="R773" s="495"/>
    </row>
    <row r="774">
      <c r="H774" s="495"/>
      <c r="I774" s="495"/>
      <c r="J774" s="495"/>
      <c r="P774" s="495"/>
      <c r="Q774" s="495"/>
      <c r="R774" s="495"/>
    </row>
    <row r="775">
      <c r="H775" s="495"/>
      <c r="I775" s="495"/>
      <c r="J775" s="495"/>
      <c r="P775" s="495"/>
      <c r="Q775" s="495"/>
      <c r="R775" s="495"/>
    </row>
    <row r="776">
      <c r="H776" s="495"/>
      <c r="I776" s="495"/>
      <c r="J776" s="495"/>
      <c r="P776" s="495"/>
      <c r="Q776" s="495"/>
      <c r="R776" s="495"/>
    </row>
    <row r="777">
      <c r="H777" s="495"/>
      <c r="I777" s="495"/>
      <c r="J777" s="495"/>
      <c r="P777" s="495"/>
      <c r="Q777" s="495"/>
      <c r="R777" s="495"/>
    </row>
    <row r="778">
      <c r="H778" s="495"/>
      <c r="I778" s="495"/>
      <c r="J778" s="495"/>
      <c r="P778" s="495"/>
      <c r="Q778" s="495"/>
      <c r="R778" s="495"/>
    </row>
    <row r="779">
      <c r="H779" s="495"/>
      <c r="I779" s="495"/>
      <c r="J779" s="495"/>
      <c r="P779" s="495"/>
      <c r="Q779" s="495"/>
      <c r="R779" s="495"/>
    </row>
    <row r="780">
      <c r="H780" s="495"/>
      <c r="I780" s="495"/>
      <c r="J780" s="495"/>
      <c r="P780" s="495"/>
      <c r="Q780" s="495"/>
      <c r="R780" s="495"/>
    </row>
    <row r="781">
      <c r="H781" s="495"/>
      <c r="I781" s="495"/>
      <c r="J781" s="495"/>
      <c r="P781" s="495"/>
      <c r="Q781" s="495"/>
      <c r="R781" s="495"/>
    </row>
    <row r="782">
      <c r="H782" s="495"/>
      <c r="I782" s="495"/>
      <c r="J782" s="495"/>
      <c r="P782" s="495"/>
      <c r="Q782" s="495"/>
      <c r="R782" s="495"/>
    </row>
    <row r="783">
      <c r="H783" s="495"/>
      <c r="I783" s="495"/>
      <c r="J783" s="495"/>
      <c r="P783" s="495"/>
      <c r="Q783" s="495"/>
      <c r="R783" s="495"/>
    </row>
    <row r="784">
      <c r="H784" s="495"/>
      <c r="I784" s="495"/>
      <c r="J784" s="495"/>
      <c r="P784" s="495"/>
      <c r="Q784" s="495"/>
      <c r="R784" s="495"/>
    </row>
    <row r="785">
      <c r="H785" s="495"/>
      <c r="I785" s="495"/>
      <c r="J785" s="495"/>
      <c r="P785" s="495"/>
      <c r="Q785" s="495"/>
      <c r="R785" s="495"/>
    </row>
    <row r="786">
      <c r="H786" s="495"/>
      <c r="I786" s="495"/>
      <c r="J786" s="495"/>
      <c r="P786" s="495"/>
      <c r="Q786" s="495"/>
      <c r="R786" s="495"/>
    </row>
    <row r="787">
      <c r="H787" s="495"/>
      <c r="I787" s="495"/>
      <c r="J787" s="495"/>
      <c r="P787" s="495"/>
      <c r="Q787" s="495"/>
      <c r="R787" s="495"/>
    </row>
    <row r="788">
      <c r="H788" s="495"/>
      <c r="I788" s="495"/>
      <c r="J788" s="495"/>
      <c r="P788" s="495"/>
      <c r="Q788" s="495"/>
      <c r="R788" s="495"/>
    </row>
    <row r="789">
      <c r="H789" s="495"/>
      <c r="I789" s="495"/>
      <c r="J789" s="495"/>
      <c r="P789" s="495"/>
      <c r="Q789" s="495"/>
      <c r="R789" s="495"/>
    </row>
    <row r="790">
      <c r="H790" s="495"/>
      <c r="I790" s="495"/>
      <c r="J790" s="495"/>
      <c r="P790" s="495"/>
      <c r="Q790" s="495"/>
      <c r="R790" s="495"/>
    </row>
    <row r="791">
      <c r="H791" s="495"/>
      <c r="I791" s="495"/>
      <c r="J791" s="495"/>
      <c r="P791" s="495"/>
      <c r="Q791" s="495"/>
      <c r="R791" s="495"/>
    </row>
    <row r="792">
      <c r="H792" s="495"/>
      <c r="I792" s="495"/>
      <c r="J792" s="495"/>
      <c r="P792" s="495"/>
      <c r="Q792" s="495"/>
      <c r="R792" s="495"/>
    </row>
    <row r="793">
      <c r="H793" s="495"/>
      <c r="I793" s="495"/>
      <c r="J793" s="495"/>
      <c r="P793" s="495"/>
      <c r="Q793" s="495"/>
      <c r="R793" s="495"/>
    </row>
    <row r="794">
      <c r="H794" s="495"/>
      <c r="I794" s="495"/>
      <c r="J794" s="495"/>
      <c r="P794" s="495"/>
      <c r="Q794" s="495"/>
      <c r="R794" s="495"/>
    </row>
    <row r="795">
      <c r="H795" s="495"/>
      <c r="I795" s="495"/>
      <c r="J795" s="495"/>
      <c r="P795" s="495"/>
      <c r="Q795" s="495"/>
      <c r="R795" s="495"/>
    </row>
    <row r="796">
      <c r="H796" s="495"/>
      <c r="I796" s="495"/>
      <c r="J796" s="495"/>
      <c r="P796" s="495"/>
      <c r="Q796" s="495"/>
      <c r="R796" s="495"/>
    </row>
    <row r="797">
      <c r="H797" s="495"/>
      <c r="I797" s="495"/>
      <c r="J797" s="495"/>
      <c r="P797" s="495"/>
      <c r="Q797" s="495"/>
      <c r="R797" s="495"/>
    </row>
    <row r="798">
      <c r="H798" s="495"/>
      <c r="I798" s="495"/>
      <c r="J798" s="495"/>
      <c r="P798" s="495"/>
      <c r="Q798" s="495"/>
      <c r="R798" s="495"/>
    </row>
    <row r="799">
      <c r="H799" s="495"/>
      <c r="I799" s="495"/>
      <c r="J799" s="495"/>
      <c r="P799" s="495"/>
      <c r="Q799" s="495"/>
      <c r="R799" s="495"/>
    </row>
    <row r="800">
      <c r="H800" s="495"/>
      <c r="I800" s="495"/>
      <c r="J800" s="495"/>
      <c r="P800" s="495"/>
      <c r="Q800" s="495"/>
      <c r="R800" s="495"/>
    </row>
    <row r="801">
      <c r="H801" s="495"/>
      <c r="I801" s="495"/>
      <c r="J801" s="495"/>
      <c r="P801" s="495"/>
      <c r="Q801" s="495"/>
      <c r="R801" s="495"/>
    </row>
    <row r="802">
      <c r="H802" s="495"/>
      <c r="I802" s="495"/>
      <c r="J802" s="495"/>
      <c r="P802" s="495"/>
      <c r="Q802" s="495"/>
      <c r="R802" s="495"/>
    </row>
    <row r="803">
      <c r="H803" s="495"/>
      <c r="I803" s="495"/>
      <c r="J803" s="495"/>
      <c r="P803" s="495"/>
      <c r="Q803" s="495"/>
      <c r="R803" s="495"/>
    </row>
    <row r="804">
      <c r="H804" s="495"/>
      <c r="I804" s="495"/>
      <c r="J804" s="495"/>
      <c r="P804" s="495"/>
      <c r="Q804" s="495"/>
      <c r="R804" s="495"/>
    </row>
    <row r="805">
      <c r="H805" s="495"/>
      <c r="I805" s="495"/>
      <c r="J805" s="495"/>
      <c r="P805" s="495"/>
      <c r="Q805" s="495"/>
      <c r="R805" s="495"/>
    </row>
    <row r="806">
      <c r="H806" s="495"/>
      <c r="I806" s="495"/>
      <c r="J806" s="495"/>
      <c r="P806" s="495"/>
      <c r="Q806" s="495"/>
      <c r="R806" s="495"/>
    </row>
    <row r="807">
      <c r="H807" s="495"/>
      <c r="I807" s="495"/>
      <c r="J807" s="495"/>
      <c r="P807" s="495"/>
      <c r="Q807" s="495"/>
      <c r="R807" s="495"/>
    </row>
    <row r="808">
      <c r="H808" s="495"/>
      <c r="I808" s="495"/>
      <c r="J808" s="495"/>
      <c r="P808" s="495"/>
      <c r="Q808" s="495"/>
      <c r="R808" s="495"/>
    </row>
    <row r="809">
      <c r="H809" s="495"/>
      <c r="I809" s="495"/>
      <c r="J809" s="495"/>
      <c r="P809" s="495"/>
      <c r="Q809" s="495"/>
      <c r="R809" s="495"/>
    </row>
    <row r="810">
      <c r="H810" s="495"/>
      <c r="I810" s="495"/>
      <c r="J810" s="495"/>
      <c r="P810" s="495"/>
      <c r="Q810" s="495"/>
      <c r="R810" s="495"/>
    </row>
    <row r="811">
      <c r="H811" s="495"/>
      <c r="I811" s="495"/>
      <c r="J811" s="495"/>
      <c r="P811" s="495"/>
      <c r="Q811" s="495"/>
      <c r="R811" s="495"/>
    </row>
    <row r="812">
      <c r="H812" s="495"/>
      <c r="I812" s="495"/>
      <c r="J812" s="495"/>
      <c r="P812" s="495"/>
      <c r="Q812" s="495"/>
      <c r="R812" s="495"/>
    </row>
    <row r="813">
      <c r="H813" s="495"/>
      <c r="I813" s="495"/>
      <c r="J813" s="495"/>
      <c r="P813" s="495"/>
      <c r="Q813" s="495"/>
      <c r="R813" s="495"/>
    </row>
    <row r="814">
      <c r="H814" s="495"/>
      <c r="I814" s="495"/>
      <c r="J814" s="495"/>
      <c r="P814" s="495"/>
      <c r="Q814" s="495"/>
      <c r="R814" s="495"/>
    </row>
    <row r="815">
      <c r="H815" s="495"/>
      <c r="I815" s="495"/>
      <c r="J815" s="495"/>
      <c r="P815" s="495"/>
      <c r="Q815" s="495"/>
      <c r="R815" s="495"/>
    </row>
    <row r="816">
      <c r="H816" s="495"/>
      <c r="I816" s="495"/>
      <c r="J816" s="495"/>
      <c r="P816" s="495"/>
      <c r="Q816" s="495"/>
      <c r="R816" s="495"/>
    </row>
    <row r="817">
      <c r="H817" s="495"/>
      <c r="I817" s="495"/>
      <c r="J817" s="495"/>
      <c r="P817" s="495"/>
      <c r="Q817" s="495"/>
      <c r="R817" s="495"/>
    </row>
    <row r="818">
      <c r="H818" s="495"/>
      <c r="I818" s="495"/>
      <c r="J818" s="495"/>
      <c r="P818" s="495"/>
      <c r="Q818" s="495"/>
      <c r="R818" s="495"/>
    </row>
    <row r="819">
      <c r="H819" s="495"/>
      <c r="I819" s="495"/>
      <c r="J819" s="495"/>
      <c r="P819" s="495"/>
      <c r="Q819" s="495"/>
      <c r="R819" s="495"/>
    </row>
    <row r="820">
      <c r="H820" s="495"/>
      <c r="I820" s="495"/>
      <c r="J820" s="495"/>
      <c r="P820" s="495"/>
      <c r="Q820" s="495"/>
      <c r="R820" s="495"/>
    </row>
    <row r="821">
      <c r="H821" s="495"/>
      <c r="I821" s="495"/>
      <c r="J821" s="495"/>
      <c r="P821" s="495"/>
      <c r="Q821" s="495"/>
      <c r="R821" s="495"/>
    </row>
    <row r="822">
      <c r="H822" s="495"/>
      <c r="I822" s="495"/>
      <c r="J822" s="495"/>
      <c r="P822" s="495"/>
      <c r="Q822" s="495"/>
      <c r="R822" s="495"/>
    </row>
    <row r="823">
      <c r="H823" s="495"/>
      <c r="I823" s="495"/>
      <c r="J823" s="495"/>
      <c r="P823" s="495"/>
      <c r="Q823" s="495"/>
      <c r="R823" s="495"/>
    </row>
    <row r="824">
      <c r="H824" s="495"/>
      <c r="I824" s="495"/>
      <c r="J824" s="495"/>
      <c r="P824" s="495"/>
      <c r="Q824" s="495"/>
      <c r="R824" s="495"/>
    </row>
    <row r="825">
      <c r="H825" s="495"/>
      <c r="I825" s="495"/>
      <c r="J825" s="495"/>
      <c r="P825" s="495"/>
      <c r="Q825" s="495"/>
      <c r="R825" s="495"/>
    </row>
    <row r="826">
      <c r="H826" s="495"/>
      <c r="I826" s="495"/>
      <c r="J826" s="495"/>
      <c r="P826" s="495"/>
      <c r="Q826" s="495"/>
      <c r="R826" s="495"/>
    </row>
    <row r="827">
      <c r="H827" s="495"/>
      <c r="I827" s="495"/>
      <c r="J827" s="495"/>
      <c r="P827" s="495"/>
      <c r="Q827" s="495"/>
      <c r="R827" s="495"/>
    </row>
    <row r="828">
      <c r="H828" s="495"/>
      <c r="I828" s="495"/>
      <c r="J828" s="495"/>
      <c r="P828" s="495"/>
      <c r="Q828" s="495"/>
      <c r="R828" s="495"/>
    </row>
    <row r="829">
      <c r="H829" s="495"/>
      <c r="I829" s="495"/>
      <c r="J829" s="495"/>
      <c r="P829" s="495"/>
      <c r="Q829" s="495"/>
      <c r="R829" s="495"/>
    </row>
    <row r="830">
      <c r="H830" s="495"/>
      <c r="I830" s="495"/>
      <c r="J830" s="495"/>
      <c r="P830" s="495"/>
      <c r="Q830" s="495"/>
      <c r="R830" s="495"/>
    </row>
    <row r="831">
      <c r="H831" s="495"/>
      <c r="I831" s="495"/>
      <c r="J831" s="495"/>
      <c r="P831" s="495"/>
      <c r="Q831" s="495"/>
      <c r="R831" s="495"/>
    </row>
    <row r="832">
      <c r="H832" s="495"/>
      <c r="I832" s="495"/>
      <c r="J832" s="495"/>
      <c r="P832" s="495"/>
      <c r="Q832" s="495"/>
      <c r="R832" s="495"/>
    </row>
    <row r="833">
      <c r="H833" s="495"/>
      <c r="I833" s="495"/>
      <c r="J833" s="495"/>
      <c r="P833" s="495"/>
      <c r="Q833" s="495"/>
      <c r="R833" s="495"/>
    </row>
    <row r="834">
      <c r="H834" s="495"/>
      <c r="I834" s="495"/>
      <c r="J834" s="495"/>
      <c r="P834" s="495"/>
      <c r="Q834" s="495"/>
      <c r="R834" s="495"/>
    </row>
    <row r="835">
      <c r="H835" s="495"/>
      <c r="I835" s="495"/>
      <c r="J835" s="495"/>
      <c r="P835" s="495"/>
      <c r="Q835" s="495"/>
      <c r="R835" s="495"/>
    </row>
    <row r="836">
      <c r="H836" s="495"/>
      <c r="I836" s="495"/>
      <c r="J836" s="495"/>
      <c r="P836" s="495"/>
      <c r="Q836" s="495"/>
      <c r="R836" s="495"/>
    </row>
    <row r="837">
      <c r="H837" s="495"/>
      <c r="I837" s="495"/>
      <c r="J837" s="495"/>
      <c r="P837" s="495"/>
      <c r="Q837" s="495"/>
      <c r="R837" s="495"/>
    </row>
    <row r="838">
      <c r="H838" s="495"/>
      <c r="I838" s="495"/>
      <c r="J838" s="495"/>
      <c r="P838" s="495"/>
      <c r="Q838" s="495"/>
      <c r="R838" s="495"/>
    </row>
    <row r="839">
      <c r="H839" s="495"/>
      <c r="I839" s="495"/>
      <c r="J839" s="495"/>
      <c r="P839" s="495"/>
      <c r="Q839" s="495"/>
      <c r="R839" s="495"/>
    </row>
    <row r="840">
      <c r="H840" s="495"/>
      <c r="I840" s="495"/>
      <c r="J840" s="495"/>
      <c r="P840" s="495"/>
      <c r="Q840" s="495"/>
      <c r="R840" s="495"/>
    </row>
    <row r="841">
      <c r="H841" s="495"/>
      <c r="I841" s="495"/>
      <c r="J841" s="495"/>
      <c r="P841" s="495"/>
      <c r="Q841" s="495"/>
      <c r="R841" s="495"/>
    </row>
    <row r="842">
      <c r="H842" s="495"/>
      <c r="I842" s="495"/>
      <c r="J842" s="495"/>
      <c r="P842" s="495"/>
      <c r="Q842" s="495"/>
      <c r="R842" s="495"/>
    </row>
    <row r="843">
      <c r="H843" s="495"/>
      <c r="I843" s="495"/>
      <c r="J843" s="495"/>
      <c r="P843" s="495"/>
      <c r="Q843" s="495"/>
      <c r="R843" s="495"/>
    </row>
    <row r="844">
      <c r="H844" s="495"/>
      <c r="I844" s="495"/>
      <c r="J844" s="495"/>
      <c r="P844" s="495"/>
      <c r="Q844" s="495"/>
      <c r="R844" s="495"/>
    </row>
    <row r="845">
      <c r="H845" s="495"/>
      <c r="I845" s="495"/>
      <c r="J845" s="495"/>
      <c r="P845" s="495"/>
      <c r="Q845" s="495"/>
      <c r="R845" s="495"/>
    </row>
    <row r="846">
      <c r="H846" s="495"/>
      <c r="I846" s="495"/>
      <c r="J846" s="495"/>
      <c r="P846" s="495"/>
      <c r="Q846" s="495"/>
      <c r="R846" s="495"/>
    </row>
    <row r="847">
      <c r="H847" s="495"/>
      <c r="I847" s="495"/>
      <c r="J847" s="495"/>
      <c r="P847" s="495"/>
      <c r="Q847" s="495"/>
      <c r="R847" s="495"/>
    </row>
    <row r="848">
      <c r="H848" s="495"/>
      <c r="I848" s="495"/>
      <c r="J848" s="495"/>
      <c r="P848" s="495"/>
      <c r="Q848" s="495"/>
      <c r="R848" s="495"/>
    </row>
    <row r="849">
      <c r="H849" s="495"/>
      <c r="I849" s="495"/>
      <c r="J849" s="495"/>
      <c r="P849" s="495"/>
      <c r="Q849" s="495"/>
      <c r="R849" s="495"/>
    </row>
    <row r="850">
      <c r="H850" s="495"/>
      <c r="I850" s="495"/>
      <c r="J850" s="495"/>
      <c r="P850" s="495"/>
      <c r="Q850" s="495"/>
      <c r="R850" s="495"/>
    </row>
    <row r="851">
      <c r="H851" s="495"/>
      <c r="I851" s="495"/>
      <c r="J851" s="495"/>
      <c r="P851" s="495"/>
      <c r="Q851" s="495"/>
      <c r="R851" s="495"/>
    </row>
    <row r="852">
      <c r="H852" s="495"/>
      <c r="I852" s="495"/>
      <c r="J852" s="495"/>
      <c r="P852" s="495"/>
      <c r="Q852" s="495"/>
      <c r="R852" s="495"/>
    </row>
    <row r="853">
      <c r="H853" s="495"/>
      <c r="I853" s="495"/>
      <c r="J853" s="495"/>
      <c r="P853" s="495"/>
      <c r="Q853" s="495"/>
      <c r="R853" s="495"/>
    </row>
    <row r="854">
      <c r="H854" s="495"/>
      <c r="I854" s="495"/>
      <c r="J854" s="495"/>
      <c r="P854" s="495"/>
      <c r="Q854" s="495"/>
      <c r="R854" s="495"/>
    </row>
    <row r="855">
      <c r="H855" s="495"/>
      <c r="I855" s="495"/>
      <c r="J855" s="495"/>
      <c r="P855" s="495"/>
      <c r="Q855" s="495"/>
      <c r="R855" s="495"/>
    </row>
    <row r="856">
      <c r="H856" s="495"/>
      <c r="I856" s="495"/>
      <c r="J856" s="495"/>
      <c r="P856" s="495"/>
      <c r="Q856" s="495"/>
      <c r="R856" s="495"/>
    </row>
    <row r="857">
      <c r="H857" s="495"/>
      <c r="I857" s="495"/>
      <c r="J857" s="495"/>
      <c r="P857" s="495"/>
      <c r="Q857" s="495"/>
      <c r="R857" s="495"/>
    </row>
    <row r="858">
      <c r="H858" s="495"/>
      <c r="I858" s="495"/>
      <c r="J858" s="495"/>
      <c r="P858" s="495"/>
      <c r="Q858" s="495"/>
      <c r="R858" s="495"/>
    </row>
    <row r="859">
      <c r="H859" s="495"/>
      <c r="I859" s="495"/>
      <c r="J859" s="495"/>
      <c r="P859" s="495"/>
      <c r="Q859" s="495"/>
      <c r="R859" s="495"/>
    </row>
    <row r="860">
      <c r="H860" s="495"/>
      <c r="I860" s="495"/>
      <c r="J860" s="495"/>
      <c r="P860" s="495"/>
      <c r="Q860" s="495"/>
      <c r="R860" s="495"/>
    </row>
    <row r="861">
      <c r="H861" s="495"/>
      <c r="I861" s="495"/>
      <c r="J861" s="495"/>
      <c r="P861" s="495"/>
      <c r="Q861" s="495"/>
      <c r="R861" s="495"/>
    </row>
    <row r="862">
      <c r="H862" s="495"/>
      <c r="I862" s="495"/>
      <c r="J862" s="495"/>
      <c r="P862" s="495"/>
      <c r="Q862" s="495"/>
      <c r="R862" s="495"/>
    </row>
    <row r="863">
      <c r="H863" s="495"/>
      <c r="I863" s="495"/>
      <c r="J863" s="495"/>
      <c r="P863" s="495"/>
      <c r="Q863" s="495"/>
      <c r="R863" s="495"/>
    </row>
    <row r="864">
      <c r="H864" s="495"/>
      <c r="I864" s="495"/>
      <c r="J864" s="495"/>
      <c r="P864" s="495"/>
      <c r="Q864" s="495"/>
      <c r="R864" s="495"/>
    </row>
    <row r="865">
      <c r="H865" s="495"/>
      <c r="I865" s="495"/>
      <c r="J865" s="495"/>
      <c r="P865" s="495"/>
      <c r="Q865" s="495"/>
      <c r="R865" s="495"/>
    </row>
    <row r="866">
      <c r="H866" s="495"/>
      <c r="I866" s="495"/>
      <c r="J866" s="495"/>
      <c r="P866" s="495"/>
      <c r="Q866" s="495"/>
      <c r="R866" s="495"/>
    </row>
    <row r="867">
      <c r="H867" s="495"/>
      <c r="I867" s="495"/>
      <c r="J867" s="495"/>
      <c r="P867" s="495"/>
      <c r="Q867" s="495"/>
      <c r="R867" s="495"/>
    </row>
    <row r="868">
      <c r="H868" s="495"/>
      <c r="I868" s="495"/>
      <c r="J868" s="495"/>
      <c r="P868" s="495"/>
      <c r="Q868" s="495"/>
      <c r="R868" s="495"/>
    </row>
    <row r="869">
      <c r="H869" s="495"/>
      <c r="I869" s="495"/>
      <c r="J869" s="495"/>
      <c r="P869" s="495"/>
      <c r="Q869" s="495"/>
      <c r="R869" s="495"/>
    </row>
    <row r="870">
      <c r="H870" s="495"/>
      <c r="I870" s="495"/>
      <c r="J870" s="495"/>
      <c r="P870" s="495"/>
      <c r="Q870" s="495"/>
      <c r="R870" s="495"/>
    </row>
    <row r="871">
      <c r="H871" s="495"/>
      <c r="I871" s="495"/>
      <c r="J871" s="495"/>
      <c r="P871" s="495"/>
      <c r="Q871" s="495"/>
      <c r="R871" s="495"/>
    </row>
    <row r="872">
      <c r="H872" s="495"/>
      <c r="I872" s="495"/>
      <c r="J872" s="495"/>
      <c r="P872" s="495"/>
      <c r="Q872" s="495"/>
      <c r="R872" s="495"/>
    </row>
    <row r="873">
      <c r="H873" s="495"/>
      <c r="I873" s="495"/>
      <c r="J873" s="495"/>
      <c r="P873" s="495"/>
      <c r="Q873" s="495"/>
      <c r="R873" s="495"/>
    </row>
    <row r="874">
      <c r="H874" s="495"/>
      <c r="I874" s="495"/>
      <c r="J874" s="495"/>
      <c r="P874" s="495"/>
      <c r="Q874" s="495"/>
      <c r="R874" s="495"/>
    </row>
    <row r="875">
      <c r="H875" s="495"/>
      <c r="I875" s="495"/>
      <c r="J875" s="495"/>
      <c r="P875" s="495"/>
      <c r="Q875" s="495"/>
      <c r="R875" s="495"/>
    </row>
    <row r="876">
      <c r="H876" s="495"/>
      <c r="I876" s="495"/>
      <c r="J876" s="495"/>
      <c r="P876" s="495"/>
      <c r="Q876" s="495"/>
      <c r="R876" s="495"/>
    </row>
    <row r="877">
      <c r="H877" s="495"/>
      <c r="I877" s="495"/>
      <c r="J877" s="495"/>
      <c r="P877" s="495"/>
      <c r="Q877" s="495"/>
      <c r="R877" s="495"/>
    </row>
    <row r="878">
      <c r="H878" s="495"/>
      <c r="I878" s="495"/>
      <c r="J878" s="495"/>
      <c r="P878" s="495"/>
      <c r="Q878" s="495"/>
      <c r="R878" s="495"/>
    </row>
    <row r="879">
      <c r="H879" s="495"/>
      <c r="I879" s="495"/>
      <c r="J879" s="495"/>
      <c r="P879" s="495"/>
      <c r="Q879" s="495"/>
      <c r="R879" s="495"/>
    </row>
    <row r="880">
      <c r="H880" s="495"/>
      <c r="I880" s="495"/>
      <c r="J880" s="495"/>
      <c r="P880" s="495"/>
      <c r="Q880" s="495"/>
      <c r="R880" s="495"/>
    </row>
    <row r="881">
      <c r="H881" s="495"/>
      <c r="I881" s="495"/>
      <c r="J881" s="495"/>
      <c r="P881" s="495"/>
      <c r="Q881" s="495"/>
      <c r="R881" s="495"/>
    </row>
    <row r="882">
      <c r="H882" s="495"/>
      <c r="I882" s="495"/>
      <c r="J882" s="495"/>
      <c r="P882" s="495"/>
      <c r="Q882" s="495"/>
      <c r="R882" s="495"/>
    </row>
    <row r="883">
      <c r="H883" s="495"/>
      <c r="I883" s="495"/>
      <c r="J883" s="495"/>
      <c r="P883" s="495"/>
      <c r="Q883" s="495"/>
      <c r="R883" s="495"/>
    </row>
    <row r="884">
      <c r="H884" s="495"/>
      <c r="I884" s="495"/>
      <c r="J884" s="495"/>
      <c r="P884" s="495"/>
      <c r="Q884" s="495"/>
      <c r="R884" s="495"/>
    </row>
    <row r="885">
      <c r="H885" s="495"/>
      <c r="I885" s="495"/>
      <c r="J885" s="495"/>
      <c r="P885" s="495"/>
      <c r="Q885" s="495"/>
      <c r="R885" s="495"/>
    </row>
    <row r="886">
      <c r="H886" s="495"/>
      <c r="I886" s="495"/>
      <c r="J886" s="495"/>
      <c r="P886" s="495"/>
      <c r="Q886" s="495"/>
      <c r="R886" s="495"/>
    </row>
    <row r="887">
      <c r="H887" s="495"/>
      <c r="I887" s="495"/>
      <c r="J887" s="495"/>
      <c r="P887" s="495"/>
      <c r="Q887" s="495"/>
      <c r="R887" s="495"/>
    </row>
    <row r="888">
      <c r="H888" s="495"/>
      <c r="I888" s="495"/>
      <c r="J888" s="495"/>
      <c r="P888" s="495"/>
      <c r="Q888" s="495"/>
      <c r="R888" s="495"/>
    </row>
    <row r="889">
      <c r="H889" s="495"/>
      <c r="I889" s="495"/>
      <c r="J889" s="495"/>
      <c r="P889" s="495"/>
      <c r="Q889" s="495"/>
      <c r="R889" s="495"/>
    </row>
    <row r="890">
      <c r="H890" s="495"/>
      <c r="I890" s="495"/>
      <c r="J890" s="495"/>
      <c r="P890" s="495"/>
      <c r="Q890" s="495"/>
      <c r="R890" s="495"/>
    </row>
    <row r="891">
      <c r="H891" s="495"/>
      <c r="I891" s="495"/>
      <c r="J891" s="495"/>
      <c r="P891" s="495"/>
      <c r="Q891" s="495"/>
      <c r="R891" s="495"/>
    </row>
    <row r="892">
      <c r="H892" s="495"/>
      <c r="I892" s="495"/>
      <c r="J892" s="495"/>
      <c r="P892" s="495"/>
      <c r="Q892" s="495"/>
      <c r="R892" s="495"/>
    </row>
    <row r="893">
      <c r="H893" s="495"/>
      <c r="I893" s="495"/>
      <c r="J893" s="495"/>
      <c r="P893" s="495"/>
      <c r="Q893" s="495"/>
      <c r="R893" s="495"/>
    </row>
    <row r="894">
      <c r="H894" s="495"/>
      <c r="I894" s="495"/>
      <c r="J894" s="495"/>
      <c r="P894" s="495"/>
      <c r="Q894" s="495"/>
      <c r="R894" s="495"/>
    </row>
    <row r="895">
      <c r="H895" s="495"/>
      <c r="I895" s="495"/>
      <c r="J895" s="495"/>
      <c r="P895" s="495"/>
      <c r="Q895" s="495"/>
      <c r="R895" s="495"/>
    </row>
    <row r="896">
      <c r="H896" s="495"/>
      <c r="I896" s="495"/>
      <c r="J896" s="495"/>
      <c r="P896" s="495"/>
      <c r="Q896" s="495"/>
      <c r="R896" s="495"/>
    </row>
    <row r="897">
      <c r="H897" s="495"/>
      <c r="I897" s="495"/>
      <c r="J897" s="495"/>
      <c r="P897" s="495"/>
      <c r="Q897" s="495"/>
      <c r="R897" s="495"/>
    </row>
    <row r="898">
      <c r="H898" s="495"/>
      <c r="I898" s="495"/>
      <c r="J898" s="495"/>
      <c r="P898" s="495"/>
      <c r="Q898" s="495"/>
      <c r="R898" s="495"/>
    </row>
    <row r="899">
      <c r="H899" s="495"/>
      <c r="I899" s="495"/>
      <c r="J899" s="495"/>
      <c r="P899" s="495"/>
      <c r="Q899" s="495"/>
      <c r="R899" s="495"/>
    </row>
    <row r="900">
      <c r="H900" s="495"/>
      <c r="I900" s="495"/>
      <c r="J900" s="495"/>
      <c r="P900" s="495"/>
      <c r="Q900" s="495"/>
      <c r="R900" s="495"/>
    </row>
    <row r="901">
      <c r="H901" s="495"/>
      <c r="I901" s="495"/>
      <c r="J901" s="495"/>
      <c r="P901" s="495"/>
      <c r="Q901" s="495"/>
      <c r="R901" s="495"/>
    </row>
    <row r="902">
      <c r="H902" s="495"/>
      <c r="I902" s="495"/>
      <c r="J902" s="495"/>
      <c r="P902" s="495"/>
      <c r="Q902" s="495"/>
      <c r="R902" s="495"/>
    </row>
    <row r="903">
      <c r="H903" s="495"/>
      <c r="I903" s="495"/>
      <c r="J903" s="495"/>
      <c r="P903" s="495"/>
      <c r="Q903" s="495"/>
      <c r="R903" s="495"/>
    </row>
    <row r="904">
      <c r="H904" s="495"/>
      <c r="I904" s="495"/>
      <c r="J904" s="495"/>
      <c r="P904" s="495"/>
      <c r="Q904" s="495"/>
      <c r="R904" s="495"/>
    </row>
    <row r="905">
      <c r="H905" s="495"/>
      <c r="I905" s="495"/>
      <c r="J905" s="495"/>
      <c r="P905" s="495"/>
      <c r="Q905" s="495"/>
      <c r="R905" s="495"/>
    </row>
    <row r="906">
      <c r="H906" s="495"/>
      <c r="I906" s="495"/>
      <c r="J906" s="495"/>
      <c r="P906" s="495"/>
      <c r="Q906" s="495"/>
      <c r="R906" s="495"/>
    </row>
    <row r="907">
      <c r="H907" s="495"/>
      <c r="I907" s="495"/>
      <c r="J907" s="495"/>
      <c r="P907" s="495"/>
      <c r="Q907" s="495"/>
      <c r="R907" s="495"/>
    </row>
    <row r="908">
      <c r="H908" s="495"/>
      <c r="I908" s="495"/>
      <c r="J908" s="495"/>
      <c r="P908" s="495"/>
      <c r="Q908" s="495"/>
      <c r="R908" s="495"/>
    </row>
    <row r="909">
      <c r="H909" s="495"/>
      <c r="I909" s="495"/>
      <c r="J909" s="495"/>
      <c r="P909" s="495"/>
      <c r="Q909" s="495"/>
      <c r="R909" s="495"/>
    </row>
    <row r="910">
      <c r="H910" s="495"/>
      <c r="I910" s="495"/>
      <c r="J910" s="495"/>
      <c r="P910" s="495"/>
      <c r="Q910" s="495"/>
      <c r="R910" s="495"/>
    </row>
    <row r="911">
      <c r="H911" s="495"/>
      <c r="I911" s="495"/>
      <c r="J911" s="495"/>
      <c r="P911" s="495"/>
      <c r="Q911" s="495"/>
      <c r="R911" s="495"/>
    </row>
    <row r="912">
      <c r="H912" s="495"/>
      <c r="I912" s="495"/>
      <c r="J912" s="495"/>
      <c r="P912" s="495"/>
      <c r="Q912" s="495"/>
      <c r="R912" s="495"/>
    </row>
    <row r="913">
      <c r="H913" s="495"/>
      <c r="I913" s="495"/>
      <c r="J913" s="495"/>
      <c r="P913" s="495"/>
      <c r="Q913" s="495"/>
      <c r="R913" s="495"/>
    </row>
    <row r="914">
      <c r="H914" s="495"/>
      <c r="I914" s="495"/>
      <c r="J914" s="495"/>
      <c r="P914" s="495"/>
      <c r="Q914" s="495"/>
      <c r="R914" s="495"/>
    </row>
    <row r="915">
      <c r="H915" s="495"/>
      <c r="I915" s="495"/>
      <c r="J915" s="495"/>
      <c r="P915" s="495"/>
      <c r="Q915" s="495"/>
      <c r="R915" s="495"/>
    </row>
    <row r="916">
      <c r="H916" s="495"/>
      <c r="I916" s="495"/>
      <c r="J916" s="495"/>
      <c r="P916" s="495"/>
      <c r="Q916" s="495"/>
      <c r="R916" s="495"/>
    </row>
    <row r="917">
      <c r="H917" s="495"/>
      <c r="I917" s="495"/>
      <c r="J917" s="495"/>
      <c r="P917" s="495"/>
      <c r="Q917" s="495"/>
      <c r="R917" s="495"/>
    </row>
    <row r="918">
      <c r="H918" s="495"/>
      <c r="I918" s="495"/>
      <c r="J918" s="495"/>
      <c r="P918" s="495"/>
      <c r="Q918" s="495"/>
      <c r="R918" s="495"/>
    </row>
    <row r="919">
      <c r="H919" s="495"/>
      <c r="I919" s="495"/>
      <c r="J919" s="495"/>
      <c r="P919" s="495"/>
      <c r="Q919" s="495"/>
      <c r="R919" s="495"/>
    </row>
    <row r="920">
      <c r="H920" s="495"/>
      <c r="I920" s="495"/>
      <c r="J920" s="495"/>
      <c r="P920" s="495"/>
      <c r="Q920" s="495"/>
      <c r="R920" s="495"/>
    </row>
    <row r="921">
      <c r="H921" s="495"/>
      <c r="I921" s="495"/>
      <c r="J921" s="495"/>
      <c r="P921" s="495"/>
      <c r="Q921" s="495"/>
      <c r="R921" s="495"/>
    </row>
    <row r="922">
      <c r="H922" s="495"/>
      <c r="I922" s="495"/>
      <c r="J922" s="495"/>
      <c r="P922" s="495"/>
      <c r="Q922" s="495"/>
      <c r="R922" s="495"/>
    </row>
    <row r="923">
      <c r="H923" s="495"/>
      <c r="I923" s="495"/>
      <c r="J923" s="495"/>
      <c r="P923" s="495"/>
      <c r="Q923" s="495"/>
      <c r="R923" s="495"/>
    </row>
    <row r="924">
      <c r="H924" s="495"/>
      <c r="I924" s="495"/>
      <c r="J924" s="495"/>
      <c r="P924" s="495"/>
      <c r="Q924" s="495"/>
      <c r="R924" s="495"/>
    </row>
    <row r="925">
      <c r="H925" s="495"/>
      <c r="I925" s="495"/>
      <c r="J925" s="495"/>
      <c r="P925" s="495"/>
      <c r="Q925" s="495"/>
      <c r="R925" s="495"/>
    </row>
    <row r="926">
      <c r="H926" s="495"/>
      <c r="I926" s="495"/>
      <c r="J926" s="495"/>
      <c r="P926" s="495"/>
      <c r="Q926" s="495"/>
      <c r="R926" s="495"/>
    </row>
    <row r="927">
      <c r="H927" s="495"/>
      <c r="I927" s="495"/>
      <c r="J927" s="495"/>
      <c r="P927" s="495"/>
      <c r="Q927" s="495"/>
      <c r="R927" s="495"/>
    </row>
    <row r="928">
      <c r="H928" s="495"/>
      <c r="I928" s="495"/>
      <c r="J928" s="495"/>
      <c r="P928" s="495"/>
      <c r="Q928" s="495"/>
      <c r="R928" s="495"/>
    </row>
    <row r="929">
      <c r="H929" s="495"/>
      <c r="I929" s="495"/>
      <c r="J929" s="495"/>
      <c r="P929" s="495"/>
      <c r="Q929" s="495"/>
      <c r="R929" s="495"/>
    </row>
    <row r="930">
      <c r="H930" s="495"/>
      <c r="I930" s="495"/>
      <c r="J930" s="495"/>
      <c r="P930" s="495"/>
      <c r="Q930" s="495"/>
      <c r="R930" s="495"/>
    </row>
    <row r="931">
      <c r="H931" s="495"/>
      <c r="I931" s="495"/>
      <c r="J931" s="495"/>
      <c r="P931" s="495"/>
      <c r="Q931" s="495"/>
      <c r="R931" s="495"/>
    </row>
    <row r="932">
      <c r="H932" s="495"/>
      <c r="I932" s="495"/>
      <c r="J932" s="495"/>
      <c r="P932" s="495"/>
      <c r="Q932" s="495"/>
      <c r="R932" s="495"/>
    </row>
    <row r="933">
      <c r="H933" s="495"/>
      <c r="I933" s="495"/>
      <c r="J933" s="495"/>
      <c r="P933" s="495"/>
      <c r="Q933" s="495"/>
      <c r="R933" s="495"/>
    </row>
    <row r="934">
      <c r="H934" s="495"/>
      <c r="I934" s="495"/>
      <c r="J934" s="495"/>
      <c r="P934" s="495"/>
      <c r="Q934" s="495"/>
      <c r="R934" s="495"/>
    </row>
    <row r="935">
      <c r="H935" s="495"/>
      <c r="I935" s="495"/>
      <c r="J935" s="495"/>
      <c r="P935" s="495"/>
      <c r="Q935" s="495"/>
      <c r="R935" s="495"/>
    </row>
    <row r="936">
      <c r="H936" s="495"/>
      <c r="I936" s="495"/>
      <c r="J936" s="495"/>
      <c r="P936" s="495"/>
      <c r="Q936" s="495"/>
      <c r="R936" s="495"/>
    </row>
    <row r="937">
      <c r="H937" s="495"/>
      <c r="I937" s="495"/>
      <c r="J937" s="495"/>
      <c r="P937" s="495"/>
      <c r="Q937" s="495"/>
      <c r="R937" s="495"/>
    </row>
    <row r="938">
      <c r="H938" s="495"/>
      <c r="I938" s="495"/>
      <c r="J938" s="495"/>
      <c r="P938" s="495"/>
      <c r="Q938" s="495"/>
      <c r="R938" s="495"/>
    </row>
    <row r="939">
      <c r="H939" s="495"/>
      <c r="I939" s="495"/>
      <c r="J939" s="495"/>
      <c r="P939" s="495"/>
      <c r="Q939" s="495"/>
      <c r="R939" s="495"/>
    </row>
    <row r="940">
      <c r="H940" s="495"/>
      <c r="I940" s="495"/>
      <c r="J940" s="495"/>
      <c r="P940" s="495"/>
      <c r="Q940" s="495"/>
      <c r="R940" s="495"/>
    </row>
    <row r="941">
      <c r="H941" s="495"/>
      <c r="I941" s="495"/>
      <c r="J941" s="495"/>
      <c r="P941" s="495"/>
      <c r="Q941" s="495"/>
      <c r="R941" s="495"/>
    </row>
    <row r="942">
      <c r="H942" s="495"/>
      <c r="I942" s="495"/>
      <c r="J942" s="495"/>
      <c r="P942" s="495"/>
      <c r="Q942" s="495"/>
      <c r="R942" s="495"/>
    </row>
    <row r="943">
      <c r="H943" s="495"/>
      <c r="I943" s="495"/>
      <c r="J943" s="495"/>
      <c r="P943" s="495"/>
      <c r="Q943" s="495"/>
      <c r="R943" s="495"/>
    </row>
    <row r="944">
      <c r="H944" s="495"/>
      <c r="I944" s="495"/>
      <c r="J944" s="495"/>
      <c r="P944" s="495"/>
      <c r="Q944" s="495"/>
      <c r="R944" s="495"/>
    </row>
    <row r="945">
      <c r="H945" s="495"/>
      <c r="I945" s="495"/>
      <c r="J945" s="495"/>
      <c r="P945" s="495"/>
      <c r="Q945" s="495"/>
      <c r="R945" s="495"/>
    </row>
    <row r="946">
      <c r="H946" s="495"/>
      <c r="I946" s="495"/>
      <c r="J946" s="495"/>
      <c r="P946" s="495"/>
      <c r="Q946" s="495"/>
      <c r="R946" s="495"/>
    </row>
    <row r="947">
      <c r="H947" s="495"/>
      <c r="I947" s="495"/>
      <c r="J947" s="495"/>
      <c r="P947" s="495"/>
      <c r="Q947" s="495"/>
      <c r="R947" s="495"/>
    </row>
    <row r="948">
      <c r="H948" s="495"/>
      <c r="I948" s="495"/>
      <c r="J948" s="495"/>
      <c r="P948" s="495"/>
      <c r="Q948" s="495"/>
      <c r="R948" s="495"/>
    </row>
    <row r="949">
      <c r="H949" s="495"/>
      <c r="I949" s="495"/>
      <c r="J949" s="495"/>
      <c r="P949" s="495"/>
      <c r="Q949" s="495"/>
      <c r="R949" s="495"/>
    </row>
    <row r="950">
      <c r="H950" s="495"/>
      <c r="I950" s="495"/>
      <c r="J950" s="495"/>
      <c r="P950" s="495"/>
      <c r="Q950" s="495"/>
      <c r="R950" s="495"/>
    </row>
    <row r="951">
      <c r="H951" s="495"/>
      <c r="I951" s="495"/>
      <c r="J951" s="495"/>
      <c r="P951" s="495"/>
      <c r="Q951" s="495"/>
      <c r="R951" s="495"/>
    </row>
    <row r="952">
      <c r="H952" s="495"/>
      <c r="I952" s="495"/>
      <c r="J952" s="495"/>
      <c r="P952" s="495"/>
      <c r="Q952" s="495"/>
      <c r="R952" s="495"/>
    </row>
    <row r="953">
      <c r="H953" s="495"/>
      <c r="I953" s="495"/>
      <c r="J953" s="495"/>
      <c r="P953" s="495"/>
      <c r="Q953" s="495"/>
      <c r="R953" s="495"/>
    </row>
    <row r="954">
      <c r="H954" s="495"/>
      <c r="I954" s="495"/>
      <c r="J954" s="495"/>
      <c r="P954" s="495"/>
      <c r="Q954" s="495"/>
      <c r="R954" s="495"/>
    </row>
    <row r="955">
      <c r="H955" s="495"/>
      <c r="I955" s="495"/>
      <c r="J955" s="495"/>
      <c r="P955" s="495"/>
      <c r="Q955" s="495"/>
      <c r="R955" s="495"/>
    </row>
    <row r="956">
      <c r="H956" s="495"/>
      <c r="I956" s="495"/>
      <c r="J956" s="495"/>
      <c r="P956" s="495"/>
      <c r="Q956" s="495"/>
      <c r="R956" s="495"/>
    </row>
    <row r="957">
      <c r="H957" s="495"/>
      <c r="I957" s="495"/>
      <c r="J957" s="495"/>
      <c r="P957" s="495"/>
      <c r="Q957" s="495"/>
      <c r="R957" s="495"/>
    </row>
    <row r="958">
      <c r="H958" s="495"/>
      <c r="I958" s="495"/>
      <c r="J958" s="495"/>
      <c r="P958" s="495"/>
      <c r="Q958" s="495"/>
      <c r="R958" s="495"/>
    </row>
    <row r="959">
      <c r="H959" s="495"/>
      <c r="I959" s="495"/>
      <c r="J959" s="495"/>
      <c r="P959" s="495"/>
      <c r="Q959" s="495"/>
      <c r="R959" s="495"/>
    </row>
    <row r="960">
      <c r="H960" s="495"/>
      <c r="I960" s="495"/>
      <c r="J960" s="495"/>
      <c r="P960" s="495"/>
      <c r="Q960" s="495"/>
      <c r="R960" s="495"/>
    </row>
    <row r="961">
      <c r="H961" s="495"/>
      <c r="I961" s="495"/>
      <c r="J961" s="495"/>
      <c r="P961" s="495"/>
      <c r="Q961" s="495"/>
      <c r="R961" s="495"/>
    </row>
    <row r="962">
      <c r="H962" s="495"/>
      <c r="I962" s="495"/>
      <c r="J962" s="495"/>
      <c r="P962" s="495"/>
      <c r="Q962" s="495"/>
      <c r="R962" s="495"/>
    </row>
    <row r="963">
      <c r="H963" s="495"/>
      <c r="I963" s="495"/>
      <c r="J963" s="495"/>
      <c r="P963" s="495"/>
      <c r="Q963" s="495"/>
      <c r="R963" s="495"/>
    </row>
    <row r="964">
      <c r="H964" s="495"/>
      <c r="I964" s="495"/>
      <c r="J964" s="495"/>
      <c r="P964" s="495"/>
      <c r="Q964" s="495"/>
      <c r="R964" s="495"/>
    </row>
    <row r="965">
      <c r="H965" s="495"/>
      <c r="I965" s="495"/>
      <c r="J965" s="495"/>
      <c r="P965" s="495"/>
      <c r="Q965" s="495"/>
      <c r="R965" s="495"/>
    </row>
    <row r="966">
      <c r="H966" s="495"/>
      <c r="I966" s="495"/>
      <c r="J966" s="495"/>
      <c r="P966" s="495"/>
      <c r="Q966" s="495"/>
      <c r="R966" s="495"/>
    </row>
    <row r="967">
      <c r="H967" s="495"/>
      <c r="I967" s="495"/>
      <c r="J967" s="495"/>
      <c r="P967" s="495"/>
      <c r="Q967" s="495"/>
      <c r="R967" s="495"/>
    </row>
    <row r="968">
      <c r="H968" s="495"/>
      <c r="I968" s="495"/>
      <c r="J968" s="495"/>
      <c r="P968" s="495"/>
      <c r="Q968" s="495"/>
      <c r="R968" s="495"/>
    </row>
    <row r="969">
      <c r="H969" s="495"/>
      <c r="I969" s="495"/>
      <c r="J969" s="495"/>
      <c r="P969" s="495"/>
      <c r="Q969" s="495"/>
      <c r="R969" s="495"/>
    </row>
    <row r="970">
      <c r="H970" s="495"/>
      <c r="I970" s="495"/>
      <c r="J970" s="495"/>
      <c r="P970" s="495"/>
      <c r="Q970" s="495"/>
      <c r="R970" s="495"/>
    </row>
    <row r="971">
      <c r="H971" s="495"/>
      <c r="I971" s="495"/>
      <c r="J971" s="495"/>
      <c r="P971" s="495"/>
      <c r="Q971" s="495"/>
      <c r="R971" s="495"/>
    </row>
    <row r="972">
      <c r="H972" s="495"/>
      <c r="I972" s="495"/>
      <c r="J972" s="495"/>
      <c r="P972" s="495"/>
      <c r="Q972" s="495"/>
      <c r="R972" s="495"/>
    </row>
    <row r="973">
      <c r="H973" s="495"/>
      <c r="I973" s="495"/>
      <c r="J973" s="495"/>
      <c r="P973" s="495"/>
      <c r="Q973" s="495"/>
      <c r="R973" s="495"/>
    </row>
    <row r="974">
      <c r="H974" s="495"/>
      <c r="I974" s="495"/>
      <c r="J974" s="495"/>
      <c r="P974" s="495"/>
      <c r="Q974" s="495"/>
      <c r="R974" s="495"/>
    </row>
    <row r="975">
      <c r="H975" s="495"/>
      <c r="I975" s="495"/>
      <c r="J975" s="495"/>
      <c r="P975" s="495"/>
      <c r="Q975" s="495"/>
      <c r="R975" s="495"/>
    </row>
    <row r="976">
      <c r="H976" s="495"/>
      <c r="I976" s="495"/>
      <c r="J976" s="495"/>
      <c r="P976" s="495"/>
      <c r="Q976" s="495"/>
      <c r="R976" s="495"/>
    </row>
    <row r="977">
      <c r="H977" s="495"/>
      <c r="I977" s="495"/>
      <c r="J977" s="495"/>
      <c r="P977" s="495"/>
      <c r="Q977" s="495"/>
      <c r="R977" s="495"/>
    </row>
    <row r="978">
      <c r="H978" s="495"/>
      <c r="I978" s="495"/>
      <c r="J978" s="495"/>
      <c r="P978" s="495"/>
      <c r="Q978" s="495"/>
      <c r="R978" s="495"/>
    </row>
    <row r="979">
      <c r="H979" s="495"/>
      <c r="I979" s="495"/>
      <c r="J979" s="495"/>
      <c r="P979" s="495"/>
      <c r="Q979" s="495"/>
      <c r="R979" s="495"/>
    </row>
    <row r="980">
      <c r="H980" s="495"/>
      <c r="I980" s="495"/>
      <c r="J980" s="495"/>
      <c r="P980" s="495"/>
      <c r="Q980" s="495"/>
      <c r="R980" s="495"/>
    </row>
    <row r="981">
      <c r="H981" s="495"/>
      <c r="I981" s="495"/>
      <c r="J981" s="495"/>
      <c r="P981" s="495"/>
      <c r="Q981" s="495"/>
      <c r="R981" s="495"/>
    </row>
    <row r="982">
      <c r="H982" s="495"/>
      <c r="I982" s="495"/>
      <c r="J982" s="495"/>
      <c r="P982" s="495"/>
      <c r="Q982" s="495"/>
      <c r="R982" s="495"/>
    </row>
    <row r="983">
      <c r="H983" s="495"/>
      <c r="I983" s="495"/>
      <c r="J983" s="495"/>
      <c r="P983" s="495"/>
      <c r="Q983" s="495"/>
      <c r="R983" s="495"/>
    </row>
    <row r="984">
      <c r="H984" s="495"/>
      <c r="I984" s="495"/>
      <c r="J984" s="495"/>
      <c r="P984" s="495"/>
      <c r="Q984" s="495"/>
      <c r="R984" s="495"/>
    </row>
    <row r="985">
      <c r="H985" s="495"/>
      <c r="I985" s="495"/>
      <c r="J985" s="495"/>
      <c r="P985" s="495"/>
      <c r="Q985" s="495"/>
      <c r="R985" s="495"/>
    </row>
    <row r="986">
      <c r="H986" s="495"/>
      <c r="I986" s="495"/>
      <c r="J986" s="495"/>
      <c r="P986" s="495"/>
      <c r="Q986" s="495"/>
      <c r="R986" s="495"/>
    </row>
    <row r="987">
      <c r="H987" s="495"/>
      <c r="I987" s="495"/>
      <c r="J987" s="495"/>
      <c r="P987" s="495"/>
      <c r="Q987" s="495"/>
      <c r="R987" s="495"/>
    </row>
    <row r="988">
      <c r="H988" s="495"/>
      <c r="I988" s="495"/>
      <c r="J988" s="495"/>
      <c r="P988" s="495"/>
      <c r="Q988" s="495"/>
      <c r="R988" s="495"/>
    </row>
    <row r="989">
      <c r="H989" s="495"/>
      <c r="I989" s="495"/>
      <c r="J989" s="495"/>
      <c r="P989" s="495"/>
      <c r="Q989" s="495"/>
      <c r="R989" s="495"/>
    </row>
    <row r="990">
      <c r="H990" s="495"/>
      <c r="I990" s="495"/>
      <c r="J990" s="495"/>
      <c r="P990" s="495"/>
      <c r="Q990" s="495"/>
      <c r="R990" s="495"/>
    </row>
    <row r="991">
      <c r="H991" s="495"/>
      <c r="I991" s="495"/>
      <c r="J991" s="495"/>
      <c r="P991" s="495"/>
      <c r="Q991" s="495"/>
      <c r="R991" s="495"/>
    </row>
    <row r="992">
      <c r="H992" s="495"/>
      <c r="I992" s="495"/>
      <c r="J992" s="495"/>
      <c r="P992" s="495"/>
      <c r="Q992" s="495"/>
      <c r="R992" s="495"/>
    </row>
    <row r="993">
      <c r="H993" s="495"/>
      <c r="I993" s="495"/>
      <c r="J993" s="495"/>
      <c r="P993" s="495"/>
      <c r="Q993" s="495"/>
      <c r="R993" s="495"/>
    </row>
    <row r="994">
      <c r="H994" s="495"/>
      <c r="I994" s="495"/>
      <c r="J994" s="495"/>
      <c r="P994" s="495"/>
      <c r="Q994" s="495"/>
      <c r="R994" s="495"/>
    </row>
    <row r="995">
      <c r="H995" s="495"/>
      <c r="I995" s="495"/>
      <c r="J995" s="495"/>
      <c r="P995" s="495"/>
      <c r="Q995" s="495"/>
      <c r="R995" s="495"/>
    </row>
    <row r="996">
      <c r="H996" s="495"/>
      <c r="I996" s="495"/>
      <c r="J996" s="495"/>
      <c r="P996" s="495"/>
      <c r="Q996" s="495"/>
      <c r="R996" s="495"/>
    </row>
    <row r="997">
      <c r="H997" s="495"/>
      <c r="I997" s="495"/>
      <c r="J997" s="495"/>
      <c r="P997" s="495"/>
      <c r="Q997" s="495"/>
      <c r="R997" s="495"/>
    </row>
    <row r="998">
      <c r="H998" s="495"/>
      <c r="I998" s="495"/>
      <c r="J998" s="495"/>
      <c r="P998" s="495"/>
      <c r="Q998" s="495"/>
      <c r="R998" s="495"/>
    </row>
    <row r="999">
      <c r="H999" s="495"/>
      <c r="I999" s="495"/>
      <c r="J999" s="495"/>
      <c r="P999" s="495"/>
      <c r="Q999" s="495"/>
      <c r="R999" s="495"/>
    </row>
    <row r="1000">
      <c r="H1000" s="495"/>
      <c r="I1000" s="495"/>
      <c r="J1000" s="495"/>
      <c r="P1000" s="495"/>
      <c r="Q1000" s="495"/>
      <c r="R1000" s="495"/>
    </row>
  </sheetData>
  <drawing r:id="rId2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489" t="s">
        <v>2059</v>
      </c>
      <c r="B1" s="489" t="s">
        <v>2005</v>
      </c>
      <c r="C1" s="489" t="s">
        <v>2024</v>
      </c>
      <c r="D1" s="489" t="s">
        <v>2025</v>
      </c>
      <c r="E1" s="489" t="s">
        <v>2077</v>
      </c>
      <c r="F1" s="489" t="s">
        <v>2078</v>
      </c>
      <c r="G1" s="489" t="s">
        <v>2060</v>
      </c>
      <c r="H1" s="489" t="s">
        <v>2079</v>
      </c>
      <c r="I1" s="489" t="s">
        <v>2080</v>
      </c>
      <c r="J1" s="489" t="s">
        <v>2081</v>
      </c>
      <c r="K1" s="489" t="s">
        <v>2082</v>
      </c>
      <c r="L1" s="489" t="s">
        <v>2083</v>
      </c>
      <c r="M1" s="489" t="s">
        <v>2084</v>
      </c>
      <c r="N1" s="490"/>
      <c r="O1" s="490"/>
      <c r="P1" s="490"/>
      <c r="Q1" s="490"/>
      <c r="R1" s="490"/>
      <c r="S1" s="490"/>
      <c r="T1" s="490"/>
      <c r="U1" s="490"/>
      <c r="V1" s="490"/>
      <c r="W1" s="490"/>
      <c r="X1" s="490"/>
      <c r="Y1" s="490"/>
      <c r="Z1" s="490"/>
    </row>
    <row r="2">
      <c r="A2" s="5" t="s">
        <v>71</v>
      </c>
      <c r="B2" s="5" t="s">
        <v>163</v>
      </c>
      <c r="C2" s="5" t="s">
        <v>56</v>
      </c>
      <c r="D2" s="6">
        <v>1.0</v>
      </c>
      <c r="E2" s="6">
        <v>1.0</v>
      </c>
      <c r="F2" s="6">
        <v>2.0</v>
      </c>
      <c r="G2" s="6">
        <v>5.0</v>
      </c>
      <c r="H2" s="6">
        <v>77758.0</v>
      </c>
      <c r="I2" s="6">
        <v>0.9244</v>
      </c>
      <c r="J2" s="6">
        <v>1.0</v>
      </c>
      <c r="K2" s="6">
        <v>1.0</v>
      </c>
      <c r="L2" s="6">
        <v>1.0</v>
      </c>
      <c r="M2" s="6">
        <v>0.9246</v>
      </c>
    </row>
    <row r="3">
      <c r="A3" s="5" t="s">
        <v>71</v>
      </c>
      <c r="B3" s="5" t="s">
        <v>163</v>
      </c>
      <c r="C3" s="5" t="s">
        <v>56</v>
      </c>
      <c r="D3" s="6">
        <v>1.0</v>
      </c>
      <c r="E3" s="6">
        <v>2.0</v>
      </c>
      <c r="F3" s="6">
        <v>2.0</v>
      </c>
      <c r="G3" s="6">
        <v>5.0</v>
      </c>
      <c r="H3" s="6">
        <v>77758.0</v>
      </c>
      <c r="I3" s="6">
        <v>1.0</v>
      </c>
      <c r="J3" s="6">
        <v>1.0</v>
      </c>
      <c r="K3" s="6">
        <v>1.0</v>
      </c>
      <c r="L3" s="6">
        <v>1.0</v>
      </c>
      <c r="M3" s="6">
        <v>1.0</v>
      </c>
    </row>
    <row r="4">
      <c r="A4" s="5" t="s">
        <v>71</v>
      </c>
      <c r="B4" s="5" t="s">
        <v>1857</v>
      </c>
      <c r="C4" s="5" t="s">
        <v>56</v>
      </c>
      <c r="D4" s="6">
        <v>1.0</v>
      </c>
      <c r="E4" s="6">
        <v>1.0</v>
      </c>
      <c r="F4" s="6">
        <v>2.0</v>
      </c>
      <c r="G4" s="6">
        <v>5.0</v>
      </c>
      <c r="H4" s="6">
        <v>56711.0</v>
      </c>
      <c r="I4" s="6">
        <v>0.9229</v>
      </c>
      <c r="J4" s="6">
        <v>1.0</v>
      </c>
      <c r="K4" s="6">
        <v>1.0</v>
      </c>
      <c r="L4" s="6">
        <v>1.0</v>
      </c>
      <c r="M4" s="6">
        <v>0.9231</v>
      </c>
    </row>
    <row r="5">
      <c r="A5" s="5" t="s">
        <v>71</v>
      </c>
      <c r="B5" s="5" t="s">
        <v>1857</v>
      </c>
      <c r="C5" s="5" t="s">
        <v>56</v>
      </c>
      <c r="D5" s="6">
        <v>1.0</v>
      </c>
      <c r="E5" s="6">
        <v>2.0</v>
      </c>
      <c r="F5" s="6">
        <v>2.0</v>
      </c>
      <c r="G5" s="6">
        <v>5.0</v>
      </c>
      <c r="H5" s="6">
        <v>56711.0</v>
      </c>
      <c r="I5" s="6">
        <v>1.0</v>
      </c>
      <c r="J5" s="6">
        <v>1.0</v>
      </c>
      <c r="K5" s="6">
        <v>1.0</v>
      </c>
      <c r="L5" s="6">
        <v>1.0</v>
      </c>
      <c r="M5" s="6">
        <v>1.0</v>
      </c>
    </row>
    <row r="6">
      <c r="A6" s="5" t="s">
        <v>71</v>
      </c>
      <c r="B6" s="5" t="s">
        <v>163</v>
      </c>
      <c r="C6" s="5" t="s">
        <v>57</v>
      </c>
      <c r="D6" s="6">
        <v>2.0</v>
      </c>
      <c r="E6" s="6">
        <v>1.0</v>
      </c>
      <c r="F6" s="6">
        <v>2.0</v>
      </c>
      <c r="G6" s="6">
        <v>5.0</v>
      </c>
      <c r="H6" s="6">
        <v>70421.0</v>
      </c>
      <c r="I6" s="6">
        <v>0.9273</v>
      </c>
      <c r="J6" s="6">
        <v>1.0</v>
      </c>
      <c r="K6" s="6">
        <v>1.0</v>
      </c>
      <c r="L6" s="6">
        <v>1.0</v>
      </c>
      <c r="M6" s="6">
        <v>0.9279</v>
      </c>
    </row>
    <row r="7">
      <c r="A7" s="5" t="s">
        <v>71</v>
      </c>
      <c r="B7" s="5" t="s">
        <v>163</v>
      </c>
      <c r="C7" s="5" t="s">
        <v>57</v>
      </c>
      <c r="D7" s="6">
        <v>2.0</v>
      </c>
      <c r="E7" s="6">
        <v>2.0</v>
      </c>
      <c r="F7" s="6">
        <v>2.0</v>
      </c>
      <c r="G7" s="6">
        <v>5.0</v>
      </c>
      <c r="H7" s="6">
        <v>70421.0</v>
      </c>
      <c r="I7" s="6">
        <v>1.0</v>
      </c>
      <c r="J7" s="6">
        <v>1.0</v>
      </c>
      <c r="K7" s="6">
        <v>1.0</v>
      </c>
      <c r="L7" s="6">
        <v>1.0</v>
      </c>
      <c r="M7" s="6">
        <v>1.0</v>
      </c>
    </row>
    <row r="8">
      <c r="A8" s="5" t="s">
        <v>71</v>
      </c>
      <c r="B8" s="5" t="s">
        <v>1857</v>
      </c>
      <c r="C8" s="5" t="s">
        <v>57</v>
      </c>
      <c r="D8" s="6">
        <v>2.0</v>
      </c>
      <c r="E8" s="6">
        <v>1.0</v>
      </c>
      <c r="F8" s="6">
        <v>2.0</v>
      </c>
      <c r="G8" s="6">
        <v>5.0</v>
      </c>
      <c r="H8" s="6">
        <v>41213.0</v>
      </c>
      <c r="I8" s="6">
        <v>0.9221</v>
      </c>
      <c r="J8" s="6">
        <v>1.0</v>
      </c>
      <c r="K8" s="6">
        <v>1.0</v>
      </c>
      <c r="L8" s="6">
        <v>1.0</v>
      </c>
      <c r="M8" s="6">
        <v>0.9225</v>
      </c>
    </row>
    <row r="9">
      <c r="A9" s="5" t="s">
        <v>71</v>
      </c>
      <c r="B9" s="5" t="s">
        <v>1857</v>
      </c>
      <c r="C9" s="5" t="s">
        <v>57</v>
      </c>
      <c r="D9" s="6">
        <v>2.0</v>
      </c>
      <c r="E9" s="6">
        <v>2.0</v>
      </c>
      <c r="F9" s="6">
        <v>2.0</v>
      </c>
      <c r="G9" s="6">
        <v>5.0</v>
      </c>
      <c r="H9" s="6">
        <v>41213.0</v>
      </c>
      <c r="I9" s="6">
        <v>1.0</v>
      </c>
      <c r="J9" s="6">
        <v>1.0</v>
      </c>
      <c r="K9" s="6">
        <v>1.0</v>
      </c>
      <c r="L9" s="6">
        <v>1.0</v>
      </c>
      <c r="M9" s="6">
        <v>1.0</v>
      </c>
    </row>
    <row r="10">
      <c r="A10" s="5" t="s">
        <v>71</v>
      </c>
      <c r="B10" s="5" t="s">
        <v>163</v>
      </c>
      <c r="C10" s="5" t="s">
        <v>58</v>
      </c>
      <c r="D10" s="6">
        <v>3.0</v>
      </c>
      <c r="E10" s="6">
        <v>1.0</v>
      </c>
      <c r="F10" s="6">
        <v>2.0</v>
      </c>
      <c r="G10" s="6">
        <v>5.0</v>
      </c>
      <c r="H10" s="6">
        <v>45703.0</v>
      </c>
      <c r="I10" s="6">
        <v>0.9293</v>
      </c>
      <c r="J10" s="6">
        <v>1.0</v>
      </c>
      <c r="K10" s="6">
        <v>0.9992</v>
      </c>
      <c r="L10" s="6">
        <v>1.0</v>
      </c>
      <c r="M10" s="6">
        <v>0.9297</v>
      </c>
    </row>
    <row r="11">
      <c r="A11" s="5" t="s">
        <v>71</v>
      </c>
      <c r="B11" s="5" t="s">
        <v>163</v>
      </c>
      <c r="C11" s="5" t="s">
        <v>58</v>
      </c>
      <c r="D11" s="6">
        <v>3.0</v>
      </c>
      <c r="E11" s="6">
        <v>2.0</v>
      </c>
      <c r="F11" s="6">
        <v>2.0</v>
      </c>
      <c r="G11" s="6">
        <v>5.0</v>
      </c>
      <c r="H11" s="6">
        <v>45703.0</v>
      </c>
      <c r="I11" s="6">
        <v>1.0</v>
      </c>
      <c r="J11" s="6">
        <v>1.0</v>
      </c>
      <c r="K11" s="6">
        <v>1.0</v>
      </c>
      <c r="L11" s="6">
        <v>1.0</v>
      </c>
      <c r="M11" s="6">
        <v>1.0</v>
      </c>
    </row>
    <row r="12">
      <c r="A12" s="5" t="s">
        <v>71</v>
      </c>
      <c r="B12" s="5" t="s">
        <v>1857</v>
      </c>
      <c r="C12" s="5" t="s">
        <v>58</v>
      </c>
      <c r="D12" s="6">
        <v>3.0</v>
      </c>
      <c r="E12" s="6">
        <v>1.0</v>
      </c>
      <c r="F12" s="6">
        <v>2.0</v>
      </c>
      <c r="G12" s="6">
        <v>5.0</v>
      </c>
      <c r="H12" s="6">
        <v>25054.0</v>
      </c>
      <c r="I12" s="6">
        <v>0.9193</v>
      </c>
      <c r="J12" s="6">
        <v>1.0</v>
      </c>
      <c r="K12" s="6">
        <v>0.9995</v>
      </c>
      <c r="L12" s="6">
        <v>1.0</v>
      </c>
      <c r="M12" s="6">
        <v>0.9196</v>
      </c>
    </row>
    <row r="13">
      <c r="A13" s="5" t="s">
        <v>71</v>
      </c>
      <c r="B13" s="5" t="s">
        <v>1857</v>
      </c>
      <c r="C13" s="5" t="s">
        <v>58</v>
      </c>
      <c r="D13" s="6">
        <v>3.0</v>
      </c>
      <c r="E13" s="6">
        <v>2.0</v>
      </c>
      <c r="F13" s="6">
        <v>2.0</v>
      </c>
      <c r="G13" s="6">
        <v>5.0</v>
      </c>
      <c r="H13" s="6">
        <v>25054.0</v>
      </c>
      <c r="I13" s="6">
        <v>1.0</v>
      </c>
      <c r="J13" s="6">
        <v>1.0</v>
      </c>
      <c r="K13" s="6">
        <v>1.0</v>
      </c>
      <c r="L13" s="6">
        <v>1.0</v>
      </c>
      <c r="M13" s="6">
        <v>1.0</v>
      </c>
    </row>
    <row r="14">
      <c r="A14" s="5" t="s">
        <v>71</v>
      </c>
      <c r="B14" s="5" t="s">
        <v>163</v>
      </c>
      <c r="C14" s="5" t="s">
        <v>59</v>
      </c>
      <c r="D14" s="6">
        <v>4.0</v>
      </c>
      <c r="E14" s="6">
        <v>1.0</v>
      </c>
      <c r="F14" s="6">
        <v>2.0</v>
      </c>
      <c r="G14" s="6">
        <v>5.0</v>
      </c>
      <c r="H14" s="6">
        <v>23022.0</v>
      </c>
      <c r="I14" s="6">
        <v>0.9351</v>
      </c>
      <c r="J14" s="6">
        <v>1.0</v>
      </c>
      <c r="K14" s="6">
        <v>0.9857</v>
      </c>
      <c r="L14" s="6">
        <v>1.0</v>
      </c>
      <c r="M14" s="6">
        <v>0.9352</v>
      </c>
    </row>
    <row r="15">
      <c r="A15" s="5" t="s">
        <v>71</v>
      </c>
      <c r="B15" s="5" t="s">
        <v>163</v>
      </c>
      <c r="C15" s="5" t="s">
        <v>59</v>
      </c>
      <c r="D15" s="6">
        <v>4.0</v>
      </c>
      <c r="E15" s="6">
        <v>2.0</v>
      </c>
      <c r="F15" s="6">
        <v>2.0</v>
      </c>
      <c r="G15" s="6">
        <v>5.0</v>
      </c>
      <c r="H15" s="6">
        <v>23022.0</v>
      </c>
      <c r="I15" s="6">
        <v>1.0</v>
      </c>
      <c r="J15" s="6">
        <v>1.0</v>
      </c>
      <c r="K15" s="6">
        <v>1.0</v>
      </c>
      <c r="L15" s="6">
        <v>1.0</v>
      </c>
      <c r="M15" s="6">
        <v>1.0</v>
      </c>
    </row>
    <row r="16">
      <c r="A16" s="5" t="s">
        <v>71</v>
      </c>
      <c r="B16" s="5" t="s">
        <v>1857</v>
      </c>
      <c r="C16" s="5" t="s">
        <v>59</v>
      </c>
      <c r="D16" s="6">
        <v>4.0</v>
      </c>
      <c r="E16" s="6">
        <v>1.0</v>
      </c>
      <c r="F16" s="6">
        <v>2.0</v>
      </c>
      <c r="G16" s="6">
        <v>5.0</v>
      </c>
      <c r="H16" s="6">
        <v>11884.0</v>
      </c>
      <c r="I16" s="6">
        <v>0.9208</v>
      </c>
      <c r="J16" s="6">
        <v>1.0</v>
      </c>
      <c r="K16" s="6">
        <v>0.9846</v>
      </c>
      <c r="L16" s="6">
        <v>1.0</v>
      </c>
      <c r="M16" s="6">
        <v>0.9209</v>
      </c>
    </row>
    <row r="17">
      <c r="A17" s="5" t="s">
        <v>71</v>
      </c>
      <c r="B17" s="5" t="s">
        <v>1857</v>
      </c>
      <c r="C17" s="5" t="s">
        <v>59</v>
      </c>
      <c r="D17" s="6">
        <v>4.0</v>
      </c>
      <c r="E17" s="6">
        <v>2.0</v>
      </c>
      <c r="F17" s="6">
        <v>2.0</v>
      </c>
      <c r="G17" s="6">
        <v>5.0</v>
      </c>
      <c r="H17" s="6">
        <v>11884.0</v>
      </c>
      <c r="I17" s="6">
        <v>1.0</v>
      </c>
      <c r="J17" s="6">
        <v>1.0</v>
      </c>
      <c r="K17" s="6">
        <v>1.0</v>
      </c>
      <c r="L17" s="6">
        <v>1.0</v>
      </c>
      <c r="M17" s="6">
        <v>1.0</v>
      </c>
    </row>
    <row r="18">
      <c r="A18" s="5" t="s">
        <v>71</v>
      </c>
      <c r="B18" s="5" t="s">
        <v>163</v>
      </c>
      <c r="C18" s="5" t="s">
        <v>60</v>
      </c>
      <c r="D18" s="6">
        <v>5.0</v>
      </c>
      <c r="E18" s="6">
        <v>1.0</v>
      </c>
      <c r="F18" s="6">
        <v>2.0</v>
      </c>
      <c r="G18" s="6">
        <v>5.0</v>
      </c>
      <c r="H18" s="6">
        <v>3783.0</v>
      </c>
      <c r="I18" s="6">
        <v>0.9339</v>
      </c>
      <c r="J18" s="6">
        <v>1.0</v>
      </c>
      <c r="K18" s="6">
        <v>0.9622</v>
      </c>
      <c r="L18" s="6">
        <v>1.0</v>
      </c>
      <c r="M18" s="6">
        <v>0.9352</v>
      </c>
    </row>
    <row r="19">
      <c r="A19" s="5" t="s">
        <v>71</v>
      </c>
      <c r="B19" s="5" t="s">
        <v>163</v>
      </c>
      <c r="C19" s="5" t="s">
        <v>60</v>
      </c>
      <c r="D19" s="6">
        <v>5.0</v>
      </c>
      <c r="E19" s="6">
        <v>2.0</v>
      </c>
      <c r="F19" s="6">
        <v>2.0</v>
      </c>
      <c r="G19" s="6">
        <v>5.0</v>
      </c>
      <c r="H19" s="6">
        <v>3783.0</v>
      </c>
      <c r="I19" s="6">
        <v>1.0</v>
      </c>
      <c r="J19" s="6">
        <v>1.0</v>
      </c>
      <c r="K19" s="6">
        <v>1.0</v>
      </c>
      <c r="L19" s="6">
        <v>1.0</v>
      </c>
      <c r="M19" s="6">
        <v>1.0</v>
      </c>
    </row>
    <row r="20">
      <c r="A20" s="5" t="s">
        <v>71</v>
      </c>
      <c r="B20" s="5" t="s">
        <v>1857</v>
      </c>
      <c r="C20" s="5" t="s">
        <v>60</v>
      </c>
      <c r="D20" s="6">
        <v>5.0</v>
      </c>
      <c r="E20" s="6">
        <v>1.0</v>
      </c>
      <c r="F20" s="6">
        <v>2.0</v>
      </c>
      <c r="G20" s="6">
        <v>5.0</v>
      </c>
      <c r="H20" s="6">
        <v>1932.0</v>
      </c>
      <c r="I20" s="6">
        <v>0.9193</v>
      </c>
      <c r="J20" s="6">
        <v>1.0</v>
      </c>
      <c r="K20" s="6">
        <v>0.9569</v>
      </c>
      <c r="L20" s="6">
        <v>1.0</v>
      </c>
      <c r="M20" s="6">
        <v>0.9201</v>
      </c>
    </row>
    <row r="21">
      <c r="A21" s="5" t="s">
        <v>71</v>
      </c>
      <c r="B21" s="5" t="s">
        <v>1857</v>
      </c>
      <c r="C21" s="5" t="s">
        <v>60</v>
      </c>
      <c r="D21" s="6">
        <v>5.0</v>
      </c>
      <c r="E21" s="6">
        <v>2.0</v>
      </c>
      <c r="F21" s="6">
        <v>2.0</v>
      </c>
      <c r="G21" s="6">
        <v>5.0</v>
      </c>
      <c r="H21" s="6">
        <v>1932.0</v>
      </c>
      <c r="I21" s="6">
        <v>1.0</v>
      </c>
      <c r="J21" s="6">
        <v>1.0</v>
      </c>
      <c r="K21" s="6">
        <v>1.0</v>
      </c>
      <c r="L21" s="6">
        <v>1.0</v>
      </c>
      <c r="M21" s="6">
        <v>1.0</v>
      </c>
    </row>
    <row r="22">
      <c r="A22" s="5" t="s">
        <v>2074</v>
      </c>
      <c r="B22" s="5" t="s">
        <v>163</v>
      </c>
      <c r="C22" s="5" t="s">
        <v>56</v>
      </c>
      <c r="D22" s="6">
        <v>1.0</v>
      </c>
      <c r="E22" s="6">
        <v>1.0</v>
      </c>
      <c r="F22" s="6">
        <v>5.0</v>
      </c>
      <c r="G22" s="6">
        <v>1.0</v>
      </c>
      <c r="H22" s="6">
        <v>53697.0</v>
      </c>
      <c r="I22" s="6">
        <v>0.2495</v>
      </c>
      <c r="J22" s="6">
        <v>0.025</v>
      </c>
      <c r="K22" s="6">
        <v>0.0</v>
      </c>
      <c r="L22" s="6">
        <v>0.4196</v>
      </c>
      <c r="M22" s="6">
        <v>0.2495</v>
      </c>
    </row>
    <row r="23">
      <c r="A23" s="5" t="s">
        <v>2074</v>
      </c>
      <c r="B23" s="5" t="s">
        <v>163</v>
      </c>
      <c r="C23" s="5" t="s">
        <v>56</v>
      </c>
      <c r="D23" s="6">
        <v>1.0</v>
      </c>
      <c r="E23" s="6">
        <v>2.0</v>
      </c>
      <c r="F23" s="6">
        <v>5.0</v>
      </c>
      <c r="G23" s="6">
        <v>1.0</v>
      </c>
      <c r="H23" s="6">
        <v>53697.0</v>
      </c>
      <c r="I23" s="6">
        <v>0.5009</v>
      </c>
      <c r="J23" s="6">
        <v>0.4939</v>
      </c>
      <c r="K23" s="6">
        <v>0.0309</v>
      </c>
      <c r="L23" s="6">
        <v>0.992</v>
      </c>
      <c r="M23" s="6">
        <v>0.5009</v>
      </c>
    </row>
    <row r="24">
      <c r="A24" s="5" t="s">
        <v>2074</v>
      </c>
      <c r="B24" s="5" t="s">
        <v>163</v>
      </c>
      <c r="C24" s="5" t="s">
        <v>56</v>
      </c>
      <c r="D24" s="6">
        <v>1.0</v>
      </c>
      <c r="E24" s="6">
        <v>3.0</v>
      </c>
      <c r="F24" s="6">
        <v>5.0</v>
      </c>
      <c r="G24" s="6">
        <v>1.0</v>
      </c>
      <c r="H24" s="6">
        <v>53697.0</v>
      </c>
      <c r="I24" s="6">
        <v>0.7543</v>
      </c>
      <c r="J24" s="6">
        <v>0.9881</v>
      </c>
      <c r="K24" s="6">
        <v>0.573</v>
      </c>
      <c r="L24" s="6">
        <v>1.0</v>
      </c>
      <c r="M24" s="6">
        <v>0.7543</v>
      </c>
    </row>
    <row r="25">
      <c r="A25" s="5" t="s">
        <v>2074</v>
      </c>
      <c r="B25" s="5" t="s">
        <v>163</v>
      </c>
      <c r="C25" s="5" t="s">
        <v>56</v>
      </c>
      <c r="D25" s="6">
        <v>1.0</v>
      </c>
      <c r="E25" s="6">
        <v>4.0</v>
      </c>
      <c r="F25" s="6">
        <v>5.0</v>
      </c>
      <c r="G25" s="6">
        <v>1.0</v>
      </c>
      <c r="H25" s="6">
        <v>53697.0</v>
      </c>
      <c r="I25" s="6">
        <v>0.9843</v>
      </c>
      <c r="J25" s="6">
        <v>1.0</v>
      </c>
      <c r="K25" s="6">
        <v>1.0</v>
      </c>
      <c r="L25" s="6">
        <v>1.0</v>
      </c>
      <c r="M25" s="6">
        <v>0.9843</v>
      </c>
    </row>
    <row r="26">
      <c r="A26" s="5" t="s">
        <v>2074</v>
      </c>
      <c r="B26" s="5" t="s">
        <v>163</v>
      </c>
      <c r="C26" s="5" t="s">
        <v>56</v>
      </c>
      <c r="D26" s="6">
        <v>1.0</v>
      </c>
      <c r="E26" s="6">
        <v>5.0</v>
      </c>
      <c r="F26" s="6">
        <v>5.0</v>
      </c>
      <c r="G26" s="6">
        <v>1.0</v>
      </c>
      <c r="H26" s="6">
        <v>53697.0</v>
      </c>
      <c r="I26" s="6">
        <v>1.0</v>
      </c>
      <c r="J26" s="6">
        <v>1.0</v>
      </c>
      <c r="K26" s="6">
        <v>1.0</v>
      </c>
      <c r="L26" s="6">
        <v>1.0</v>
      </c>
      <c r="M26" s="6">
        <v>1.0</v>
      </c>
    </row>
    <row r="27">
      <c r="A27" s="5" t="s">
        <v>2074</v>
      </c>
      <c r="B27" s="5" t="s">
        <v>1857</v>
      </c>
      <c r="C27" s="5" t="s">
        <v>56</v>
      </c>
      <c r="D27" s="6">
        <v>1.0</v>
      </c>
      <c r="E27" s="6">
        <v>1.0</v>
      </c>
      <c r="F27" s="6">
        <v>5.0</v>
      </c>
      <c r="G27" s="6">
        <v>1.0</v>
      </c>
      <c r="H27" s="6">
        <v>41029.0</v>
      </c>
      <c r="I27" s="6">
        <v>0.2628</v>
      </c>
      <c r="J27" s="6">
        <v>0.0336</v>
      </c>
      <c r="K27" s="6">
        <v>0.0</v>
      </c>
      <c r="L27" s="6">
        <v>0.4664</v>
      </c>
      <c r="M27" s="6">
        <v>0.2627</v>
      </c>
    </row>
    <row r="28">
      <c r="A28" s="5" t="s">
        <v>2074</v>
      </c>
      <c r="B28" s="5" t="s">
        <v>1857</v>
      </c>
      <c r="C28" s="5" t="s">
        <v>56</v>
      </c>
      <c r="D28" s="6">
        <v>1.0</v>
      </c>
      <c r="E28" s="6">
        <v>2.0</v>
      </c>
      <c r="F28" s="6">
        <v>5.0</v>
      </c>
      <c r="G28" s="6">
        <v>1.0</v>
      </c>
      <c r="H28" s="6">
        <v>41029.0</v>
      </c>
      <c r="I28" s="6">
        <v>0.5134</v>
      </c>
      <c r="J28" s="6">
        <v>0.516</v>
      </c>
      <c r="K28" s="6">
        <v>0.0404</v>
      </c>
      <c r="L28" s="6">
        <v>0.9964</v>
      </c>
      <c r="M28" s="6">
        <v>0.5134</v>
      </c>
    </row>
    <row r="29">
      <c r="A29" s="5" t="s">
        <v>2074</v>
      </c>
      <c r="B29" s="5" t="s">
        <v>1857</v>
      </c>
      <c r="C29" s="5" t="s">
        <v>56</v>
      </c>
      <c r="D29" s="6">
        <v>1.0</v>
      </c>
      <c r="E29" s="6">
        <v>3.0</v>
      </c>
      <c r="F29" s="6">
        <v>5.0</v>
      </c>
      <c r="G29" s="6">
        <v>1.0</v>
      </c>
      <c r="H29" s="6">
        <v>41029.0</v>
      </c>
      <c r="I29" s="6">
        <v>0.7612</v>
      </c>
      <c r="J29" s="6">
        <v>0.992</v>
      </c>
      <c r="K29" s="6">
        <v>0.5816</v>
      </c>
      <c r="L29" s="6">
        <v>1.0</v>
      </c>
      <c r="M29" s="6">
        <v>0.7612</v>
      </c>
    </row>
    <row r="30">
      <c r="A30" s="5" t="s">
        <v>2074</v>
      </c>
      <c r="B30" s="5" t="s">
        <v>1857</v>
      </c>
      <c r="C30" s="5" t="s">
        <v>56</v>
      </c>
      <c r="D30" s="6">
        <v>1.0</v>
      </c>
      <c r="E30" s="6">
        <v>4.0</v>
      </c>
      <c r="F30" s="6">
        <v>5.0</v>
      </c>
      <c r="G30" s="6">
        <v>1.0</v>
      </c>
      <c r="H30" s="6">
        <v>41029.0</v>
      </c>
      <c r="I30" s="6">
        <v>0.9859</v>
      </c>
      <c r="J30" s="6">
        <v>1.0</v>
      </c>
      <c r="K30" s="6">
        <v>1.0</v>
      </c>
      <c r="L30" s="6">
        <v>1.0</v>
      </c>
      <c r="M30" s="6">
        <v>0.986</v>
      </c>
    </row>
    <row r="31">
      <c r="A31" s="5" t="s">
        <v>2074</v>
      </c>
      <c r="B31" s="5" t="s">
        <v>1857</v>
      </c>
      <c r="C31" s="5" t="s">
        <v>56</v>
      </c>
      <c r="D31" s="6">
        <v>1.0</v>
      </c>
      <c r="E31" s="6">
        <v>5.0</v>
      </c>
      <c r="F31" s="6">
        <v>5.0</v>
      </c>
      <c r="G31" s="6">
        <v>1.0</v>
      </c>
      <c r="H31" s="6">
        <v>41029.0</v>
      </c>
      <c r="I31" s="6">
        <v>1.0</v>
      </c>
      <c r="J31" s="6">
        <v>1.0</v>
      </c>
      <c r="K31" s="6">
        <v>1.0</v>
      </c>
      <c r="L31" s="6">
        <v>1.0</v>
      </c>
      <c r="M31" s="6">
        <v>1.0</v>
      </c>
    </row>
    <row r="32">
      <c r="A32" s="5" t="s">
        <v>2074</v>
      </c>
      <c r="B32" s="5" t="s">
        <v>163</v>
      </c>
      <c r="C32" s="5" t="s">
        <v>57</v>
      </c>
      <c r="D32" s="6">
        <v>2.0</v>
      </c>
      <c r="E32" s="6">
        <v>1.0</v>
      </c>
      <c r="F32" s="6">
        <v>5.0</v>
      </c>
      <c r="G32" s="6">
        <v>1.0</v>
      </c>
      <c r="H32" s="6">
        <v>40748.0</v>
      </c>
      <c r="I32" s="6">
        <v>0.2681</v>
      </c>
      <c r="J32" s="6">
        <v>0.1556</v>
      </c>
      <c r="K32" s="6">
        <v>0.0</v>
      </c>
      <c r="L32" s="6">
        <v>0.4318</v>
      </c>
      <c r="M32" s="6">
        <v>0.268</v>
      </c>
    </row>
    <row r="33">
      <c r="A33" s="5" t="s">
        <v>2074</v>
      </c>
      <c r="B33" s="5" t="s">
        <v>163</v>
      </c>
      <c r="C33" s="5" t="s">
        <v>57</v>
      </c>
      <c r="D33" s="6">
        <v>2.0</v>
      </c>
      <c r="E33" s="6">
        <v>2.0</v>
      </c>
      <c r="F33" s="6">
        <v>5.0</v>
      </c>
      <c r="G33" s="6">
        <v>1.0</v>
      </c>
      <c r="H33" s="6">
        <v>40748.0</v>
      </c>
      <c r="I33" s="6">
        <v>0.5212</v>
      </c>
      <c r="J33" s="6">
        <v>0.5259</v>
      </c>
      <c r="K33" s="6">
        <v>0.2181</v>
      </c>
      <c r="L33" s="6">
        <v>0.8544</v>
      </c>
      <c r="M33" s="6">
        <v>0.5211</v>
      </c>
    </row>
    <row r="34">
      <c r="A34" s="5" t="s">
        <v>2074</v>
      </c>
      <c r="B34" s="5" t="s">
        <v>163</v>
      </c>
      <c r="C34" s="5" t="s">
        <v>57</v>
      </c>
      <c r="D34" s="6">
        <v>2.0</v>
      </c>
      <c r="E34" s="6">
        <v>3.0</v>
      </c>
      <c r="F34" s="6">
        <v>5.0</v>
      </c>
      <c r="G34" s="6">
        <v>1.0</v>
      </c>
      <c r="H34" s="6">
        <v>40748.0</v>
      </c>
      <c r="I34" s="6">
        <v>0.7657</v>
      </c>
      <c r="J34" s="6">
        <v>0.8909</v>
      </c>
      <c r="K34" s="6">
        <v>0.6281</v>
      </c>
      <c r="L34" s="6">
        <v>1.0</v>
      </c>
      <c r="M34" s="6">
        <v>0.7656</v>
      </c>
    </row>
    <row r="35">
      <c r="A35" s="5" t="s">
        <v>2074</v>
      </c>
      <c r="B35" s="5" t="s">
        <v>163</v>
      </c>
      <c r="C35" s="5" t="s">
        <v>57</v>
      </c>
      <c r="D35" s="6">
        <v>2.0</v>
      </c>
      <c r="E35" s="6">
        <v>4.0</v>
      </c>
      <c r="F35" s="6">
        <v>5.0</v>
      </c>
      <c r="G35" s="6">
        <v>1.0</v>
      </c>
      <c r="H35" s="6">
        <v>40748.0</v>
      </c>
      <c r="I35" s="6">
        <v>0.9873</v>
      </c>
      <c r="J35" s="6">
        <v>1.0</v>
      </c>
      <c r="K35" s="6">
        <v>1.0</v>
      </c>
      <c r="L35" s="6">
        <v>1.0</v>
      </c>
      <c r="M35" s="6">
        <v>0.9873</v>
      </c>
    </row>
    <row r="36">
      <c r="A36" s="5" t="s">
        <v>2074</v>
      </c>
      <c r="B36" s="5" t="s">
        <v>163</v>
      </c>
      <c r="C36" s="5" t="s">
        <v>57</v>
      </c>
      <c r="D36" s="6">
        <v>2.0</v>
      </c>
      <c r="E36" s="6">
        <v>5.0</v>
      </c>
      <c r="F36" s="6">
        <v>5.0</v>
      </c>
      <c r="G36" s="6">
        <v>1.0</v>
      </c>
      <c r="H36" s="6">
        <v>40748.0</v>
      </c>
      <c r="I36" s="6">
        <v>1.0</v>
      </c>
      <c r="J36" s="6">
        <v>1.0</v>
      </c>
      <c r="K36" s="6">
        <v>1.0</v>
      </c>
      <c r="L36" s="6">
        <v>1.0</v>
      </c>
      <c r="M36" s="6">
        <v>1.0</v>
      </c>
    </row>
    <row r="37">
      <c r="A37" s="5" t="s">
        <v>2074</v>
      </c>
      <c r="B37" s="5" t="s">
        <v>1857</v>
      </c>
      <c r="C37" s="5" t="s">
        <v>57</v>
      </c>
      <c r="D37" s="6">
        <v>2.0</v>
      </c>
      <c r="E37" s="6">
        <v>1.0</v>
      </c>
      <c r="F37" s="6">
        <v>5.0</v>
      </c>
      <c r="G37" s="6">
        <v>1.0</v>
      </c>
      <c r="H37" s="6">
        <v>23616.0</v>
      </c>
      <c r="I37" s="6">
        <v>0.2692</v>
      </c>
      <c r="J37" s="6">
        <v>0.1377</v>
      </c>
      <c r="K37" s="6">
        <v>0.0</v>
      </c>
      <c r="L37" s="6">
        <v>0.4498</v>
      </c>
      <c r="M37" s="6">
        <v>0.2692</v>
      </c>
    </row>
    <row r="38">
      <c r="A38" s="5" t="s">
        <v>2074</v>
      </c>
      <c r="B38" s="5" t="s">
        <v>1857</v>
      </c>
      <c r="C38" s="5" t="s">
        <v>57</v>
      </c>
      <c r="D38" s="6">
        <v>2.0</v>
      </c>
      <c r="E38" s="6">
        <v>2.0</v>
      </c>
      <c r="F38" s="6">
        <v>5.0</v>
      </c>
      <c r="G38" s="6">
        <v>1.0</v>
      </c>
      <c r="H38" s="6">
        <v>23616.0</v>
      </c>
      <c r="I38" s="6">
        <v>0.5228</v>
      </c>
      <c r="J38" s="6">
        <v>0.5323</v>
      </c>
      <c r="K38" s="6">
        <v>0.191</v>
      </c>
      <c r="L38" s="6">
        <v>0.88</v>
      </c>
      <c r="M38" s="6">
        <v>0.5228</v>
      </c>
    </row>
    <row r="39">
      <c r="A39" s="5" t="s">
        <v>2074</v>
      </c>
      <c r="B39" s="5" t="s">
        <v>1857</v>
      </c>
      <c r="C39" s="5" t="s">
        <v>57</v>
      </c>
      <c r="D39" s="6">
        <v>2.0</v>
      </c>
      <c r="E39" s="6">
        <v>3.0</v>
      </c>
      <c r="F39" s="6">
        <v>5.0</v>
      </c>
      <c r="G39" s="6">
        <v>1.0</v>
      </c>
      <c r="H39" s="6">
        <v>23616.0</v>
      </c>
      <c r="I39" s="6">
        <v>0.7647</v>
      </c>
      <c r="J39" s="6">
        <v>0.9098</v>
      </c>
      <c r="K39" s="6">
        <v>0.6201</v>
      </c>
      <c r="L39" s="6">
        <v>1.0</v>
      </c>
      <c r="M39" s="6">
        <v>0.7647</v>
      </c>
    </row>
    <row r="40">
      <c r="A40" s="5" t="s">
        <v>2074</v>
      </c>
      <c r="B40" s="5" t="s">
        <v>1857</v>
      </c>
      <c r="C40" s="5" t="s">
        <v>57</v>
      </c>
      <c r="D40" s="6">
        <v>2.0</v>
      </c>
      <c r="E40" s="6">
        <v>4.0</v>
      </c>
      <c r="F40" s="6">
        <v>5.0</v>
      </c>
      <c r="G40" s="6">
        <v>1.0</v>
      </c>
      <c r="H40" s="6">
        <v>23616.0</v>
      </c>
      <c r="I40" s="6">
        <v>0.9873</v>
      </c>
      <c r="J40" s="6">
        <v>1.0</v>
      </c>
      <c r="K40" s="6">
        <v>1.0</v>
      </c>
      <c r="L40" s="6">
        <v>1.0</v>
      </c>
      <c r="M40" s="6">
        <v>0.9872</v>
      </c>
    </row>
    <row r="41">
      <c r="A41" s="5" t="s">
        <v>2074</v>
      </c>
      <c r="B41" s="5" t="s">
        <v>1857</v>
      </c>
      <c r="C41" s="5" t="s">
        <v>57</v>
      </c>
      <c r="D41" s="6">
        <v>2.0</v>
      </c>
      <c r="E41" s="6">
        <v>5.0</v>
      </c>
      <c r="F41" s="6">
        <v>5.0</v>
      </c>
      <c r="G41" s="6">
        <v>1.0</v>
      </c>
      <c r="H41" s="6">
        <v>23616.0</v>
      </c>
      <c r="I41" s="6">
        <v>1.0</v>
      </c>
      <c r="J41" s="6">
        <v>1.0</v>
      </c>
      <c r="K41" s="6">
        <v>1.0</v>
      </c>
      <c r="L41" s="6">
        <v>1.0</v>
      </c>
      <c r="M41" s="6">
        <v>1.0</v>
      </c>
    </row>
    <row r="42">
      <c r="A42" s="5" t="s">
        <v>2074</v>
      </c>
      <c r="B42" s="5" t="s">
        <v>163</v>
      </c>
      <c r="C42" s="5" t="s">
        <v>58</v>
      </c>
      <c r="D42" s="6">
        <v>3.0</v>
      </c>
      <c r="E42" s="6">
        <v>1.0</v>
      </c>
      <c r="F42" s="6">
        <v>5.0</v>
      </c>
      <c r="G42" s="6">
        <v>1.0</v>
      </c>
      <c r="H42" s="6">
        <v>24627.0</v>
      </c>
      <c r="I42" s="6">
        <v>0.2763</v>
      </c>
      <c r="J42" s="6">
        <v>0.2042</v>
      </c>
      <c r="K42" s="6">
        <v>5.0E-4</v>
      </c>
      <c r="L42" s="6">
        <v>0.4176</v>
      </c>
      <c r="M42" s="6">
        <v>0.2762</v>
      </c>
    </row>
    <row r="43">
      <c r="A43" s="5" t="s">
        <v>2074</v>
      </c>
      <c r="B43" s="5" t="s">
        <v>163</v>
      </c>
      <c r="C43" s="5" t="s">
        <v>58</v>
      </c>
      <c r="D43" s="6">
        <v>3.0</v>
      </c>
      <c r="E43" s="6">
        <v>2.0</v>
      </c>
      <c r="F43" s="6">
        <v>5.0</v>
      </c>
      <c r="G43" s="6">
        <v>1.0</v>
      </c>
      <c r="H43" s="6">
        <v>24627.0</v>
      </c>
      <c r="I43" s="6">
        <v>0.5362</v>
      </c>
      <c r="J43" s="6">
        <v>0.5451</v>
      </c>
      <c r="K43" s="6">
        <v>0.3016</v>
      </c>
      <c r="L43" s="6">
        <v>0.8116</v>
      </c>
      <c r="M43" s="6">
        <v>0.536</v>
      </c>
    </row>
    <row r="44">
      <c r="A44" s="5" t="s">
        <v>2074</v>
      </c>
      <c r="B44" s="5" t="s">
        <v>163</v>
      </c>
      <c r="C44" s="5" t="s">
        <v>58</v>
      </c>
      <c r="D44" s="6">
        <v>3.0</v>
      </c>
      <c r="E44" s="6">
        <v>3.0</v>
      </c>
      <c r="F44" s="6">
        <v>5.0</v>
      </c>
      <c r="G44" s="6">
        <v>1.0</v>
      </c>
      <c r="H44" s="6">
        <v>24627.0</v>
      </c>
      <c r="I44" s="6">
        <v>0.7733</v>
      </c>
      <c r="J44" s="6">
        <v>0.8595</v>
      </c>
      <c r="K44" s="6">
        <v>0.6609</v>
      </c>
      <c r="L44" s="6">
        <v>1.0</v>
      </c>
      <c r="M44" s="6">
        <v>0.7733</v>
      </c>
    </row>
    <row r="45">
      <c r="A45" s="5" t="s">
        <v>2074</v>
      </c>
      <c r="B45" s="5" t="s">
        <v>163</v>
      </c>
      <c r="C45" s="5" t="s">
        <v>58</v>
      </c>
      <c r="D45" s="6">
        <v>3.0</v>
      </c>
      <c r="E45" s="6">
        <v>4.0</v>
      </c>
      <c r="F45" s="6">
        <v>5.0</v>
      </c>
      <c r="G45" s="6">
        <v>1.0</v>
      </c>
      <c r="H45" s="6">
        <v>24627.0</v>
      </c>
      <c r="I45" s="6">
        <v>0.9887</v>
      </c>
      <c r="J45" s="6">
        <v>1.0</v>
      </c>
      <c r="K45" s="6">
        <v>1.0</v>
      </c>
      <c r="L45" s="6">
        <v>1.0</v>
      </c>
      <c r="M45" s="6">
        <v>0.9886</v>
      </c>
    </row>
    <row r="46">
      <c r="A46" s="5" t="s">
        <v>2074</v>
      </c>
      <c r="B46" s="5" t="s">
        <v>163</v>
      </c>
      <c r="C46" s="5" t="s">
        <v>58</v>
      </c>
      <c r="D46" s="6">
        <v>3.0</v>
      </c>
      <c r="E46" s="6">
        <v>5.0</v>
      </c>
      <c r="F46" s="6">
        <v>5.0</v>
      </c>
      <c r="G46" s="6">
        <v>1.0</v>
      </c>
      <c r="H46" s="6">
        <v>24627.0</v>
      </c>
      <c r="I46" s="6">
        <v>1.0</v>
      </c>
      <c r="J46" s="6">
        <v>1.0</v>
      </c>
      <c r="K46" s="6">
        <v>1.0</v>
      </c>
      <c r="L46" s="6">
        <v>1.0</v>
      </c>
      <c r="M46" s="6">
        <v>1.0</v>
      </c>
    </row>
    <row r="47">
      <c r="A47" s="5" t="s">
        <v>2074</v>
      </c>
      <c r="B47" s="5" t="s">
        <v>1857</v>
      </c>
      <c r="C47" s="5" t="s">
        <v>58</v>
      </c>
      <c r="D47" s="6">
        <v>3.0</v>
      </c>
      <c r="E47" s="6">
        <v>1.0</v>
      </c>
      <c r="F47" s="6">
        <v>5.0</v>
      </c>
      <c r="G47" s="6">
        <v>1.0</v>
      </c>
      <c r="H47" s="6">
        <v>13176.0</v>
      </c>
      <c r="I47" s="6">
        <v>0.2749</v>
      </c>
      <c r="J47" s="6">
        <v>0.1779</v>
      </c>
      <c r="K47" s="6">
        <v>0.0</v>
      </c>
      <c r="L47" s="6">
        <v>0.4428</v>
      </c>
      <c r="M47" s="6">
        <v>0.275</v>
      </c>
    </row>
    <row r="48">
      <c r="A48" s="5" t="s">
        <v>2074</v>
      </c>
      <c r="B48" s="5" t="s">
        <v>1857</v>
      </c>
      <c r="C48" s="5" t="s">
        <v>58</v>
      </c>
      <c r="D48" s="6">
        <v>3.0</v>
      </c>
      <c r="E48" s="6">
        <v>2.0</v>
      </c>
      <c r="F48" s="6">
        <v>5.0</v>
      </c>
      <c r="G48" s="6">
        <v>1.0</v>
      </c>
      <c r="H48" s="6">
        <v>13176.0</v>
      </c>
      <c r="I48" s="6">
        <v>0.528</v>
      </c>
      <c r="J48" s="6">
        <v>0.5424</v>
      </c>
      <c r="K48" s="6">
        <v>0.2428</v>
      </c>
      <c r="L48" s="6">
        <v>0.8449</v>
      </c>
      <c r="M48" s="6">
        <v>0.528</v>
      </c>
    </row>
    <row r="49">
      <c r="A49" s="5" t="s">
        <v>2074</v>
      </c>
      <c r="B49" s="5" t="s">
        <v>1857</v>
      </c>
      <c r="C49" s="5" t="s">
        <v>58</v>
      </c>
      <c r="D49" s="6">
        <v>3.0</v>
      </c>
      <c r="E49" s="6">
        <v>3.0</v>
      </c>
      <c r="F49" s="6">
        <v>5.0</v>
      </c>
      <c r="G49" s="6">
        <v>1.0</v>
      </c>
      <c r="H49" s="6">
        <v>13176.0</v>
      </c>
      <c r="I49" s="6">
        <v>0.7665</v>
      </c>
      <c r="J49" s="6">
        <v>0.884</v>
      </c>
      <c r="K49" s="6">
        <v>0.6472</v>
      </c>
      <c r="L49" s="6">
        <v>1.0</v>
      </c>
      <c r="M49" s="6">
        <v>0.7664</v>
      </c>
    </row>
    <row r="50">
      <c r="A50" s="5" t="s">
        <v>2074</v>
      </c>
      <c r="B50" s="5" t="s">
        <v>1857</v>
      </c>
      <c r="C50" s="5" t="s">
        <v>58</v>
      </c>
      <c r="D50" s="6">
        <v>3.0</v>
      </c>
      <c r="E50" s="6">
        <v>4.0</v>
      </c>
      <c r="F50" s="6">
        <v>5.0</v>
      </c>
      <c r="G50" s="6">
        <v>1.0</v>
      </c>
      <c r="H50" s="6">
        <v>13176.0</v>
      </c>
      <c r="I50" s="6">
        <v>0.9882</v>
      </c>
      <c r="J50" s="6">
        <v>1.0</v>
      </c>
      <c r="K50" s="6">
        <v>1.0</v>
      </c>
      <c r="L50" s="6">
        <v>1.0</v>
      </c>
      <c r="M50" s="6">
        <v>0.9882</v>
      </c>
    </row>
    <row r="51">
      <c r="A51" s="5" t="s">
        <v>2074</v>
      </c>
      <c r="B51" s="5" t="s">
        <v>1857</v>
      </c>
      <c r="C51" s="5" t="s">
        <v>58</v>
      </c>
      <c r="D51" s="6">
        <v>3.0</v>
      </c>
      <c r="E51" s="6">
        <v>5.0</v>
      </c>
      <c r="F51" s="6">
        <v>5.0</v>
      </c>
      <c r="G51" s="6">
        <v>1.0</v>
      </c>
      <c r="H51" s="6">
        <v>13176.0</v>
      </c>
      <c r="I51" s="6">
        <v>1.0</v>
      </c>
      <c r="J51" s="6">
        <v>1.0</v>
      </c>
      <c r="K51" s="6">
        <v>1.0</v>
      </c>
      <c r="L51" s="6">
        <v>1.0</v>
      </c>
      <c r="M51" s="6">
        <v>1.0</v>
      </c>
    </row>
    <row r="52">
      <c r="A52" s="5" t="s">
        <v>2074</v>
      </c>
      <c r="B52" s="5" t="s">
        <v>163</v>
      </c>
      <c r="C52" s="5" t="s">
        <v>59</v>
      </c>
      <c r="D52" s="6">
        <v>4.0</v>
      </c>
      <c r="E52" s="6">
        <v>1.0</v>
      </c>
      <c r="F52" s="6">
        <v>5.0</v>
      </c>
      <c r="G52" s="6">
        <v>1.0</v>
      </c>
      <c r="H52" s="6">
        <v>11322.0</v>
      </c>
      <c r="I52" s="6">
        <v>0.2988</v>
      </c>
      <c r="J52" s="6">
        <v>0.2595</v>
      </c>
      <c r="K52" s="6">
        <v>0.03</v>
      </c>
      <c r="L52" s="6">
        <v>0.436</v>
      </c>
      <c r="M52" s="6">
        <v>0.2989</v>
      </c>
    </row>
    <row r="53">
      <c r="A53" s="5" t="s">
        <v>2074</v>
      </c>
      <c r="B53" s="5" t="s">
        <v>163</v>
      </c>
      <c r="C53" s="5" t="s">
        <v>59</v>
      </c>
      <c r="D53" s="6">
        <v>4.0</v>
      </c>
      <c r="E53" s="6">
        <v>2.0</v>
      </c>
      <c r="F53" s="6">
        <v>5.0</v>
      </c>
      <c r="G53" s="6">
        <v>1.0</v>
      </c>
      <c r="H53" s="6">
        <v>11322.0</v>
      </c>
      <c r="I53" s="6">
        <v>0.5673</v>
      </c>
      <c r="J53" s="6">
        <v>0.5828</v>
      </c>
      <c r="K53" s="6">
        <v>0.3772</v>
      </c>
      <c r="L53" s="6">
        <v>0.8138</v>
      </c>
      <c r="M53" s="6">
        <v>0.5674</v>
      </c>
    </row>
    <row r="54">
      <c r="A54" s="5" t="s">
        <v>2074</v>
      </c>
      <c r="B54" s="5" t="s">
        <v>163</v>
      </c>
      <c r="C54" s="5" t="s">
        <v>59</v>
      </c>
      <c r="D54" s="6">
        <v>4.0</v>
      </c>
      <c r="E54" s="6">
        <v>3.0</v>
      </c>
      <c r="F54" s="6">
        <v>5.0</v>
      </c>
      <c r="G54" s="6">
        <v>1.0</v>
      </c>
      <c r="H54" s="6">
        <v>11322.0</v>
      </c>
      <c r="I54" s="6">
        <v>0.7907</v>
      </c>
      <c r="J54" s="6">
        <v>0.8672</v>
      </c>
      <c r="K54" s="6">
        <v>0.694</v>
      </c>
      <c r="L54" s="6">
        <v>1.0</v>
      </c>
      <c r="M54" s="6">
        <v>0.7908</v>
      </c>
    </row>
    <row r="55">
      <c r="A55" s="5" t="s">
        <v>2074</v>
      </c>
      <c r="B55" s="5" t="s">
        <v>163</v>
      </c>
      <c r="C55" s="5" t="s">
        <v>59</v>
      </c>
      <c r="D55" s="6">
        <v>4.0</v>
      </c>
      <c r="E55" s="6">
        <v>4.0</v>
      </c>
      <c r="F55" s="6">
        <v>5.0</v>
      </c>
      <c r="G55" s="6">
        <v>1.0</v>
      </c>
      <c r="H55" s="6">
        <v>11322.0</v>
      </c>
      <c r="I55" s="6">
        <v>0.9906</v>
      </c>
      <c r="J55" s="6">
        <v>1.0</v>
      </c>
      <c r="K55" s="6">
        <v>1.0</v>
      </c>
      <c r="L55" s="6">
        <v>1.0</v>
      </c>
      <c r="M55" s="6">
        <v>0.9906</v>
      </c>
    </row>
    <row r="56">
      <c r="A56" s="5" t="s">
        <v>2074</v>
      </c>
      <c r="B56" s="5" t="s">
        <v>163</v>
      </c>
      <c r="C56" s="5" t="s">
        <v>59</v>
      </c>
      <c r="D56" s="6">
        <v>4.0</v>
      </c>
      <c r="E56" s="6">
        <v>5.0</v>
      </c>
      <c r="F56" s="6">
        <v>5.0</v>
      </c>
      <c r="G56" s="6">
        <v>1.0</v>
      </c>
      <c r="H56" s="6">
        <v>11322.0</v>
      </c>
      <c r="I56" s="6">
        <v>1.0</v>
      </c>
      <c r="J56" s="6">
        <v>1.0</v>
      </c>
      <c r="K56" s="6">
        <v>1.0</v>
      </c>
      <c r="L56" s="6">
        <v>1.0</v>
      </c>
      <c r="M56" s="6">
        <v>1.0</v>
      </c>
    </row>
    <row r="57">
      <c r="A57" s="5" t="s">
        <v>2074</v>
      </c>
      <c r="B57" s="5" t="s">
        <v>1857</v>
      </c>
      <c r="C57" s="5" t="s">
        <v>59</v>
      </c>
      <c r="D57" s="6">
        <v>4.0</v>
      </c>
      <c r="E57" s="6">
        <v>1.0</v>
      </c>
      <c r="F57" s="6">
        <v>5.0</v>
      </c>
      <c r="G57" s="6">
        <v>1.0</v>
      </c>
      <c r="H57" s="6">
        <v>5639.0</v>
      </c>
      <c r="I57" s="6">
        <v>0.2866</v>
      </c>
      <c r="J57" s="6">
        <v>0.2225</v>
      </c>
      <c r="K57" s="6">
        <v>0.0</v>
      </c>
      <c r="L57" s="6">
        <v>0.4474</v>
      </c>
      <c r="M57" s="6">
        <v>0.2869</v>
      </c>
    </row>
    <row r="58">
      <c r="A58" s="5" t="s">
        <v>2074</v>
      </c>
      <c r="B58" s="5" t="s">
        <v>1857</v>
      </c>
      <c r="C58" s="5" t="s">
        <v>59</v>
      </c>
      <c r="D58" s="6">
        <v>4.0</v>
      </c>
      <c r="E58" s="6">
        <v>2.0</v>
      </c>
      <c r="F58" s="6">
        <v>5.0</v>
      </c>
      <c r="G58" s="6">
        <v>1.0</v>
      </c>
      <c r="H58" s="6">
        <v>5639.0</v>
      </c>
      <c r="I58" s="6">
        <v>0.539</v>
      </c>
      <c r="J58" s="6">
        <v>0.5633</v>
      </c>
      <c r="K58" s="6">
        <v>0.2807</v>
      </c>
      <c r="L58" s="6">
        <v>0.8435</v>
      </c>
      <c r="M58" s="6">
        <v>0.5391</v>
      </c>
    </row>
    <row r="59">
      <c r="A59" s="5" t="s">
        <v>2074</v>
      </c>
      <c r="B59" s="5" t="s">
        <v>1857</v>
      </c>
      <c r="C59" s="5" t="s">
        <v>59</v>
      </c>
      <c r="D59" s="6">
        <v>4.0</v>
      </c>
      <c r="E59" s="6">
        <v>3.0</v>
      </c>
      <c r="F59" s="6">
        <v>5.0</v>
      </c>
      <c r="G59" s="6">
        <v>1.0</v>
      </c>
      <c r="H59" s="6">
        <v>5639.0</v>
      </c>
      <c r="I59" s="6">
        <v>0.7692</v>
      </c>
      <c r="J59" s="6">
        <v>0.8804</v>
      </c>
      <c r="K59" s="6">
        <v>0.6627</v>
      </c>
      <c r="L59" s="6">
        <v>1.0</v>
      </c>
      <c r="M59" s="6">
        <v>0.7693</v>
      </c>
    </row>
    <row r="60">
      <c r="A60" s="5" t="s">
        <v>2074</v>
      </c>
      <c r="B60" s="5" t="s">
        <v>1857</v>
      </c>
      <c r="C60" s="5" t="s">
        <v>59</v>
      </c>
      <c r="D60" s="6">
        <v>4.0</v>
      </c>
      <c r="E60" s="6">
        <v>4.0</v>
      </c>
      <c r="F60" s="6">
        <v>5.0</v>
      </c>
      <c r="G60" s="6">
        <v>1.0</v>
      </c>
      <c r="H60" s="6">
        <v>5639.0</v>
      </c>
      <c r="I60" s="6">
        <v>0.9873</v>
      </c>
      <c r="J60" s="6">
        <v>1.0</v>
      </c>
      <c r="K60" s="6">
        <v>1.0</v>
      </c>
      <c r="L60" s="6">
        <v>1.0</v>
      </c>
      <c r="M60" s="6">
        <v>0.9873</v>
      </c>
    </row>
    <row r="61">
      <c r="A61" s="5" t="s">
        <v>2074</v>
      </c>
      <c r="B61" s="5" t="s">
        <v>1857</v>
      </c>
      <c r="C61" s="5" t="s">
        <v>59</v>
      </c>
      <c r="D61" s="6">
        <v>4.0</v>
      </c>
      <c r="E61" s="6">
        <v>5.0</v>
      </c>
      <c r="F61" s="6">
        <v>5.0</v>
      </c>
      <c r="G61" s="6">
        <v>1.0</v>
      </c>
      <c r="H61" s="6">
        <v>5639.0</v>
      </c>
      <c r="I61" s="6">
        <v>1.0</v>
      </c>
      <c r="J61" s="6">
        <v>1.0</v>
      </c>
      <c r="K61" s="6">
        <v>1.0</v>
      </c>
      <c r="L61" s="6">
        <v>1.0</v>
      </c>
      <c r="M61" s="6">
        <v>1.0</v>
      </c>
    </row>
    <row r="62">
      <c r="A62" s="5" t="s">
        <v>2074</v>
      </c>
      <c r="B62" s="5" t="s">
        <v>163</v>
      </c>
      <c r="C62" s="5" t="s">
        <v>60</v>
      </c>
      <c r="D62" s="6">
        <v>5.0</v>
      </c>
      <c r="E62" s="6">
        <v>1.0</v>
      </c>
      <c r="F62" s="6">
        <v>5.0</v>
      </c>
      <c r="G62" s="6">
        <v>1.0</v>
      </c>
      <c r="H62" s="6">
        <v>1511.0</v>
      </c>
      <c r="I62" s="6">
        <v>0.3256</v>
      </c>
      <c r="J62" s="6">
        <v>0.2607</v>
      </c>
      <c r="K62" s="6">
        <v>0.0</v>
      </c>
      <c r="L62" s="6">
        <v>0.568</v>
      </c>
      <c r="M62" s="6">
        <v>0.3262</v>
      </c>
    </row>
    <row r="63">
      <c r="A63" s="5" t="s">
        <v>2074</v>
      </c>
      <c r="B63" s="5" t="s">
        <v>163</v>
      </c>
      <c r="C63" s="5" t="s">
        <v>60</v>
      </c>
      <c r="D63" s="6">
        <v>5.0</v>
      </c>
      <c r="E63" s="6">
        <v>2.0</v>
      </c>
      <c r="F63" s="6">
        <v>5.0</v>
      </c>
      <c r="G63" s="6">
        <v>1.0</v>
      </c>
      <c r="H63" s="6">
        <v>1511.0</v>
      </c>
      <c r="I63" s="6">
        <v>0.5954</v>
      </c>
      <c r="J63" s="6">
        <v>0.7272</v>
      </c>
      <c r="K63" s="6">
        <v>0.0989</v>
      </c>
      <c r="L63" s="6">
        <v>1.0</v>
      </c>
      <c r="M63" s="6">
        <v>0.5962</v>
      </c>
    </row>
    <row r="64">
      <c r="A64" s="5" t="s">
        <v>2074</v>
      </c>
      <c r="B64" s="5" t="s">
        <v>163</v>
      </c>
      <c r="C64" s="5" t="s">
        <v>60</v>
      </c>
      <c r="D64" s="6">
        <v>5.0</v>
      </c>
      <c r="E64" s="6">
        <v>3.0</v>
      </c>
      <c r="F64" s="6">
        <v>5.0</v>
      </c>
      <c r="G64" s="6">
        <v>1.0</v>
      </c>
      <c r="H64" s="6">
        <v>1511.0</v>
      </c>
      <c r="I64" s="6">
        <v>0.7974</v>
      </c>
      <c r="J64" s="6">
        <v>1.0</v>
      </c>
      <c r="K64" s="6">
        <v>0.7279</v>
      </c>
      <c r="L64" s="6">
        <v>1.0</v>
      </c>
      <c r="M64" s="6">
        <v>0.7982</v>
      </c>
    </row>
    <row r="65">
      <c r="A65" s="5" t="s">
        <v>2074</v>
      </c>
      <c r="B65" s="5" t="s">
        <v>163</v>
      </c>
      <c r="C65" s="5" t="s">
        <v>60</v>
      </c>
      <c r="D65" s="6">
        <v>5.0</v>
      </c>
      <c r="E65" s="6">
        <v>4.0</v>
      </c>
      <c r="F65" s="6">
        <v>5.0</v>
      </c>
      <c r="G65" s="6">
        <v>1.0</v>
      </c>
      <c r="H65" s="6">
        <v>1511.0</v>
      </c>
      <c r="I65" s="6">
        <v>0.9907</v>
      </c>
      <c r="J65" s="6">
        <v>1.0</v>
      </c>
      <c r="K65" s="6">
        <v>1.0</v>
      </c>
      <c r="L65" s="6">
        <v>1.0</v>
      </c>
      <c r="M65" s="6">
        <v>0.9909</v>
      </c>
    </row>
    <row r="66">
      <c r="A66" s="5" t="s">
        <v>2074</v>
      </c>
      <c r="B66" s="5" t="s">
        <v>163</v>
      </c>
      <c r="C66" s="5" t="s">
        <v>60</v>
      </c>
      <c r="D66" s="6">
        <v>5.0</v>
      </c>
      <c r="E66" s="6">
        <v>5.0</v>
      </c>
      <c r="F66" s="6">
        <v>5.0</v>
      </c>
      <c r="G66" s="6">
        <v>1.0</v>
      </c>
      <c r="H66" s="6">
        <v>1511.0</v>
      </c>
      <c r="I66" s="6">
        <v>1.0</v>
      </c>
      <c r="J66" s="6">
        <v>1.0</v>
      </c>
      <c r="K66" s="6">
        <v>1.0</v>
      </c>
      <c r="L66" s="6">
        <v>1.0</v>
      </c>
      <c r="M66" s="6">
        <v>1.0</v>
      </c>
    </row>
    <row r="67">
      <c r="A67" s="5" t="s">
        <v>2074</v>
      </c>
      <c r="B67" s="5" t="s">
        <v>1857</v>
      </c>
      <c r="C67" s="5" t="s">
        <v>60</v>
      </c>
      <c r="D67" s="6">
        <v>5.0</v>
      </c>
      <c r="E67" s="6">
        <v>1.0</v>
      </c>
      <c r="F67" s="6">
        <v>5.0</v>
      </c>
      <c r="G67" s="6">
        <v>1.0</v>
      </c>
      <c r="H67" s="6">
        <v>748.0</v>
      </c>
      <c r="I67" s="6">
        <v>0.3104</v>
      </c>
      <c r="J67" s="6">
        <v>0.2142</v>
      </c>
      <c r="K67" s="6">
        <v>0.0</v>
      </c>
      <c r="L67" s="6">
        <v>0.5407</v>
      </c>
      <c r="M67" s="6">
        <v>0.3108</v>
      </c>
    </row>
    <row r="68">
      <c r="A68" s="5" t="s">
        <v>2074</v>
      </c>
      <c r="B68" s="5" t="s">
        <v>1857</v>
      </c>
      <c r="C68" s="5" t="s">
        <v>60</v>
      </c>
      <c r="D68" s="6">
        <v>5.0</v>
      </c>
      <c r="E68" s="6">
        <v>2.0</v>
      </c>
      <c r="F68" s="6">
        <v>5.0</v>
      </c>
      <c r="G68" s="6">
        <v>1.0</v>
      </c>
      <c r="H68" s="6">
        <v>748.0</v>
      </c>
      <c r="I68" s="6">
        <v>0.5578</v>
      </c>
      <c r="J68" s="6">
        <v>0.6528</v>
      </c>
      <c r="K68" s="6">
        <v>0.0046</v>
      </c>
      <c r="L68" s="6">
        <v>0.9988</v>
      </c>
      <c r="M68" s="6">
        <v>0.5584</v>
      </c>
    </row>
    <row r="69">
      <c r="A69" s="5" t="s">
        <v>2074</v>
      </c>
      <c r="B69" s="5" t="s">
        <v>1857</v>
      </c>
      <c r="C69" s="5" t="s">
        <v>60</v>
      </c>
      <c r="D69" s="6">
        <v>5.0</v>
      </c>
      <c r="E69" s="6">
        <v>3.0</v>
      </c>
      <c r="F69" s="6">
        <v>5.0</v>
      </c>
      <c r="G69" s="6">
        <v>1.0</v>
      </c>
      <c r="H69" s="6">
        <v>748.0</v>
      </c>
      <c r="I69" s="6">
        <v>0.7845</v>
      </c>
      <c r="J69" s="6">
        <v>0.9998</v>
      </c>
      <c r="K69" s="6">
        <v>0.6736</v>
      </c>
      <c r="L69" s="6">
        <v>1.0</v>
      </c>
      <c r="M69" s="6">
        <v>0.7853</v>
      </c>
    </row>
    <row r="70">
      <c r="A70" s="5" t="s">
        <v>2074</v>
      </c>
      <c r="B70" s="5" t="s">
        <v>1857</v>
      </c>
      <c r="C70" s="5" t="s">
        <v>60</v>
      </c>
      <c r="D70" s="6">
        <v>5.0</v>
      </c>
      <c r="E70" s="6">
        <v>4.0</v>
      </c>
      <c r="F70" s="6">
        <v>5.0</v>
      </c>
      <c r="G70" s="6">
        <v>1.0</v>
      </c>
      <c r="H70" s="6">
        <v>748.0</v>
      </c>
      <c r="I70" s="6">
        <v>0.9883</v>
      </c>
      <c r="J70" s="6">
        <v>1.0</v>
      </c>
      <c r="K70" s="6">
        <v>1.0</v>
      </c>
      <c r="L70" s="6">
        <v>1.0</v>
      </c>
      <c r="M70" s="6">
        <v>0.9885</v>
      </c>
    </row>
    <row r="71">
      <c r="A71" s="5" t="s">
        <v>2074</v>
      </c>
      <c r="B71" s="5" t="s">
        <v>1857</v>
      </c>
      <c r="C71" s="5" t="s">
        <v>60</v>
      </c>
      <c r="D71" s="6">
        <v>5.0</v>
      </c>
      <c r="E71" s="6">
        <v>5.0</v>
      </c>
      <c r="F71" s="6">
        <v>5.0</v>
      </c>
      <c r="G71" s="6">
        <v>1.0</v>
      </c>
      <c r="H71" s="6">
        <v>748.0</v>
      </c>
      <c r="I71" s="6">
        <v>1.0</v>
      </c>
      <c r="J71" s="6">
        <v>1.0</v>
      </c>
      <c r="K71" s="6">
        <v>1.0</v>
      </c>
      <c r="L71" s="6">
        <v>1.0</v>
      </c>
      <c r="M71" s="6">
        <v>1.0</v>
      </c>
    </row>
    <row r="72">
      <c r="A72" s="5" t="s">
        <v>70</v>
      </c>
      <c r="B72" s="5" t="s">
        <v>163</v>
      </c>
      <c r="C72" s="5" t="s">
        <v>56</v>
      </c>
      <c r="D72" s="6">
        <v>1.0</v>
      </c>
      <c r="E72" s="6">
        <v>1.0</v>
      </c>
      <c r="F72" s="6">
        <v>2.0</v>
      </c>
      <c r="G72" s="6">
        <v>1.0</v>
      </c>
      <c r="H72" s="6">
        <v>32093.0</v>
      </c>
      <c r="I72" s="6">
        <v>0.9235</v>
      </c>
      <c r="J72" s="6">
        <v>1.0</v>
      </c>
      <c r="K72" s="6">
        <v>1.0</v>
      </c>
      <c r="L72" s="6">
        <v>1.0</v>
      </c>
      <c r="M72" s="6">
        <v>0.9234</v>
      </c>
    </row>
    <row r="73">
      <c r="A73" s="5" t="s">
        <v>70</v>
      </c>
      <c r="B73" s="5" t="s">
        <v>163</v>
      </c>
      <c r="C73" s="5" t="s">
        <v>56</v>
      </c>
      <c r="D73" s="6">
        <v>1.0</v>
      </c>
      <c r="E73" s="6">
        <v>2.0</v>
      </c>
      <c r="F73" s="6">
        <v>2.0</v>
      </c>
      <c r="G73" s="6">
        <v>1.0</v>
      </c>
      <c r="H73" s="6">
        <v>32093.0</v>
      </c>
      <c r="I73" s="6">
        <v>1.0</v>
      </c>
      <c r="J73" s="6">
        <v>1.0</v>
      </c>
      <c r="K73" s="6">
        <v>1.0</v>
      </c>
      <c r="L73" s="6">
        <v>1.0</v>
      </c>
      <c r="M73" s="6">
        <v>1.0</v>
      </c>
    </row>
    <row r="74">
      <c r="A74" s="5" t="s">
        <v>70</v>
      </c>
      <c r="B74" s="5" t="s">
        <v>1857</v>
      </c>
      <c r="C74" s="5" t="s">
        <v>56</v>
      </c>
      <c r="D74" s="6">
        <v>1.0</v>
      </c>
      <c r="E74" s="6">
        <v>1.0</v>
      </c>
      <c r="F74" s="6">
        <v>2.0</v>
      </c>
      <c r="G74" s="6">
        <v>1.0</v>
      </c>
      <c r="H74" s="6">
        <v>25618.0</v>
      </c>
      <c r="I74" s="6">
        <v>0.9203</v>
      </c>
      <c r="J74" s="6">
        <v>1.0</v>
      </c>
      <c r="K74" s="6">
        <v>1.0</v>
      </c>
      <c r="L74" s="6">
        <v>1.0</v>
      </c>
      <c r="M74" s="6">
        <v>0.9203</v>
      </c>
    </row>
    <row r="75">
      <c r="A75" s="5" t="s">
        <v>70</v>
      </c>
      <c r="B75" s="5" t="s">
        <v>1857</v>
      </c>
      <c r="C75" s="5" t="s">
        <v>56</v>
      </c>
      <c r="D75" s="6">
        <v>1.0</v>
      </c>
      <c r="E75" s="6">
        <v>2.0</v>
      </c>
      <c r="F75" s="6">
        <v>2.0</v>
      </c>
      <c r="G75" s="6">
        <v>1.0</v>
      </c>
      <c r="H75" s="6">
        <v>25618.0</v>
      </c>
      <c r="I75" s="6">
        <v>1.0</v>
      </c>
      <c r="J75" s="6">
        <v>1.0</v>
      </c>
      <c r="K75" s="6">
        <v>1.0</v>
      </c>
      <c r="L75" s="6">
        <v>1.0</v>
      </c>
      <c r="M75" s="6">
        <v>1.0</v>
      </c>
    </row>
    <row r="76">
      <c r="A76" s="5" t="s">
        <v>70</v>
      </c>
      <c r="B76" s="5" t="s">
        <v>163</v>
      </c>
      <c r="C76" s="5" t="s">
        <v>57</v>
      </c>
      <c r="D76" s="6">
        <v>2.0</v>
      </c>
      <c r="E76" s="6">
        <v>1.0</v>
      </c>
      <c r="F76" s="6">
        <v>2.0</v>
      </c>
      <c r="G76" s="6">
        <v>1.0</v>
      </c>
      <c r="H76" s="6">
        <v>26789.0</v>
      </c>
      <c r="I76" s="6">
        <v>0.928</v>
      </c>
      <c r="J76" s="6">
        <v>1.0</v>
      </c>
      <c r="K76" s="6">
        <v>1.0</v>
      </c>
      <c r="L76" s="6">
        <v>1.0</v>
      </c>
      <c r="M76" s="6">
        <v>0.9277</v>
      </c>
    </row>
    <row r="77">
      <c r="A77" s="5" t="s">
        <v>70</v>
      </c>
      <c r="B77" s="5" t="s">
        <v>163</v>
      </c>
      <c r="C77" s="5" t="s">
        <v>57</v>
      </c>
      <c r="D77" s="6">
        <v>2.0</v>
      </c>
      <c r="E77" s="6">
        <v>2.0</v>
      </c>
      <c r="F77" s="6">
        <v>2.0</v>
      </c>
      <c r="G77" s="6">
        <v>1.0</v>
      </c>
      <c r="H77" s="6">
        <v>26789.0</v>
      </c>
      <c r="I77" s="6">
        <v>1.0</v>
      </c>
      <c r="J77" s="6">
        <v>1.0</v>
      </c>
      <c r="K77" s="6">
        <v>1.0</v>
      </c>
      <c r="L77" s="6">
        <v>1.0</v>
      </c>
      <c r="M77" s="6">
        <v>1.0</v>
      </c>
    </row>
    <row r="78">
      <c r="A78" s="5" t="s">
        <v>70</v>
      </c>
      <c r="B78" s="5" t="s">
        <v>1857</v>
      </c>
      <c r="C78" s="5" t="s">
        <v>57</v>
      </c>
      <c r="D78" s="6">
        <v>2.0</v>
      </c>
      <c r="E78" s="6">
        <v>1.0</v>
      </c>
      <c r="F78" s="6">
        <v>2.0</v>
      </c>
      <c r="G78" s="6">
        <v>1.0</v>
      </c>
      <c r="H78" s="6">
        <v>15397.0</v>
      </c>
      <c r="I78" s="6">
        <v>0.9184</v>
      </c>
      <c r="J78" s="6">
        <v>1.0</v>
      </c>
      <c r="K78" s="6">
        <v>1.0</v>
      </c>
      <c r="L78" s="6">
        <v>1.0</v>
      </c>
      <c r="M78" s="6">
        <v>0.9185</v>
      </c>
    </row>
    <row r="79">
      <c r="A79" s="5" t="s">
        <v>70</v>
      </c>
      <c r="B79" s="5" t="s">
        <v>1857</v>
      </c>
      <c r="C79" s="5" t="s">
        <v>57</v>
      </c>
      <c r="D79" s="6">
        <v>2.0</v>
      </c>
      <c r="E79" s="6">
        <v>2.0</v>
      </c>
      <c r="F79" s="6">
        <v>2.0</v>
      </c>
      <c r="G79" s="6">
        <v>1.0</v>
      </c>
      <c r="H79" s="6">
        <v>15397.0</v>
      </c>
      <c r="I79" s="6">
        <v>1.0</v>
      </c>
      <c r="J79" s="6">
        <v>1.0</v>
      </c>
      <c r="K79" s="6">
        <v>1.0</v>
      </c>
      <c r="L79" s="6">
        <v>1.0</v>
      </c>
      <c r="M79" s="6">
        <v>1.0</v>
      </c>
    </row>
    <row r="80">
      <c r="A80" s="5" t="s">
        <v>70</v>
      </c>
      <c r="B80" s="5" t="s">
        <v>163</v>
      </c>
      <c r="C80" s="5" t="s">
        <v>58</v>
      </c>
      <c r="D80" s="6">
        <v>3.0</v>
      </c>
      <c r="E80" s="6">
        <v>1.0</v>
      </c>
      <c r="F80" s="6">
        <v>2.0</v>
      </c>
      <c r="G80" s="6">
        <v>1.0</v>
      </c>
      <c r="H80" s="6">
        <v>15666.0</v>
      </c>
      <c r="I80" s="6">
        <v>0.9319</v>
      </c>
      <c r="J80" s="6">
        <v>1.0</v>
      </c>
      <c r="K80" s="6">
        <v>0.995</v>
      </c>
      <c r="L80" s="6">
        <v>1.0</v>
      </c>
      <c r="M80" s="6">
        <v>0.9321</v>
      </c>
    </row>
    <row r="81">
      <c r="A81" s="5" t="s">
        <v>70</v>
      </c>
      <c r="B81" s="5" t="s">
        <v>163</v>
      </c>
      <c r="C81" s="5" t="s">
        <v>58</v>
      </c>
      <c r="D81" s="6">
        <v>3.0</v>
      </c>
      <c r="E81" s="6">
        <v>2.0</v>
      </c>
      <c r="F81" s="6">
        <v>2.0</v>
      </c>
      <c r="G81" s="6">
        <v>1.0</v>
      </c>
      <c r="H81" s="6">
        <v>15666.0</v>
      </c>
      <c r="I81" s="6">
        <v>1.0</v>
      </c>
      <c r="J81" s="6">
        <v>1.0</v>
      </c>
      <c r="K81" s="6">
        <v>1.0</v>
      </c>
      <c r="L81" s="6">
        <v>1.0</v>
      </c>
      <c r="M81" s="6">
        <v>1.0</v>
      </c>
    </row>
    <row r="82">
      <c r="A82" s="5" t="s">
        <v>70</v>
      </c>
      <c r="B82" s="5" t="s">
        <v>1857</v>
      </c>
      <c r="C82" s="5" t="s">
        <v>58</v>
      </c>
      <c r="D82" s="6">
        <v>3.0</v>
      </c>
      <c r="E82" s="6">
        <v>1.0</v>
      </c>
      <c r="F82" s="6">
        <v>2.0</v>
      </c>
      <c r="G82" s="6">
        <v>1.0</v>
      </c>
      <c r="H82" s="6">
        <v>8133.0</v>
      </c>
      <c r="I82" s="6">
        <v>0.9184</v>
      </c>
      <c r="J82" s="6">
        <v>1.0</v>
      </c>
      <c r="K82" s="6">
        <v>0.9922</v>
      </c>
      <c r="L82" s="6">
        <v>1.0</v>
      </c>
      <c r="M82" s="6">
        <v>0.9181</v>
      </c>
    </row>
    <row r="83">
      <c r="A83" s="5" t="s">
        <v>70</v>
      </c>
      <c r="B83" s="5" t="s">
        <v>1857</v>
      </c>
      <c r="C83" s="5" t="s">
        <v>58</v>
      </c>
      <c r="D83" s="6">
        <v>3.0</v>
      </c>
      <c r="E83" s="6">
        <v>2.0</v>
      </c>
      <c r="F83" s="6">
        <v>2.0</v>
      </c>
      <c r="G83" s="6">
        <v>1.0</v>
      </c>
      <c r="H83" s="6">
        <v>8133.0</v>
      </c>
      <c r="I83" s="6">
        <v>1.0</v>
      </c>
      <c r="J83" s="6">
        <v>1.0</v>
      </c>
      <c r="K83" s="6">
        <v>1.0</v>
      </c>
      <c r="L83" s="6">
        <v>1.0</v>
      </c>
      <c r="M83" s="6">
        <v>1.0</v>
      </c>
    </row>
    <row r="84">
      <c r="A84" s="5" t="s">
        <v>70</v>
      </c>
      <c r="B84" s="5" t="s">
        <v>163</v>
      </c>
      <c r="C84" s="5" t="s">
        <v>59</v>
      </c>
      <c r="D84" s="6">
        <v>4.0</v>
      </c>
      <c r="E84" s="6">
        <v>1.0</v>
      </c>
      <c r="F84" s="6">
        <v>2.0</v>
      </c>
      <c r="G84" s="6">
        <v>1.0</v>
      </c>
      <c r="H84" s="6">
        <v>7967.0</v>
      </c>
      <c r="I84" s="6">
        <v>0.9353</v>
      </c>
      <c r="J84" s="6">
        <v>1.0</v>
      </c>
      <c r="K84" s="6">
        <v>0.9812</v>
      </c>
      <c r="L84" s="6">
        <v>1.0</v>
      </c>
      <c r="M84" s="6">
        <v>0.9352</v>
      </c>
    </row>
    <row r="85">
      <c r="A85" s="5" t="s">
        <v>70</v>
      </c>
      <c r="B85" s="5" t="s">
        <v>163</v>
      </c>
      <c r="C85" s="5" t="s">
        <v>59</v>
      </c>
      <c r="D85" s="6">
        <v>4.0</v>
      </c>
      <c r="E85" s="6">
        <v>2.0</v>
      </c>
      <c r="F85" s="6">
        <v>2.0</v>
      </c>
      <c r="G85" s="6">
        <v>1.0</v>
      </c>
      <c r="H85" s="6">
        <v>7967.0</v>
      </c>
      <c r="I85" s="6">
        <v>1.0</v>
      </c>
      <c r="J85" s="6">
        <v>1.0</v>
      </c>
      <c r="K85" s="6">
        <v>1.0</v>
      </c>
      <c r="L85" s="6">
        <v>1.0</v>
      </c>
      <c r="M85" s="6">
        <v>1.0</v>
      </c>
    </row>
    <row r="86">
      <c r="A86" s="5" t="s">
        <v>70</v>
      </c>
      <c r="B86" s="5" t="s">
        <v>1857</v>
      </c>
      <c r="C86" s="5" t="s">
        <v>59</v>
      </c>
      <c r="D86" s="6">
        <v>4.0</v>
      </c>
      <c r="E86" s="6">
        <v>1.0</v>
      </c>
      <c r="F86" s="6">
        <v>2.0</v>
      </c>
      <c r="G86" s="6">
        <v>1.0</v>
      </c>
      <c r="H86" s="6">
        <v>3712.0</v>
      </c>
      <c r="I86" s="6">
        <v>0.9131</v>
      </c>
      <c r="J86" s="6">
        <v>1.0</v>
      </c>
      <c r="K86" s="6">
        <v>0.9696</v>
      </c>
      <c r="L86" s="6">
        <v>1.0</v>
      </c>
      <c r="M86" s="6">
        <v>0.9127</v>
      </c>
    </row>
    <row r="87">
      <c r="A87" s="5" t="s">
        <v>70</v>
      </c>
      <c r="B87" s="5" t="s">
        <v>1857</v>
      </c>
      <c r="C87" s="5" t="s">
        <v>59</v>
      </c>
      <c r="D87" s="6">
        <v>4.0</v>
      </c>
      <c r="E87" s="6">
        <v>2.0</v>
      </c>
      <c r="F87" s="6">
        <v>2.0</v>
      </c>
      <c r="G87" s="6">
        <v>1.0</v>
      </c>
      <c r="H87" s="6">
        <v>3712.0</v>
      </c>
      <c r="I87" s="6">
        <v>1.0</v>
      </c>
      <c r="J87" s="6">
        <v>1.0</v>
      </c>
      <c r="K87" s="6">
        <v>1.0</v>
      </c>
      <c r="L87" s="6">
        <v>1.0</v>
      </c>
      <c r="M87" s="6">
        <v>1.0</v>
      </c>
    </row>
    <row r="88">
      <c r="A88" s="5" t="s">
        <v>70</v>
      </c>
      <c r="B88" s="5" t="s">
        <v>163</v>
      </c>
      <c r="C88" s="5" t="s">
        <v>60</v>
      </c>
      <c r="D88" s="6">
        <v>5.0</v>
      </c>
      <c r="E88" s="6">
        <v>1.0</v>
      </c>
      <c r="F88" s="6">
        <v>2.0</v>
      </c>
      <c r="G88" s="6">
        <v>1.0</v>
      </c>
      <c r="H88" s="6">
        <v>1156.0</v>
      </c>
      <c r="I88" s="6">
        <v>0.9331</v>
      </c>
      <c r="J88" s="6">
        <v>1.0</v>
      </c>
      <c r="K88" s="6">
        <v>0.9411</v>
      </c>
      <c r="L88" s="6">
        <v>1.0</v>
      </c>
      <c r="M88" s="6">
        <v>0.9338</v>
      </c>
    </row>
    <row r="89">
      <c r="A89" s="5" t="s">
        <v>70</v>
      </c>
      <c r="B89" s="5" t="s">
        <v>163</v>
      </c>
      <c r="C89" s="5" t="s">
        <v>60</v>
      </c>
      <c r="D89" s="6">
        <v>5.0</v>
      </c>
      <c r="E89" s="6">
        <v>2.0</v>
      </c>
      <c r="F89" s="6">
        <v>2.0</v>
      </c>
      <c r="G89" s="6">
        <v>1.0</v>
      </c>
      <c r="H89" s="6">
        <v>1156.0</v>
      </c>
      <c r="I89" s="6">
        <v>1.0</v>
      </c>
      <c r="J89" s="6">
        <v>1.0</v>
      </c>
      <c r="K89" s="6">
        <v>1.0</v>
      </c>
      <c r="L89" s="6">
        <v>1.0</v>
      </c>
      <c r="M89" s="6">
        <v>1.0</v>
      </c>
    </row>
    <row r="90">
      <c r="A90" s="5" t="s">
        <v>70</v>
      </c>
      <c r="B90" s="5" t="s">
        <v>1857</v>
      </c>
      <c r="C90" s="5" t="s">
        <v>60</v>
      </c>
      <c r="D90" s="6">
        <v>5.0</v>
      </c>
      <c r="E90" s="6">
        <v>1.0</v>
      </c>
      <c r="F90" s="6">
        <v>2.0</v>
      </c>
      <c r="G90" s="6">
        <v>1.0</v>
      </c>
      <c r="H90" s="6">
        <v>537.0</v>
      </c>
      <c r="I90" s="6">
        <v>0.9124</v>
      </c>
      <c r="J90" s="6">
        <v>1.0</v>
      </c>
      <c r="K90" s="6">
        <v>0.9169</v>
      </c>
      <c r="L90" s="6">
        <v>1.0</v>
      </c>
      <c r="M90" s="6">
        <v>0.9128</v>
      </c>
    </row>
    <row r="91">
      <c r="A91" s="5" t="s">
        <v>70</v>
      </c>
      <c r="B91" s="5" t="s">
        <v>1857</v>
      </c>
      <c r="C91" s="5" t="s">
        <v>60</v>
      </c>
      <c r="D91" s="6">
        <v>5.0</v>
      </c>
      <c r="E91" s="6">
        <v>2.0</v>
      </c>
      <c r="F91" s="6">
        <v>2.0</v>
      </c>
      <c r="G91" s="6">
        <v>1.0</v>
      </c>
      <c r="H91" s="6">
        <v>537.0</v>
      </c>
      <c r="I91" s="6">
        <v>1.0</v>
      </c>
      <c r="J91" s="6">
        <v>1.0</v>
      </c>
      <c r="K91" s="6">
        <v>1.0</v>
      </c>
      <c r="L91" s="6">
        <v>1.0</v>
      </c>
      <c r="M91" s="6">
        <v>1.0</v>
      </c>
    </row>
    <row r="92">
      <c r="A92" s="5" t="s">
        <v>2075</v>
      </c>
      <c r="B92" s="5" t="s">
        <v>163</v>
      </c>
      <c r="C92" s="5" t="s">
        <v>56</v>
      </c>
      <c r="D92" s="6">
        <v>1.0</v>
      </c>
      <c r="E92" s="6">
        <v>1.0</v>
      </c>
      <c r="F92" s="6">
        <v>2.0</v>
      </c>
      <c r="G92" s="6">
        <v>165.0</v>
      </c>
      <c r="H92" s="6">
        <v>80632.0</v>
      </c>
      <c r="I92" s="6">
        <v>0.9442</v>
      </c>
      <c r="J92" s="6">
        <v>1.0</v>
      </c>
      <c r="K92" s="6">
        <v>1.0</v>
      </c>
      <c r="L92" s="6">
        <v>1.0</v>
      </c>
      <c r="M92" s="6">
        <v>0.9466</v>
      </c>
    </row>
    <row r="93">
      <c r="A93" s="5" t="s">
        <v>2075</v>
      </c>
      <c r="B93" s="5" t="s">
        <v>163</v>
      </c>
      <c r="C93" s="5" t="s">
        <v>56</v>
      </c>
      <c r="D93" s="6">
        <v>1.0</v>
      </c>
      <c r="E93" s="6">
        <v>2.0</v>
      </c>
      <c r="F93" s="6">
        <v>2.0</v>
      </c>
      <c r="G93" s="6">
        <v>165.0</v>
      </c>
      <c r="H93" s="6">
        <v>80632.0</v>
      </c>
      <c r="I93" s="6">
        <v>1.0</v>
      </c>
      <c r="J93" s="6">
        <v>1.0</v>
      </c>
      <c r="K93" s="6">
        <v>1.0</v>
      </c>
      <c r="L93" s="6">
        <v>1.0</v>
      </c>
      <c r="M93" s="6">
        <v>1.0</v>
      </c>
    </row>
    <row r="94">
      <c r="A94" s="5" t="s">
        <v>2075</v>
      </c>
      <c r="B94" s="5" t="s">
        <v>1857</v>
      </c>
      <c r="C94" s="5" t="s">
        <v>56</v>
      </c>
      <c r="D94" s="6">
        <v>1.0</v>
      </c>
      <c r="E94" s="6">
        <v>1.0</v>
      </c>
      <c r="F94" s="6">
        <v>2.0</v>
      </c>
      <c r="G94" s="6">
        <v>165.0</v>
      </c>
      <c r="H94" s="6">
        <v>53127.0</v>
      </c>
      <c r="I94" s="6">
        <v>0.9453</v>
      </c>
      <c r="J94" s="6">
        <v>1.0</v>
      </c>
      <c r="K94" s="6">
        <v>1.0</v>
      </c>
      <c r="L94" s="6">
        <v>1.0</v>
      </c>
      <c r="M94" s="6">
        <v>0.947</v>
      </c>
    </row>
    <row r="95">
      <c r="A95" s="5" t="s">
        <v>2075</v>
      </c>
      <c r="B95" s="5" t="s">
        <v>1857</v>
      </c>
      <c r="C95" s="5" t="s">
        <v>56</v>
      </c>
      <c r="D95" s="6">
        <v>1.0</v>
      </c>
      <c r="E95" s="6">
        <v>2.0</v>
      </c>
      <c r="F95" s="6">
        <v>2.0</v>
      </c>
      <c r="G95" s="6">
        <v>165.0</v>
      </c>
      <c r="H95" s="6">
        <v>53127.0</v>
      </c>
      <c r="I95" s="6">
        <v>1.0</v>
      </c>
      <c r="J95" s="6">
        <v>1.0</v>
      </c>
      <c r="K95" s="6">
        <v>1.0</v>
      </c>
      <c r="L95" s="6">
        <v>1.0</v>
      </c>
      <c r="M95" s="6">
        <v>1.0</v>
      </c>
    </row>
    <row r="96">
      <c r="A96" s="5" t="s">
        <v>2075</v>
      </c>
      <c r="B96" s="5" t="s">
        <v>163</v>
      </c>
      <c r="C96" s="5" t="s">
        <v>57</v>
      </c>
      <c r="D96" s="6">
        <v>2.0</v>
      </c>
      <c r="E96" s="6">
        <v>1.0</v>
      </c>
      <c r="F96" s="6">
        <v>2.0</v>
      </c>
      <c r="G96" s="6">
        <v>165.0</v>
      </c>
      <c r="H96" s="6">
        <v>69733.0</v>
      </c>
      <c r="I96" s="6">
        <v>0.9487</v>
      </c>
      <c r="J96" s="6">
        <v>1.0</v>
      </c>
      <c r="K96" s="6">
        <v>1.0</v>
      </c>
      <c r="L96" s="6">
        <v>1.0</v>
      </c>
      <c r="M96" s="6">
        <v>0.9524</v>
      </c>
    </row>
    <row r="97">
      <c r="A97" s="5" t="s">
        <v>2075</v>
      </c>
      <c r="B97" s="5" t="s">
        <v>163</v>
      </c>
      <c r="C97" s="5" t="s">
        <v>57</v>
      </c>
      <c r="D97" s="6">
        <v>2.0</v>
      </c>
      <c r="E97" s="6">
        <v>2.0</v>
      </c>
      <c r="F97" s="6">
        <v>2.0</v>
      </c>
      <c r="G97" s="6">
        <v>165.0</v>
      </c>
      <c r="H97" s="6">
        <v>69733.0</v>
      </c>
      <c r="I97" s="6">
        <v>1.0</v>
      </c>
      <c r="J97" s="6">
        <v>1.0</v>
      </c>
      <c r="K97" s="6">
        <v>1.0</v>
      </c>
      <c r="L97" s="6">
        <v>1.0</v>
      </c>
      <c r="M97" s="6">
        <v>1.0</v>
      </c>
    </row>
    <row r="98">
      <c r="A98" s="5" t="s">
        <v>2075</v>
      </c>
      <c r="B98" s="5" t="s">
        <v>1857</v>
      </c>
      <c r="C98" s="5" t="s">
        <v>57</v>
      </c>
      <c r="D98" s="6">
        <v>2.0</v>
      </c>
      <c r="E98" s="6">
        <v>1.0</v>
      </c>
      <c r="F98" s="6">
        <v>2.0</v>
      </c>
      <c r="G98" s="6">
        <v>165.0</v>
      </c>
      <c r="H98" s="6">
        <v>42594.0</v>
      </c>
      <c r="I98" s="6">
        <v>0.9457</v>
      </c>
      <c r="J98" s="6">
        <v>1.0</v>
      </c>
      <c r="K98" s="6">
        <v>1.0</v>
      </c>
      <c r="L98" s="6">
        <v>1.0</v>
      </c>
      <c r="M98" s="6">
        <v>0.9488</v>
      </c>
    </row>
    <row r="99">
      <c r="A99" s="5" t="s">
        <v>2075</v>
      </c>
      <c r="B99" s="5" t="s">
        <v>1857</v>
      </c>
      <c r="C99" s="5" t="s">
        <v>57</v>
      </c>
      <c r="D99" s="6">
        <v>2.0</v>
      </c>
      <c r="E99" s="6">
        <v>2.0</v>
      </c>
      <c r="F99" s="6">
        <v>2.0</v>
      </c>
      <c r="G99" s="6">
        <v>165.0</v>
      </c>
      <c r="H99" s="6">
        <v>42594.0</v>
      </c>
      <c r="I99" s="6">
        <v>1.0</v>
      </c>
      <c r="J99" s="6">
        <v>1.0</v>
      </c>
      <c r="K99" s="6">
        <v>1.0</v>
      </c>
      <c r="L99" s="6">
        <v>1.0</v>
      </c>
      <c r="M99" s="6">
        <v>1.0</v>
      </c>
    </row>
    <row r="100">
      <c r="A100" s="5" t="s">
        <v>2075</v>
      </c>
      <c r="B100" s="5" t="s">
        <v>163</v>
      </c>
      <c r="C100" s="5" t="s">
        <v>58</v>
      </c>
      <c r="D100" s="6">
        <v>3.0</v>
      </c>
      <c r="E100" s="6">
        <v>1.0</v>
      </c>
      <c r="F100" s="6">
        <v>2.0</v>
      </c>
      <c r="G100" s="6">
        <v>165.0</v>
      </c>
      <c r="H100" s="6">
        <v>46703.0</v>
      </c>
      <c r="I100" s="6">
        <v>0.9508</v>
      </c>
      <c r="J100" s="6">
        <v>1.0</v>
      </c>
      <c r="K100" s="6">
        <v>1.0</v>
      </c>
      <c r="L100" s="6">
        <v>1.0</v>
      </c>
      <c r="M100" s="6">
        <v>0.9554</v>
      </c>
    </row>
    <row r="101">
      <c r="A101" s="5" t="s">
        <v>2075</v>
      </c>
      <c r="B101" s="5" t="s">
        <v>163</v>
      </c>
      <c r="C101" s="5" t="s">
        <v>58</v>
      </c>
      <c r="D101" s="6">
        <v>3.0</v>
      </c>
      <c r="E101" s="6">
        <v>2.0</v>
      </c>
      <c r="F101" s="6">
        <v>2.0</v>
      </c>
      <c r="G101" s="6">
        <v>165.0</v>
      </c>
      <c r="H101" s="6">
        <v>46703.0</v>
      </c>
      <c r="I101" s="6">
        <v>1.0</v>
      </c>
      <c r="J101" s="6">
        <v>1.0</v>
      </c>
      <c r="K101" s="6">
        <v>1.0</v>
      </c>
      <c r="L101" s="6">
        <v>1.0</v>
      </c>
      <c r="M101" s="6">
        <v>1.0</v>
      </c>
    </row>
    <row r="102">
      <c r="A102" s="5" t="s">
        <v>2075</v>
      </c>
      <c r="B102" s="5" t="s">
        <v>1857</v>
      </c>
      <c r="C102" s="5" t="s">
        <v>58</v>
      </c>
      <c r="D102" s="6">
        <v>3.0</v>
      </c>
      <c r="E102" s="6">
        <v>1.0</v>
      </c>
      <c r="F102" s="6">
        <v>2.0</v>
      </c>
      <c r="G102" s="6">
        <v>165.0</v>
      </c>
      <c r="H102" s="6">
        <v>27389.0</v>
      </c>
      <c r="I102" s="6">
        <v>0.9466</v>
      </c>
      <c r="J102" s="6">
        <v>1.0</v>
      </c>
      <c r="K102" s="6">
        <v>1.0</v>
      </c>
      <c r="L102" s="6">
        <v>1.0</v>
      </c>
      <c r="M102" s="6">
        <v>0.9506</v>
      </c>
    </row>
    <row r="103">
      <c r="A103" s="5" t="s">
        <v>2075</v>
      </c>
      <c r="B103" s="5" t="s">
        <v>1857</v>
      </c>
      <c r="C103" s="5" t="s">
        <v>58</v>
      </c>
      <c r="D103" s="6">
        <v>3.0</v>
      </c>
      <c r="E103" s="6">
        <v>2.0</v>
      </c>
      <c r="F103" s="6">
        <v>2.0</v>
      </c>
      <c r="G103" s="6">
        <v>165.0</v>
      </c>
      <c r="H103" s="6">
        <v>27389.0</v>
      </c>
      <c r="I103" s="6">
        <v>1.0</v>
      </c>
      <c r="J103" s="6">
        <v>1.0</v>
      </c>
      <c r="K103" s="6">
        <v>1.0</v>
      </c>
      <c r="L103" s="6">
        <v>1.0</v>
      </c>
      <c r="M103" s="6">
        <v>1.0</v>
      </c>
    </row>
    <row r="104">
      <c r="A104" s="5" t="s">
        <v>2075</v>
      </c>
      <c r="B104" s="5" t="s">
        <v>163</v>
      </c>
      <c r="C104" s="5" t="s">
        <v>59</v>
      </c>
      <c r="D104" s="6">
        <v>4.0</v>
      </c>
      <c r="E104" s="6">
        <v>1.0</v>
      </c>
      <c r="F104" s="6">
        <v>2.0</v>
      </c>
      <c r="G104" s="6">
        <v>165.0</v>
      </c>
      <c r="H104" s="6">
        <v>21903.0</v>
      </c>
      <c r="I104" s="6">
        <v>0.9587</v>
      </c>
      <c r="J104" s="6">
        <v>1.0</v>
      </c>
      <c r="K104" s="6">
        <v>1.0</v>
      </c>
      <c r="L104" s="6">
        <v>1.0</v>
      </c>
      <c r="M104" s="6">
        <v>0.9633</v>
      </c>
    </row>
    <row r="105">
      <c r="A105" s="5" t="s">
        <v>2075</v>
      </c>
      <c r="B105" s="5" t="s">
        <v>163</v>
      </c>
      <c r="C105" s="5" t="s">
        <v>59</v>
      </c>
      <c r="D105" s="6">
        <v>4.0</v>
      </c>
      <c r="E105" s="6">
        <v>2.0</v>
      </c>
      <c r="F105" s="6">
        <v>2.0</v>
      </c>
      <c r="G105" s="6">
        <v>165.0</v>
      </c>
      <c r="H105" s="6">
        <v>21903.0</v>
      </c>
      <c r="I105" s="6">
        <v>1.0</v>
      </c>
      <c r="J105" s="6">
        <v>1.0</v>
      </c>
      <c r="K105" s="6">
        <v>1.0</v>
      </c>
      <c r="L105" s="6">
        <v>1.0</v>
      </c>
      <c r="M105" s="6">
        <v>1.0</v>
      </c>
    </row>
    <row r="106">
      <c r="A106" s="5" t="s">
        <v>2075</v>
      </c>
      <c r="B106" s="5" t="s">
        <v>1857</v>
      </c>
      <c r="C106" s="5" t="s">
        <v>59</v>
      </c>
      <c r="D106" s="6">
        <v>4.0</v>
      </c>
      <c r="E106" s="6">
        <v>1.0</v>
      </c>
      <c r="F106" s="6">
        <v>2.0</v>
      </c>
      <c r="G106" s="6">
        <v>165.0</v>
      </c>
      <c r="H106" s="6">
        <v>12496.0</v>
      </c>
      <c r="I106" s="6">
        <v>0.9515</v>
      </c>
      <c r="J106" s="6">
        <v>1.0</v>
      </c>
      <c r="K106" s="6">
        <v>1.0</v>
      </c>
      <c r="L106" s="6">
        <v>1.0</v>
      </c>
      <c r="M106" s="6">
        <v>0.9562</v>
      </c>
    </row>
    <row r="107">
      <c r="A107" s="5" t="s">
        <v>2075</v>
      </c>
      <c r="B107" s="5" t="s">
        <v>1857</v>
      </c>
      <c r="C107" s="5" t="s">
        <v>59</v>
      </c>
      <c r="D107" s="6">
        <v>4.0</v>
      </c>
      <c r="E107" s="6">
        <v>2.0</v>
      </c>
      <c r="F107" s="6">
        <v>2.0</v>
      </c>
      <c r="G107" s="6">
        <v>165.0</v>
      </c>
      <c r="H107" s="6">
        <v>12496.0</v>
      </c>
      <c r="I107" s="6">
        <v>1.0</v>
      </c>
      <c r="J107" s="6">
        <v>1.0</v>
      </c>
      <c r="K107" s="6">
        <v>1.0</v>
      </c>
      <c r="L107" s="6">
        <v>1.0</v>
      </c>
      <c r="M107" s="6">
        <v>1.0</v>
      </c>
    </row>
    <row r="108">
      <c r="A108" s="5" t="s">
        <v>2075</v>
      </c>
      <c r="B108" s="5" t="s">
        <v>163</v>
      </c>
      <c r="C108" s="5" t="s">
        <v>60</v>
      </c>
      <c r="D108" s="6">
        <v>5.0</v>
      </c>
      <c r="E108" s="6">
        <v>1.0</v>
      </c>
      <c r="F108" s="6">
        <v>2.0</v>
      </c>
      <c r="G108" s="6">
        <v>163.0</v>
      </c>
      <c r="H108" s="6">
        <v>4015.0</v>
      </c>
      <c r="I108" s="6">
        <v>0.9652</v>
      </c>
      <c r="J108" s="6">
        <v>1.0</v>
      </c>
      <c r="K108" s="6">
        <v>1.0</v>
      </c>
      <c r="L108" s="6">
        <v>1.0</v>
      </c>
      <c r="M108" s="6">
        <v>0.9692</v>
      </c>
    </row>
    <row r="109">
      <c r="A109" s="5" t="s">
        <v>2075</v>
      </c>
      <c r="B109" s="5" t="s">
        <v>163</v>
      </c>
      <c r="C109" s="5" t="s">
        <v>60</v>
      </c>
      <c r="D109" s="6">
        <v>5.0</v>
      </c>
      <c r="E109" s="6">
        <v>2.0</v>
      </c>
      <c r="F109" s="6">
        <v>2.0</v>
      </c>
      <c r="G109" s="6">
        <v>163.0</v>
      </c>
      <c r="H109" s="6">
        <v>4015.0</v>
      </c>
      <c r="I109" s="6">
        <v>1.0</v>
      </c>
      <c r="J109" s="6">
        <v>1.0</v>
      </c>
      <c r="K109" s="6">
        <v>1.0</v>
      </c>
      <c r="L109" s="6">
        <v>1.0</v>
      </c>
      <c r="M109" s="6">
        <v>1.0</v>
      </c>
    </row>
    <row r="110">
      <c r="A110" s="5" t="s">
        <v>2075</v>
      </c>
      <c r="B110" s="5" t="s">
        <v>1857</v>
      </c>
      <c r="C110" s="5" t="s">
        <v>60</v>
      </c>
      <c r="D110" s="6">
        <v>5.0</v>
      </c>
      <c r="E110" s="6">
        <v>1.0</v>
      </c>
      <c r="F110" s="6">
        <v>2.0</v>
      </c>
      <c r="G110" s="6">
        <v>165.0</v>
      </c>
      <c r="H110" s="6">
        <v>2103.0</v>
      </c>
      <c r="I110" s="6">
        <v>0.9581</v>
      </c>
      <c r="J110" s="6">
        <v>1.0</v>
      </c>
      <c r="K110" s="6">
        <v>1.0</v>
      </c>
      <c r="L110" s="6">
        <v>1.0</v>
      </c>
      <c r="M110" s="6">
        <v>0.9619</v>
      </c>
    </row>
    <row r="111">
      <c r="A111" s="5" t="s">
        <v>2075</v>
      </c>
      <c r="B111" s="5" t="s">
        <v>1857</v>
      </c>
      <c r="C111" s="5" t="s">
        <v>60</v>
      </c>
      <c r="D111" s="6">
        <v>5.0</v>
      </c>
      <c r="E111" s="6">
        <v>2.0</v>
      </c>
      <c r="F111" s="6">
        <v>2.0</v>
      </c>
      <c r="G111" s="6">
        <v>165.0</v>
      </c>
      <c r="H111" s="6">
        <v>2103.0</v>
      </c>
      <c r="I111" s="6">
        <v>1.0</v>
      </c>
      <c r="J111" s="6">
        <v>1.0</v>
      </c>
      <c r="K111" s="6">
        <v>1.0</v>
      </c>
      <c r="L111" s="6">
        <v>1.0</v>
      </c>
      <c r="M111" s="6">
        <v>1.0</v>
      </c>
    </row>
    <row r="112">
      <c r="A112" s="5" t="s">
        <v>46</v>
      </c>
      <c r="B112" s="5" t="s">
        <v>163</v>
      </c>
      <c r="C112" s="5" t="s">
        <v>56</v>
      </c>
      <c r="D112" s="6">
        <v>1.0</v>
      </c>
      <c r="E112" s="6">
        <v>1.0</v>
      </c>
      <c r="F112" s="6">
        <v>2.0</v>
      </c>
      <c r="G112" s="6">
        <v>14.0</v>
      </c>
      <c r="H112" s="6">
        <v>92059.0</v>
      </c>
      <c r="I112" s="6">
        <v>0.8147</v>
      </c>
      <c r="J112" s="6">
        <v>1.0</v>
      </c>
      <c r="K112" s="6">
        <v>0.8732</v>
      </c>
      <c r="L112" s="6">
        <v>1.0</v>
      </c>
      <c r="M112" s="6">
        <v>0.8147</v>
      </c>
    </row>
    <row r="113">
      <c r="A113" s="5" t="s">
        <v>46</v>
      </c>
      <c r="B113" s="5" t="s">
        <v>163</v>
      </c>
      <c r="C113" s="5" t="s">
        <v>56</v>
      </c>
      <c r="D113" s="6">
        <v>1.0</v>
      </c>
      <c r="E113" s="6">
        <v>2.0</v>
      </c>
      <c r="F113" s="6">
        <v>2.0</v>
      </c>
      <c r="G113" s="6">
        <v>14.0</v>
      </c>
      <c r="H113" s="6">
        <v>92059.0</v>
      </c>
      <c r="I113" s="6">
        <v>1.0</v>
      </c>
      <c r="J113" s="6">
        <v>1.0</v>
      </c>
      <c r="K113" s="6">
        <v>1.0</v>
      </c>
      <c r="L113" s="6">
        <v>1.0</v>
      </c>
      <c r="M113" s="6">
        <v>1.0</v>
      </c>
    </row>
    <row r="114">
      <c r="A114" s="5" t="s">
        <v>46</v>
      </c>
      <c r="B114" s="5" t="s">
        <v>1857</v>
      </c>
      <c r="C114" s="5" t="s">
        <v>56</v>
      </c>
      <c r="D114" s="6">
        <v>1.0</v>
      </c>
      <c r="E114" s="6">
        <v>1.0</v>
      </c>
      <c r="F114" s="6">
        <v>2.0</v>
      </c>
      <c r="G114" s="6">
        <v>14.0</v>
      </c>
      <c r="H114" s="6">
        <v>66996.0</v>
      </c>
      <c r="I114" s="6">
        <v>0.7966</v>
      </c>
      <c r="J114" s="6">
        <v>1.0</v>
      </c>
      <c r="K114" s="6">
        <v>0.7708</v>
      </c>
      <c r="L114" s="6">
        <v>1.0</v>
      </c>
      <c r="M114" s="6">
        <v>0.7966</v>
      </c>
    </row>
    <row r="115">
      <c r="A115" s="5" t="s">
        <v>46</v>
      </c>
      <c r="B115" s="5" t="s">
        <v>1857</v>
      </c>
      <c r="C115" s="5" t="s">
        <v>56</v>
      </c>
      <c r="D115" s="6">
        <v>1.0</v>
      </c>
      <c r="E115" s="6">
        <v>2.0</v>
      </c>
      <c r="F115" s="6">
        <v>2.0</v>
      </c>
      <c r="G115" s="6">
        <v>14.0</v>
      </c>
      <c r="H115" s="6">
        <v>66996.0</v>
      </c>
      <c r="I115" s="6">
        <v>1.0</v>
      </c>
      <c r="J115" s="6">
        <v>1.0</v>
      </c>
      <c r="K115" s="6">
        <v>1.0</v>
      </c>
      <c r="L115" s="6">
        <v>1.0</v>
      </c>
      <c r="M115" s="6">
        <v>1.0</v>
      </c>
    </row>
    <row r="116">
      <c r="A116" s="5" t="s">
        <v>46</v>
      </c>
      <c r="B116" s="5" t="s">
        <v>163</v>
      </c>
      <c r="C116" s="5" t="s">
        <v>57</v>
      </c>
      <c r="D116" s="6">
        <v>2.0</v>
      </c>
      <c r="E116" s="6">
        <v>1.0</v>
      </c>
      <c r="F116" s="6">
        <v>2.0</v>
      </c>
      <c r="G116" s="6">
        <v>14.0</v>
      </c>
      <c r="H116" s="6">
        <v>91394.0</v>
      </c>
      <c r="I116" s="6">
        <v>0.8343</v>
      </c>
      <c r="J116" s="6">
        <v>1.0</v>
      </c>
      <c r="K116" s="6">
        <v>0.9134</v>
      </c>
      <c r="L116" s="6">
        <v>1.0</v>
      </c>
      <c r="M116" s="6">
        <v>0.8343</v>
      </c>
    </row>
    <row r="117">
      <c r="A117" s="5" t="s">
        <v>46</v>
      </c>
      <c r="B117" s="5" t="s">
        <v>163</v>
      </c>
      <c r="C117" s="5" t="s">
        <v>57</v>
      </c>
      <c r="D117" s="6">
        <v>2.0</v>
      </c>
      <c r="E117" s="6">
        <v>2.0</v>
      </c>
      <c r="F117" s="6">
        <v>2.0</v>
      </c>
      <c r="G117" s="6">
        <v>14.0</v>
      </c>
      <c r="H117" s="6">
        <v>91394.0</v>
      </c>
      <c r="I117" s="6">
        <v>1.0</v>
      </c>
      <c r="J117" s="6">
        <v>1.0</v>
      </c>
      <c r="K117" s="6">
        <v>1.0</v>
      </c>
      <c r="L117" s="6">
        <v>1.0</v>
      </c>
      <c r="M117" s="6">
        <v>1.0</v>
      </c>
    </row>
    <row r="118">
      <c r="A118" s="5" t="s">
        <v>46</v>
      </c>
      <c r="B118" s="5" t="s">
        <v>1857</v>
      </c>
      <c r="C118" s="5" t="s">
        <v>57</v>
      </c>
      <c r="D118" s="6">
        <v>2.0</v>
      </c>
      <c r="E118" s="6">
        <v>1.0</v>
      </c>
      <c r="F118" s="6">
        <v>2.0</v>
      </c>
      <c r="G118" s="6">
        <v>14.0</v>
      </c>
      <c r="H118" s="6">
        <v>55675.0</v>
      </c>
      <c r="I118" s="6">
        <v>0.8139</v>
      </c>
      <c r="J118" s="6">
        <v>1.0</v>
      </c>
      <c r="K118" s="6">
        <v>0.8592</v>
      </c>
      <c r="L118" s="6">
        <v>1.0</v>
      </c>
      <c r="M118" s="6">
        <v>0.8139</v>
      </c>
    </row>
    <row r="119">
      <c r="A119" s="5" t="s">
        <v>46</v>
      </c>
      <c r="B119" s="5" t="s">
        <v>1857</v>
      </c>
      <c r="C119" s="5" t="s">
        <v>57</v>
      </c>
      <c r="D119" s="6">
        <v>2.0</v>
      </c>
      <c r="E119" s="6">
        <v>2.0</v>
      </c>
      <c r="F119" s="6">
        <v>2.0</v>
      </c>
      <c r="G119" s="6">
        <v>14.0</v>
      </c>
      <c r="H119" s="6">
        <v>55675.0</v>
      </c>
      <c r="I119" s="6">
        <v>1.0</v>
      </c>
      <c r="J119" s="6">
        <v>1.0</v>
      </c>
      <c r="K119" s="6">
        <v>1.0</v>
      </c>
      <c r="L119" s="6">
        <v>1.0</v>
      </c>
      <c r="M119" s="6">
        <v>1.0</v>
      </c>
    </row>
    <row r="120">
      <c r="A120" s="5" t="s">
        <v>46</v>
      </c>
      <c r="B120" s="5" t="s">
        <v>163</v>
      </c>
      <c r="C120" s="5" t="s">
        <v>58</v>
      </c>
      <c r="D120" s="6">
        <v>3.0</v>
      </c>
      <c r="E120" s="6">
        <v>1.0</v>
      </c>
      <c r="F120" s="6">
        <v>2.0</v>
      </c>
      <c r="G120" s="6">
        <v>14.0</v>
      </c>
      <c r="H120" s="6">
        <v>63580.0</v>
      </c>
      <c r="I120" s="6">
        <v>0.8632</v>
      </c>
      <c r="J120" s="6">
        <v>1.0</v>
      </c>
      <c r="K120" s="6">
        <v>0.9891</v>
      </c>
      <c r="L120" s="6">
        <v>1.0</v>
      </c>
      <c r="M120" s="6">
        <v>0.8632</v>
      </c>
    </row>
    <row r="121">
      <c r="A121" s="5" t="s">
        <v>46</v>
      </c>
      <c r="B121" s="5" t="s">
        <v>163</v>
      </c>
      <c r="C121" s="5" t="s">
        <v>58</v>
      </c>
      <c r="D121" s="6">
        <v>3.0</v>
      </c>
      <c r="E121" s="6">
        <v>2.0</v>
      </c>
      <c r="F121" s="6">
        <v>2.0</v>
      </c>
      <c r="G121" s="6">
        <v>14.0</v>
      </c>
      <c r="H121" s="6">
        <v>63580.0</v>
      </c>
      <c r="I121" s="6">
        <v>1.0</v>
      </c>
      <c r="J121" s="6">
        <v>1.0</v>
      </c>
      <c r="K121" s="6">
        <v>1.0</v>
      </c>
      <c r="L121" s="6">
        <v>1.0</v>
      </c>
      <c r="M121" s="6">
        <v>1.0</v>
      </c>
    </row>
    <row r="122">
      <c r="A122" s="5" t="s">
        <v>46</v>
      </c>
      <c r="B122" s="5" t="s">
        <v>1857</v>
      </c>
      <c r="C122" s="5" t="s">
        <v>58</v>
      </c>
      <c r="D122" s="6">
        <v>3.0</v>
      </c>
      <c r="E122" s="6">
        <v>1.0</v>
      </c>
      <c r="F122" s="6">
        <v>2.0</v>
      </c>
      <c r="G122" s="6">
        <v>14.0</v>
      </c>
      <c r="H122" s="6">
        <v>36264.0</v>
      </c>
      <c r="I122" s="6">
        <v>0.8425</v>
      </c>
      <c r="J122" s="6">
        <v>1.0</v>
      </c>
      <c r="K122" s="6">
        <v>0.9828</v>
      </c>
      <c r="L122" s="6">
        <v>1.0</v>
      </c>
      <c r="M122" s="6">
        <v>0.8425</v>
      </c>
    </row>
    <row r="123">
      <c r="A123" s="5" t="s">
        <v>46</v>
      </c>
      <c r="B123" s="5" t="s">
        <v>1857</v>
      </c>
      <c r="C123" s="5" t="s">
        <v>58</v>
      </c>
      <c r="D123" s="6">
        <v>3.0</v>
      </c>
      <c r="E123" s="6">
        <v>2.0</v>
      </c>
      <c r="F123" s="6">
        <v>2.0</v>
      </c>
      <c r="G123" s="6">
        <v>14.0</v>
      </c>
      <c r="H123" s="6">
        <v>36264.0</v>
      </c>
      <c r="I123" s="6">
        <v>1.0</v>
      </c>
      <c r="J123" s="6">
        <v>1.0</v>
      </c>
      <c r="K123" s="6">
        <v>1.0</v>
      </c>
      <c r="L123" s="6">
        <v>1.0</v>
      </c>
      <c r="M123" s="6">
        <v>1.0</v>
      </c>
    </row>
    <row r="124">
      <c r="A124" s="5" t="s">
        <v>46</v>
      </c>
      <c r="B124" s="5" t="s">
        <v>163</v>
      </c>
      <c r="C124" s="5" t="s">
        <v>59</v>
      </c>
      <c r="D124" s="6">
        <v>4.0</v>
      </c>
      <c r="E124" s="6">
        <v>1.0</v>
      </c>
      <c r="F124" s="6">
        <v>2.0</v>
      </c>
      <c r="G124" s="6">
        <v>14.0</v>
      </c>
      <c r="H124" s="6">
        <v>31375.0</v>
      </c>
      <c r="I124" s="6">
        <v>0.8998</v>
      </c>
      <c r="J124" s="6">
        <v>1.0</v>
      </c>
      <c r="K124" s="6">
        <v>1.0</v>
      </c>
      <c r="L124" s="6">
        <v>1.0</v>
      </c>
      <c r="M124" s="6">
        <v>0.8998</v>
      </c>
    </row>
    <row r="125">
      <c r="A125" s="5" t="s">
        <v>46</v>
      </c>
      <c r="B125" s="5" t="s">
        <v>163</v>
      </c>
      <c r="C125" s="5" t="s">
        <v>59</v>
      </c>
      <c r="D125" s="6">
        <v>4.0</v>
      </c>
      <c r="E125" s="6">
        <v>2.0</v>
      </c>
      <c r="F125" s="6">
        <v>2.0</v>
      </c>
      <c r="G125" s="6">
        <v>14.0</v>
      </c>
      <c r="H125" s="6">
        <v>31375.0</v>
      </c>
      <c r="I125" s="6">
        <v>1.0</v>
      </c>
      <c r="J125" s="6">
        <v>1.0</v>
      </c>
      <c r="K125" s="6">
        <v>1.0</v>
      </c>
      <c r="L125" s="6">
        <v>1.0</v>
      </c>
      <c r="M125" s="6">
        <v>1.0</v>
      </c>
    </row>
    <row r="126">
      <c r="A126" s="5" t="s">
        <v>46</v>
      </c>
      <c r="B126" s="5" t="s">
        <v>1857</v>
      </c>
      <c r="C126" s="5" t="s">
        <v>59</v>
      </c>
      <c r="D126" s="6">
        <v>4.0</v>
      </c>
      <c r="E126" s="6">
        <v>1.0</v>
      </c>
      <c r="F126" s="6">
        <v>2.0</v>
      </c>
      <c r="G126" s="6">
        <v>14.0</v>
      </c>
      <c r="H126" s="6">
        <v>16972.0</v>
      </c>
      <c r="I126" s="6">
        <v>0.8785</v>
      </c>
      <c r="J126" s="6">
        <v>1.0</v>
      </c>
      <c r="K126" s="6">
        <v>1.0</v>
      </c>
      <c r="L126" s="6">
        <v>1.0</v>
      </c>
      <c r="M126" s="6">
        <v>0.8784</v>
      </c>
    </row>
    <row r="127">
      <c r="A127" s="5" t="s">
        <v>46</v>
      </c>
      <c r="B127" s="5" t="s">
        <v>1857</v>
      </c>
      <c r="C127" s="5" t="s">
        <v>59</v>
      </c>
      <c r="D127" s="6">
        <v>4.0</v>
      </c>
      <c r="E127" s="6">
        <v>2.0</v>
      </c>
      <c r="F127" s="6">
        <v>2.0</v>
      </c>
      <c r="G127" s="6">
        <v>14.0</v>
      </c>
      <c r="H127" s="6">
        <v>16972.0</v>
      </c>
      <c r="I127" s="6">
        <v>1.0</v>
      </c>
      <c r="J127" s="6">
        <v>1.0</v>
      </c>
      <c r="K127" s="6">
        <v>1.0</v>
      </c>
      <c r="L127" s="6">
        <v>1.0</v>
      </c>
      <c r="M127" s="6">
        <v>1.0</v>
      </c>
    </row>
    <row r="128">
      <c r="A128" s="5" t="s">
        <v>46</v>
      </c>
      <c r="B128" s="5" t="s">
        <v>163</v>
      </c>
      <c r="C128" s="5" t="s">
        <v>60</v>
      </c>
      <c r="D128" s="6">
        <v>5.0</v>
      </c>
      <c r="E128" s="6">
        <v>1.0</v>
      </c>
      <c r="F128" s="6">
        <v>2.0</v>
      </c>
      <c r="G128" s="6">
        <v>14.0</v>
      </c>
      <c r="H128" s="6">
        <v>5961.0</v>
      </c>
      <c r="I128" s="6">
        <v>0.927</v>
      </c>
      <c r="J128" s="6">
        <v>1.0</v>
      </c>
      <c r="K128" s="6">
        <v>1.0</v>
      </c>
      <c r="L128" s="6">
        <v>1.0</v>
      </c>
      <c r="M128" s="6">
        <v>0.927</v>
      </c>
    </row>
    <row r="129">
      <c r="A129" s="5" t="s">
        <v>46</v>
      </c>
      <c r="B129" s="5" t="s">
        <v>163</v>
      </c>
      <c r="C129" s="5" t="s">
        <v>60</v>
      </c>
      <c r="D129" s="6">
        <v>5.0</v>
      </c>
      <c r="E129" s="6">
        <v>2.0</v>
      </c>
      <c r="F129" s="6">
        <v>2.0</v>
      </c>
      <c r="G129" s="6">
        <v>14.0</v>
      </c>
      <c r="H129" s="6">
        <v>5961.0</v>
      </c>
      <c r="I129" s="6">
        <v>1.0</v>
      </c>
      <c r="J129" s="6">
        <v>1.0</v>
      </c>
      <c r="K129" s="6">
        <v>1.0</v>
      </c>
      <c r="L129" s="6">
        <v>1.0</v>
      </c>
      <c r="M129" s="6">
        <v>1.0</v>
      </c>
    </row>
    <row r="130">
      <c r="A130" s="5" t="s">
        <v>46</v>
      </c>
      <c r="B130" s="5" t="s">
        <v>1857</v>
      </c>
      <c r="C130" s="5" t="s">
        <v>60</v>
      </c>
      <c r="D130" s="6">
        <v>5.0</v>
      </c>
      <c r="E130" s="6">
        <v>1.0</v>
      </c>
      <c r="F130" s="6">
        <v>2.0</v>
      </c>
      <c r="G130" s="6">
        <v>14.0</v>
      </c>
      <c r="H130" s="6">
        <v>3061.0</v>
      </c>
      <c r="I130" s="6">
        <v>0.908</v>
      </c>
      <c r="J130" s="6">
        <v>1.0</v>
      </c>
      <c r="K130" s="6">
        <v>1.0</v>
      </c>
      <c r="L130" s="6">
        <v>1.0</v>
      </c>
      <c r="M130" s="6">
        <v>0.908</v>
      </c>
    </row>
    <row r="131">
      <c r="A131" s="5" t="s">
        <v>46</v>
      </c>
      <c r="B131" s="5" t="s">
        <v>1857</v>
      </c>
      <c r="C131" s="5" t="s">
        <v>60</v>
      </c>
      <c r="D131" s="6">
        <v>5.0</v>
      </c>
      <c r="E131" s="6">
        <v>2.0</v>
      </c>
      <c r="F131" s="6">
        <v>2.0</v>
      </c>
      <c r="G131" s="6">
        <v>14.0</v>
      </c>
      <c r="H131" s="6">
        <v>3061.0</v>
      </c>
      <c r="I131" s="6">
        <v>1.0</v>
      </c>
      <c r="J131" s="6">
        <v>1.0</v>
      </c>
      <c r="K131" s="6">
        <v>1.0</v>
      </c>
      <c r="L131" s="6">
        <v>1.0</v>
      </c>
      <c r="M131" s="6">
        <v>1.0</v>
      </c>
    </row>
    <row r="132">
      <c r="A132" s="5" t="s">
        <v>49</v>
      </c>
      <c r="B132" s="5" t="s">
        <v>163</v>
      </c>
      <c r="C132" s="5" t="s">
        <v>56</v>
      </c>
      <c r="D132" s="6">
        <v>1.0</v>
      </c>
      <c r="E132" s="6">
        <v>1.0</v>
      </c>
      <c r="F132" s="6">
        <v>2.0</v>
      </c>
      <c r="G132" s="6">
        <v>19.0</v>
      </c>
      <c r="H132" s="6">
        <v>90507.0</v>
      </c>
      <c r="I132" s="6">
        <v>0.9626</v>
      </c>
      <c r="J132" s="6">
        <v>1.0</v>
      </c>
      <c r="K132" s="6">
        <v>1.0</v>
      </c>
      <c r="L132" s="6">
        <v>1.0</v>
      </c>
      <c r="M132" s="6">
        <v>0.9626</v>
      </c>
    </row>
    <row r="133">
      <c r="A133" s="5" t="s">
        <v>49</v>
      </c>
      <c r="B133" s="5" t="s">
        <v>163</v>
      </c>
      <c r="C133" s="5" t="s">
        <v>56</v>
      </c>
      <c r="D133" s="6">
        <v>1.0</v>
      </c>
      <c r="E133" s="6">
        <v>2.0</v>
      </c>
      <c r="F133" s="6">
        <v>2.0</v>
      </c>
      <c r="G133" s="6">
        <v>19.0</v>
      </c>
      <c r="H133" s="6">
        <v>90507.0</v>
      </c>
      <c r="I133" s="6">
        <v>1.0</v>
      </c>
      <c r="J133" s="6">
        <v>1.0</v>
      </c>
      <c r="K133" s="6">
        <v>1.0</v>
      </c>
      <c r="L133" s="6">
        <v>1.0</v>
      </c>
      <c r="M133" s="6">
        <v>1.0</v>
      </c>
    </row>
    <row r="134">
      <c r="A134" s="5" t="s">
        <v>49</v>
      </c>
      <c r="B134" s="5" t="s">
        <v>1857</v>
      </c>
      <c r="C134" s="5" t="s">
        <v>56</v>
      </c>
      <c r="D134" s="6">
        <v>1.0</v>
      </c>
      <c r="E134" s="6">
        <v>1.0</v>
      </c>
      <c r="F134" s="6">
        <v>2.0</v>
      </c>
      <c r="G134" s="6">
        <v>19.0</v>
      </c>
      <c r="H134" s="6">
        <v>65984.0</v>
      </c>
      <c r="I134" s="6">
        <v>0.9624</v>
      </c>
      <c r="J134" s="6">
        <v>1.0</v>
      </c>
      <c r="K134" s="6">
        <v>1.0</v>
      </c>
      <c r="L134" s="6">
        <v>1.0</v>
      </c>
      <c r="M134" s="6">
        <v>0.9624</v>
      </c>
    </row>
    <row r="135">
      <c r="A135" s="5" t="s">
        <v>49</v>
      </c>
      <c r="B135" s="5" t="s">
        <v>1857</v>
      </c>
      <c r="C135" s="5" t="s">
        <v>56</v>
      </c>
      <c r="D135" s="6">
        <v>1.0</v>
      </c>
      <c r="E135" s="6">
        <v>2.0</v>
      </c>
      <c r="F135" s="6">
        <v>2.0</v>
      </c>
      <c r="G135" s="6">
        <v>19.0</v>
      </c>
      <c r="H135" s="6">
        <v>65984.0</v>
      </c>
      <c r="I135" s="6">
        <v>1.0</v>
      </c>
      <c r="J135" s="6">
        <v>1.0</v>
      </c>
      <c r="K135" s="6">
        <v>1.0</v>
      </c>
      <c r="L135" s="6">
        <v>1.0</v>
      </c>
      <c r="M135" s="6">
        <v>1.0</v>
      </c>
    </row>
    <row r="136">
      <c r="A136" s="5" t="s">
        <v>49</v>
      </c>
      <c r="B136" s="5" t="s">
        <v>163</v>
      </c>
      <c r="C136" s="5" t="s">
        <v>57</v>
      </c>
      <c r="D136" s="6">
        <v>2.0</v>
      </c>
      <c r="E136" s="6">
        <v>1.0</v>
      </c>
      <c r="F136" s="6">
        <v>2.0</v>
      </c>
      <c r="G136" s="6">
        <v>19.0</v>
      </c>
      <c r="H136" s="6">
        <v>90132.0</v>
      </c>
      <c r="I136" s="6">
        <v>0.9702</v>
      </c>
      <c r="J136" s="6">
        <v>1.0</v>
      </c>
      <c r="K136" s="6">
        <v>1.0</v>
      </c>
      <c r="L136" s="6">
        <v>1.0</v>
      </c>
      <c r="M136" s="6">
        <v>0.9704</v>
      </c>
    </row>
    <row r="137">
      <c r="A137" s="5" t="s">
        <v>49</v>
      </c>
      <c r="B137" s="5" t="s">
        <v>163</v>
      </c>
      <c r="C137" s="5" t="s">
        <v>57</v>
      </c>
      <c r="D137" s="6">
        <v>2.0</v>
      </c>
      <c r="E137" s="6">
        <v>2.0</v>
      </c>
      <c r="F137" s="6">
        <v>2.0</v>
      </c>
      <c r="G137" s="6">
        <v>19.0</v>
      </c>
      <c r="H137" s="6">
        <v>90132.0</v>
      </c>
      <c r="I137" s="6">
        <v>1.0</v>
      </c>
      <c r="J137" s="6">
        <v>1.0</v>
      </c>
      <c r="K137" s="6">
        <v>1.0</v>
      </c>
      <c r="L137" s="6">
        <v>1.0</v>
      </c>
      <c r="M137" s="6">
        <v>1.0</v>
      </c>
    </row>
    <row r="138">
      <c r="A138" s="5" t="s">
        <v>49</v>
      </c>
      <c r="B138" s="5" t="s">
        <v>1857</v>
      </c>
      <c r="C138" s="5" t="s">
        <v>57</v>
      </c>
      <c r="D138" s="6">
        <v>2.0</v>
      </c>
      <c r="E138" s="6">
        <v>1.0</v>
      </c>
      <c r="F138" s="6">
        <v>2.0</v>
      </c>
      <c r="G138" s="6">
        <v>19.0</v>
      </c>
      <c r="H138" s="6">
        <v>55929.0</v>
      </c>
      <c r="I138" s="6">
        <v>0.9651</v>
      </c>
      <c r="J138" s="6">
        <v>1.0</v>
      </c>
      <c r="K138" s="6">
        <v>1.0</v>
      </c>
      <c r="L138" s="6">
        <v>1.0</v>
      </c>
      <c r="M138" s="6">
        <v>0.9653</v>
      </c>
    </row>
    <row r="139">
      <c r="A139" s="5" t="s">
        <v>49</v>
      </c>
      <c r="B139" s="5" t="s">
        <v>1857</v>
      </c>
      <c r="C139" s="5" t="s">
        <v>57</v>
      </c>
      <c r="D139" s="6">
        <v>2.0</v>
      </c>
      <c r="E139" s="6">
        <v>2.0</v>
      </c>
      <c r="F139" s="6">
        <v>2.0</v>
      </c>
      <c r="G139" s="6">
        <v>19.0</v>
      </c>
      <c r="H139" s="6">
        <v>55929.0</v>
      </c>
      <c r="I139" s="6">
        <v>1.0</v>
      </c>
      <c r="J139" s="6">
        <v>1.0</v>
      </c>
      <c r="K139" s="6">
        <v>1.0</v>
      </c>
      <c r="L139" s="6">
        <v>1.0</v>
      </c>
      <c r="M139" s="6">
        <v>1.0</v>
      </c>
    </row>
    <row r="140">
      <c r="A140" s="5" t="s">
        <v>49</v>
      </c>
      <c r="B140" s="5" t="s">
        <v>163</v>
      </c>
      <c r="C140" s="5" t="s">
        <v>58</v>
      </c>
      <c r="D140" s="6">
        <v>3.0</v>
      </c>
      <c r="E140" s="6">
        <v>1.0</v>
      </c>
      <c r="F140" s="6">
        <v>2.0</v>
      </c>
      <c r="G140" s="6">
        <v>19.0</v>
      </c>
      <c r="H140" s="6">
        <v>63935.0</v>
      </c>
      <c r="I140" s="6">
        <v>0.9753</v>
      </c>
      <c r="J140" s="6">
        <v>1.0</v>
      </c>
      <c r="K140" s="6">
        <v>1.0</v>
      </c>
      <c r="L140" s="6">
        <v>1.0</v>
      </c>
      <c r="M140" s="6">
        <v>0.9755</v>
      </c>
    </row>
    <row r="141">
      <c r="A141" s="5" t="s">
        <v>49</v>
      </c>
      <c r="B141" s="5" t="s">
        <v>163</v>
      </c>
      <c r="C141" s="5" t="s">
        <v>58</v>
      </c>
      <c r="D141" s="6">
        <v>3.0</v>
      </c>
      <c r="E141" s="6">
        <v>2.0</v>
      </c>
      <c r="F141" s="6">
        <v>2.0</v>
      </c>
      <c r="G141" s="6">
        <v>19.0</v>
      </c>
      <c r="H141" s="6">
        <v>63935.0</v>
      </c>
      <c r="I141" s="6">
        <v>1.0</v>
      </c>
      <c r="J141" s="6">
        <v>1.0</v>
      </c>
      <c r="K141" s="6">
        <v>1.0</v>
      </c>
      <c r="L141" s="6">
        <v>1.0</v>
      </c>
      <c r="M141" s="6">
        <v>1.0</v>
      </c>
    </row>
    <row r="142">
      <c r="A142" s="5" t="s">
        <v>49</v>
      </c>
      <c r="B142" s="5" t="s">
        <v>1857</v>
      </c>
      <c r="C142" s="5" t="s">
        <v>58</v>
      </c>
      <c r="D142" s="6">
        <v>3.0</v>
      </c>
      <c r="E142" s="6">
        <v>1.0</v>
      </c>
      <c r="F142" s="6">
        <v>2.0</v>
      </c>
      <c r="G142" s="6">
        <v>19.0</v>
      </c>
      <c r="H142" s="6">
        <v>37456.0</v>
      </c>
      <c r="I142" s="6">
        <v>0.968</v>
      </c>
      <c r="J142" s="6">
        <v>1.0</v>
      </c>
      <c r="K142" s="6">
        <v>1.0</v>
      </c>
      <c r="L142" s="6">
        <v>1.0</v>
      </c>
      <c r="M142" s="6">
        <v>0.9682</v>
      </c>
    </row>
    <row r="143">
      <c r="A143" s="5" t="s">
        <v>49</v>
      </c>
      <c r="B143" s="5" t="s">
        <v>1857</v>
      </c>
      <c r="C143" s="5" t="s">
        <v>58</v>
      </c>
      <c r="D143" s="6">
        <v>3.0</v>
      </c>
      <c r="E143" s="6">
        <v>2.0</v>
      </c>
      <c r="F143" s="6">
        <v>2.0</v>
      </c>
      <c r="G143" s="6">
        <v>19.0</v>
      </c>
      <c r="H143" s="6">
        <v>37456.0</v>
      </c>
      <c r="I143" s="6">
        <v>1.0</v>
      </c>
      <c r="J143" s="6">
        <v>1.0</v>
      </c>
      <c r="K143" s="6">
        <v>1.0</v>
      </c>
      <c r="L143" s="6">
        <v>1.0</v>
      </c>
      <c r="M143" s="6">
        <v>1.0</v>
      </c>
    </row>
    <row r="144">
      <c r="A144" s="5" t="s">
        <v>49</v>
      </c>
      <c r="B144" s="5" t="s">
        <v>163</v>
      </c>
      <c r="C144" s="5" t="s">
        <v>59</v>
      </c>
      <c r="D144" s="6">
        <v>4.0</v>
      </c>
      <c r="E144" s="6">
        <v>1.0</v>
      </c>
      <c r="F144" s="6">
        <v>2.0</v>
      </c>
      <c r="G144" s="6">
        <v>19.0</v>
      </c>
      <c r="H144" s="6">
        <v>33044.0</v>
      </c>
      <c r="I144" s="6">
        <v>0.9822</v>
      </c>
      <c r="J144" s="6">
        <v>1.0</v>
      </c>
      <c r="K144" s="6">
        <v>1.0</v>
      </c>
      <c r="L144" s="6">
        <v>1.0</v>
      </c>
      <c r="M144" s="6">
        <v>0.9823</v>
      </c>
    </row>
    <row r="145">
      <c r="A145" s="5" t="s">
        <v>49</v>
      </c>
      <c r="B145" s="5" t="s">
        <v>163</v>
      </c>
      <c r="C145" s="5" t="s">
        <v>59</v>
      </c>
      <c r="D145" s="6">
        <v>4.0</v>
      </c>
      <c r="E145" s="6">
        <v>2.0</v>
      </c>
      <c r="F145" s="6">
        <v>2.0</v>
      </c>
      <c r="G145" s="6">
        <v>19.0</v>
      </c>
      <c r="H145" s="6">
        <v>33044.0</v>
      </c>
      <c r="I145" s="6">
        <v>1.0</v>
      </c>
      <c r="J145" s="6">
        <v>1.0</v>
      </c>
      <c r="K145" s="6">
        <v>1.0</v>
      </c>
      <c r="L145" s="6">
        <v>1.0</v>
      </c>
      <c r="M145" s="6">
        <v>1.0</v>
      </c>
    </row>
    <row r="146">
      <c r="A146" s="5" t="s">
        <v>49</v>
      </c>
      <c r="B146" s="5" t="s">
        <v>1857</v>
      </c>
      <c r="C146" s="5" t="s">
        <v>59</v>
      </c>
      <c r="D146" s="6">
        <v>4.0</v>
      </c>
      <c r="E146" s="6">
        <v>1.0</v>
      </c>
      <c r="F146" s="6">
        <v>2.0</v>
      </c>
      <c r="G146" s="6">
        <v>19.0</v>
      </c>
      <c r="H146" s="6">
        <v>18264.0</v>
      </c>
      <c r="I146" s="6">
        <v>0.9737</v>
      </c>
      <c r="J146" s="6">
        <v>1.0</v>
      </c>
      <c r="K146" s="6">
        <v>1.0</v>
      </c>
      <c r="L146" s="6">
        <v>1.0</v>
      </c>
      <c r="M146" s="6">
        <v>0.9738</v>
      </c>
    </row>
    <row r="147">
      <c r="A147" s="5" t="s">
        <v>49</v>
      </c>
      <c r="B147" s="5" t="s">
        <v>1857</v>
      </c>
      <c r="C147" s="5" t="s">
        <v>59</v>
      </c>
      <c r="D147" s="6">
        <v>4.0</v>
      </c>
      <c r="E147" s="6">
        <v>2.0</v>
      </c>
      <c r="F147" s="6">
        <v>2.0</v>
      </c>
      <c r="G147" s="6">
        <v>19.0</v>
      </c>
      <c r="H147" s="6">
        <v>18264.0</v>
      </c>
      <c r="I147" s="6">
        <v>1.0</v>
      </c>
      <c r="J147" s="6">
        <v>1.0</v>
      </c>
      <c r="K147" s="6">
        <v>1.0</v>
      </c>
      <c r="L147" s="6">
        <v>1.0</v>
      </c>
      <c r="M147" s="6">
        <v>1.0</v>
      </c>
    </row>
    <row r="148">
      <c r="A148" s="5" t="s">
        <v>49</v>
      </c>
      <c r="B148" s="5" t="s">
        <v>163</v>
      </c>
      <c r="C148" s="5" t="s">
        <v>60</v>
      </c>
      <c r="D148" s="6">
        <v>5.0</v>
      </c>
      <c r="E148" s="6">
        <v>1.0</v>
      </c>
      <c r="F148" s="6">
        <v>2.0</v>
      </c>
      <c r="G148" s="6">
        <v>19.0</v>
      </c>
      <c r="H148" s="6">
        <v>6117.0</v>
      </c>
      <c r="I148" s="6">
        <v>0.9821</v>
      </c>
      <c r="J148" s="6">
        <v>1.0</v>
      </c>
      <c r="K148" s="6">
        <v>1.0</v>
      </c>
      <c r="L148" s="6">
        <v>1.0</v>
      </c>
      <c r="M148" s="6">
        <v>0.9823</v>
      </c>
    </row>
    <row r="149">
      <c r="A149" s="5" t="s">
        <v>49</v>
      </c>
      <c r="B149" s="5" t="s">
        <v>163</v>
      </c>
      <c r="C149" s="5" t="s">
        <v>60</v>
      </c>
      <c r="D149" s="6">
        <v>5.0</v>
      </c>
      <c r="E149" s="6">
        <v>2.0</v>
      </c>
      <c r="F149" s="6">
        <v>2.0</v>
      </c>
      <c r="G149" s="6">
        <v>19.0</v>
      </c>
      <c r="H149" s="6">
        <v>6117.0</v>
      </c>
      <c r="I149" s="6">
        <v>1.0</v>
      </c>
      <c r="J149" s="6">
        <v>1.0</v>
      </c>
      <c r="K149" s="6">
        <v>1.0</v>
      </c>
      <c r="L149" s="6">
        <v>1.0</v>
      </c>
      <c r="M149" s="6">
        <v>1.0</v>
      </c>
    </row>
    <row r="150">
      <c r="A150" s="5" t="s">
        <v>49</v>
      </c>
      <c r="B150" s="5" t="s">
        <v>1857</v>
      </c>
      <c r="C150" s="5" t="s">
        <v>60</v>
      </c>
      <c r="D150" s="6">
        <v>5.0</v>
      </c>
      <c r="E150" s="6">
        <v>1.0</v>
      </c>
      <c r="F150" s="6">
        <v>2.0</v>
      </c>
      <c r="G150" s="6">
        <v>19.0</v>
      </c>
      <c r="H150" s="6">
        <v>3283.0</v>
      </c>
      <c r="I150" s="6">
        <v>0.9774</v>
      </c>
      <c r="J150" s="6">
        <v>1.0</v>
      </c>
      <c r="K150" s="6">
        <v>1.0</v>
      </c>
      <c r="L150" s="6">
        <v>1.0</v>
      </c>
      <c r="M150" s="6">
        <v>0.9777</v>
      </c>
    </row>
    <row r="151">
      <c r="A151" s="5" t="s">
        <v>49</v>
      </c>
      <c r="B151" s="5" t="s">
        <v>1857</v>
      </c>
      <c r="C151" s="5" t="s">
        <v>60</v>
      </c>
      <c r="D151" s="6">
        <v>5.0</v>
      </c>
      <c r="E151" s="6">
        <v>2.0</v>
      </c>
      <c r="F151" s="6">
        <v>2.0</v>
      </c>
      <c r="G151" s="6">
        <v>19.0</v>
      </c>
      <c r="H151" s="6">
        <v>3283.0</v>
      </c>
      <c r="I151" s="6">
        <v>1.0</v>
      </c>
      <c r="J151" s="6">
        <v>1.0</v>
      </c>
      <c r="K151" s="6">
        <v>1.0</v>
      </c>
      <c r="L151" s="6">
        <v>1.0</v>
      </c>
      <c r="M151" s="6">
        <v>1.0</v>
      </c>
    </row>
    <row r="152">
      <c r="A152" s="5" t="s">
        <v>44</v>
      </c>
      <c r="B152" s="5" t="s">
        <v>163</v>
      </c>
      <c r="C152" s="5" t="s">
        <v>56</v>
      </c>
      <c r="D152" s="6">
        <v>1.0</v>
      </c>
      <c r="E152" s="6">
        <v>1.0</v>
      </c>
      <c r="F152" s="6">
        <v>4.0</v>
      </c>
      <c r="G152" s="6">
        <v>5.0</v>
      </c>
      <c r="H152" s="6">
        <v>119102.0</v>
      </c>
      <c r="I152" s="6">
        <v>0.3103</v>
      </c>
      <c r="J152" s="6">
        <v>0.1735</v>
      </c>
      <c r="K152" s="6">
        <v>0.0</v>
      </c>
      <c r="L152" s="6">
        <v>0.5419</v>
      </c>
      <c r="M152" s="6">
        <v>0.3096</v>
      </c>
    </row>
    <row r="153">
      <c r="A153" s="5" t="s">
        <v>44</v>
      </c>
      <c r="B153" s="5" t="s">
        <v>163</v>
      </c>
      <c r="C153" s="5" t="s">
        <v>56</v>
      </c>
      <c r="D153" s="6">
        <v>1.0</v>
      </c>
      <c r="E153" s="6">
        <v>2.0</v>
      </c>
      <c r="F153" s="6">
        <v>4.0</v>
      </c>
      <c r="G153" s="6">
        <v>5.0</v>
      </c>
      <c r="H153" s="6">
        <v>119102.0</v>
      </c>
      <c r="I153" s="6">
        <v>0.6245</v>
      </c>
      <c r="J153" s="6">
        <v>0.7132</v>
      </c>
      <c r="K153" s="6">
        <v>0.3244</v>
      </c>
      <c r="L153" s="6">
        <v>1.0</v>
      </c>
      <c r="M153" s="6">
        <v>0.6236</v>
      </c>
    </row>
    <row r="154">
      <c r="A154" s="5" t="s">
        <v>44</v>
      </c>
      <c r="B154" s="5" t="s">
        <v>163</v>
      </c>
      <c r="C154" s="5" t="s">
        <v>56</v>
      </c>
      <c r="D154" s="6">
        <v>1.0</v>
      </c>
      <c r="E154" s="6">
        <v>3.0</v>
      </c>
      <c r="F154" s="6">
        <v>4.0</v>
      </c>
      <c r="G154" s="6">
        <v>5.0</v>
      </c>
      <c r="H154" s="6">
        <v>119102.0</v>
      </c>
      <c r="I154" s="6">
        <v>0.9762</v>
      </c>
      <c r="J154" s="6">
        <v>1.0</v>
      </c>
      <c r="K154" s="6">
        <v>1.0</v>
      </c>
      <c r="L154" s="6">
        <v>1.0</v>
      </c>
      <c r="M154" s="6">
        <v>0.9758</v>
      </c>
    </row>
    <row r="155">
      <c r="A155" s="5" t="s">
        <v>44</v>
      </c>
      <c r="B155" s="5" t="s">
        <v>163</v>
      </c>
      <c r="C155" s="5" t="s">
        <v>56</v>
      </c>
      <c r="D155" s="6">
        <v>1.0</v>
      </c>
      <c r="E155" s="6">
        <v>4.0</v>
      </c>
      <c r="F155" s="6">
        <v>4.0</v>
      </c>
      <c r="G155" s="6">
        <v>5.0</v>
      </c>
      <c r="H155" s="6">
        <v>119102.0</v>
      </c>
      <c r="I155" s="6">
        <v>1.0</v>
      </c>
      <c r="J155" s="6">
        <v>1.0</v>
      </c>
      <c r="K155" s="6">
        <v>1.0</v>
      </c>
      <c r="L155" s="6">
        <v>1.0</v>
      </c>
      <c r="M155" s="6">
        <v>1.0</v>
      </c>
    </row>
    <row r="156">
      <c r="A156" s="5" t="s">
        <v>44</v>
      </c>
      <c r="B156" s="5" t="s">
        <v>1857</v>
      </c>
      <c r="C156" s="5" t="s">
        <v>56</v>
      </c>
      <c r="D156" s="6">
        <v>1.0</v>
      </c>
      <c r="E156" s="6">
        <v>1.0</v>
      </c>
      <c r="F156" s="6">
        <v>4.0</v>
      </c>
      <c r="G156" s="6">
        <v>5.0</v>
      </c>
      <c r="H156" s="6">
        <v>81877.0</v>
      </c>
      <c r="I156" s="6">
        <v>0.3213</v>
      </c>
      <c r="J156" s="6">
        <v>0.207</v>
      </c>
      <c r="K156" s="6">
        <v>0.0</v>
      </c>
      <c r="L156" s="6">
        <v>0.5547</v>
      </c>
      <c r="M156" s="6">
        <v>0.3203</v>
      </c>
    </row>
    <row r="157">
      <c r="A157" s="5" t="s">
        <v>44</v>
      </c>
      <c r="B157" s="5" t="s">
        <v>1857</v>
      </c>
      <c r="C157" s="5" t="s">
        <v>56</v>
      </c>
      <c r="D157" s="6">
        <v>1.0</v>
      </c>
      <c r="E157" s="6">
        <v>2.0</v>
      </c>
      <c r="F157" s="6">
        <v>4.0</v>
      </c>
      <c r="G157" s="6">
        <v>5.0</v>
      </c>
      <c r="H157" s="6">
        <v>81877.0</v>
      </c>
      <c r="I157" s="6">
        <v>0.6373</v>
      </c>
      <c r="J157" s="6">
        <v>0.7244</v>
      </c>
      <c r="K157" s="6">
        <v>0.3699</v>
      </c>
      <c r="L157" s="6">
        <v>1.0</v>
      </c>
      <c r="M157" s="6">
        <v>0.6361</v>
      </c>
    </row>
    <row r="158">
      <c r="A158" s="5" t="s">
        <v>44</v>
      </c>
      <c r="B158" s="5" t="s">
        <v>1857</v>
      </c>
      <c r="C158" s="5" t="s">
        <v>56</v>
      </c>
      <c r="D158" s="6">
        <v>1.0</v>
      </c>
      <c r="E158" s="6">
        <v>3.0</v>
      </c>
      <c r="F158" s="6">
        <v>4.0</v>
      </c>
      <c r="G158" s="6">
        <v>5.0</v>
      </c>
      <c r="H158" s="6">
        <v>81877.0</v>
      </c>
      <c r="I158" s="6">
        <v>0.9787</v>
      </c>
      <c r="J158" s="6">
        <v>1.0</v>
      </c>
      <c r="K158" s="6">
        <v>1.0</v>
      </c>
      <c r="L158" s="6">
        <v>1.0</v>
      </c>
      <c r="M158" s="6">
        <v>0.9784</v>
      </c>
    </row>
    <row r="159">
      <c r="A159" s="5" t="s">
        <v>44</v>
      </c>
      <c r="B159" s="5" t="s">
        <v>1857</v>
      </c>
      <c r="C159" s="5" t="s">
        <v>56</v>
      </c>
      <c r="D159" s="6">
        <v>1.0</v>
      </c>
      <c r="E159" s="6">
        <v>4.0</v>
      </c>
      <c r="F159" s="6">
        <v>4.0</v>
      </c>
      <c r="G159" s="6">
        <v>5.0</v>
      </c>
      <c r="H159" s="6">
        <v>81877.0</v>
      </c>
      <c r="I159" s="6">
        <v>1.0</v>
      </c>
      <c r="J159" s="6">
        <v>1.0</v>
      </c>
      <c r="K159" s="6">
        <v>1.0</v>
      </c>
      <c r="L159" s="6">
        <v>1.0</v>
      </c>
      <c r="M159" s="6">
        <v>1.0</v>
      </c>
    </row>
    <row r="160">
      <c r="A160" s="5" t="s">
        <v>44</v>
      </c>
      <c r="B160" s="5" t="s">
        <v>163</v>
      </c>
      <c r="C160" s="5" t="s">
        <v>57</v>
      </c>
      <c r="D160" s="6">
        <v>2.0</v>
      </c>
      <c r="E160" s="6">
        <v>1.0</v>
      </c>
      <c r="F160" s="6">
        <v>4.0</v>
      </c>
      <c r="G160" s="6">
        <v>5.0</v>
      </c>
      <c r="H160" s="6">
        <v>102704.0</v>
      </c>
      <c r="I160" s="6">
        <v>0.3308</v>
      </c>
      <c r="J160" s="6">
        <v>0.2516</v>
      </c>
      <c r="K160" s="6">
        <v>2.0E-4</v>
      </c>
      <c r="L160" s="6">
        <v>0.5452</v>
      </c>
      <c r="M160" s="6">
        <v>0.3306</v>
      </c>
    </row>
    <row r="161">
      <c r="A161" s="5" t="s">
        <v>44</v>
      </c>
      <c r="B161" s="5" t="s">
        <v>163</v>
      </c>
      <c r="C161" s="5" t="s">
        <v>57</v>
      </c>
      <c r="D161" s="6">
        <v>2.0</v>
      </c>
      <c r="E161" s="6">
        <v>2.0</v>
      </c>
      <c r="F161" s="6">
        <v>4.0</v>
      </c>
      <c r="G161" s="6">
        <v>5.0</v>
      </c>
      <c r="H161" s="6">
        <v>102704.0</v>
      </c>
      <c r="I161" s="6">
        <v>0.6463</v>
      </c>
      <c r="J161" s="6">
        <v>0.7164</v>
      </c>
      <c r="K161" s="6">
        <v>0.4247</v>
      </c>
      <c r="L161" s="6">
        <v>0.9951</v>
      </c>
      <c r="M161" s="6">
        <v>0.6461</v>
      </c>
    </row>
    <row r="162">
      <c r="A162" s="5" t="s">
        <v>44</v>
      </c>
      <c r="B162" s="5" t="s">
        <v>163</v>
      </c>
      <c r="C162" s="5" t="s">
        <v>57</v>
      </c>
      <c r="D162" s="6">
        <v>2.0</v>
      </c>
      <c r="E162" s="6">
        <v>3.0</v>
      </c>
      <c r="F162" s="6">
        <v>4.0</v>
      </c>
      <c r="G162" s="6">
        <v>5.0</v>
      </c>
      <c r="H162" s="6">
        <v>102704.0</v>
      </c>
      <c r="I162" s="6">
        <v>0.9797</v>
      </c>
      <c r="J162" s="6">
        <v>1.0</v>
      </c>
      <c r="K162" s="6">
        <v>1.0</v>
      </c>
      <c r="L162" s="6">
        <v>1.0</v>
      </c>
      <c r="M162" s="6">
        <v>0.9795</v>
      </c>
    </row>
    <row r="163">
      <c r="A163" s="5" t="s">
        <v>44</v>
      </c>
      <c r="B163" s="5" t="s">
        <v>163</v>
      </c>
      <c r="C163" s="5" t="s">
        <v>57</v>
      </c>
      <c r="D163" s="6">
        <v>2.0</v>
      </c>
      <c r="E163" s="6">
        <v>4.0</v>
      </c>
      <c r="F163" s="6">
        <v>4.0</v>
      </c>
      <c r="G163" s="6">
        <v>5.0</v>
      </c>
      <c r="H163" s="6">
        <v>102704.0</v>
      </c>
      <c r="I163" s="6">
        <v>1.0</v>
      </c>
      <c r="J163" s="6">
        <v>1.0</v>
      </c>
      <c r="K163" s="6">
        <v>1.0</v>
      </c>
      <c r="L163" s="6">
        <v>1.0</v>
      </c>
      <c r="M163" s="6">
        <v>1.0</v>
      </c>
    </row>
    <row r="164">
      <c r="A164" s="5" t="s">
        <v>44</v>
      </c>
      <c r="B164" s="5" t="s">
        <v>1857</v>
      </c>
      <c r="C164" s="5" t="s">
        <v>57</v>
      </c>
      <c r="D164" s="6">
        <v>2.0</v>
      </c>
      <c r="E164" s="6">
        <v>1.0</v>
      </c>
      <c r="F164" s="6">
        <v>4.0</v>
      </c>
      <c r="G164" s="6">
        <v>5.0</v>
      </c>
      <c r="H164" s="6">
        <v>60387.0</v>
      </c>
      <c r="I164" s="6">
        <v>0.3364</v>
      </c>
      <c r="J164" s="6">
        <v>0.2537</v>
      </c>
      <c r="K164" s="6">
        <v>4.0E-4</v>
      </c>
      <c r="L164" s="6">
        <v>0.5677</v>
      </c>
      <c r="M164" s="6">
        <v>0.3362</v>
      </c>
    </row>
    <row r="165">
      <c r="A165" s="5" t="s">
        <v>44</v>
      </c>
      <c r="B165" s="5" t="s">
        <v>1857</v>
      </c>
      <c r="C165" s="5" t="s">
        <v>57</v>
      </c>
      <c r="D165" s="6">
        <v>2.0</v>
      </c>
      <c r="E165" s="6">
        <v>2.0</v>
      </c>
      <c r="F165" s="6">
        <v>4.0</v>
      </c>
      <c r="G165" s="6">
        <v>5.0</v>
      </c>
      <c r="H165" s="6">
        <v>60387.0</v>
      </c>
      <c r="I165" s="6">
        <v>0.6551</v>
      </c>
      <c r="J165" s="6">
        <v>0.741</v>
      </c>
      <c r="K165" s="6">
        <v>0.4342</v>
      </c>
      <c r="L165" s="6">
        <v>0.9945</v>
      </c>
      <c r="M165" s="6">
        <v>0.6549</v>
      </c>
    </row>
    <row r="166">
      <c r="A166" s="5" t="s">
        <v>44</v>
      </c>
      <c r="B166" s="5" t="s">
        <v>1857</v>
      </c>
      <c r="C166" s="5" t="s">
        <v>57</v>
      </c>
      <c r="D166" s="6">
        <v>2.0</v>
      </c>
      <c r="E166" s="6">
        <v>3.0</v>
      </c>
      <c r="F166" s="6">
        <v>4.0</v>
      </c>
      <c r="G166" s="6">
        <v>5.0</v>
      </c>
      <c r="H166" s="6">
        <v>60387.0</v>
      </c>
      <c r="I166" s="6">
        <v>0.9806</v>
      </c>
      <c r="J166" s="6">
        <v>1.0</v>
      </c>
      <c r="K166" s="6">
        <v>1.0</v>
      </c>
      <c r="L166" s="6">
        <v>1.0</v>
      </c>
      <c r="M166" s="6">
        <v>0.9805</v>
      </c>
    </row>
    <row r="167">
      <c r="A167" s="5" t="s">
        <v>44</v>
      </c>
      <c r="B167" s="5" t="s">
        <v>1857</v>
      </c>
      <c r="C167" s="5" t="s">
        <v>57</v>
      </c>
      <c r="D167" s="6">
        <v>2.0</v>
      </c>
      <c r="E167" s="6">
        <v>4.0</v>
      </c>
      <c r="F167" s="6">
        <v>4.0</v>
      </c>
      <c r="G167" s="6">
        <v>5.0</v>
      </c>
      <c r="H167" s="6">
        <v>60387.0</v>
      </c>
      <c r="I167" s="6">
        <v>1.0</v>
      </c>
      <c r="J167" s="6">
        <v>1.0</v>
      </c>
      <c r="K167" s="6">
        <v>1.0</v>
      </c>
      <c r="L167" s="6">
        <v>1.0</v>
      </c>
      <c r="M167" s="6">
        <v>1.0</v>
      </c>
    </row>
    <row r="168">
      <c r="A168" s="5" t="s">
        <v>44</v>
      </c>
      <c r="B168" s="5" t="s">
        <v>163</v>
      </c>
      <c r="C168" s="5" t="s">
        <v>58</v>
      </c>
      <c r="D168" s="6">
        <v>3.0</v>
      </c>
      <c r="E168" s="6">
        <v>1.0</v>
      </c>
      <c r="F168" s="6">
        <v>4.0</v>
      </c>
      <c r="G168" s="6">
        <v>5.0</v>
      </c>
      <c r="H168" s="6">
        <v>65903.0</v>
      </c>
      <c r="I168" s="6">
        <v>0.3418</v>
      </c>
      <c r="J168" s="6">
        <v>0.285</v>
      </c>
      <c r="K168" s="6">
        <v>0.002</v>
      </c>
      <c r="L168" s="6">
        <v>0.548</v>
      </c>
      <c r="M168" s="6">
        <v>0.3418</v>
      </c>
    </row>
    <row r="169">
      <c r="A169" s="5" t="s">
        <v>44</v>
      </c>
      <c r="B169" s="5" t="s">
        <v>163</v>
      </c>
      <c r="C169" s="5" t="s">
        <v>58</v>
      </c>
      <c r="D169" s="6">
        <v>3.0</v>
      </c>
      <c r="E169" s="6">
        <v>2.0</v>
      </c>
      <c r="F169" s="6">
        <v>4.0</v>
      </c>
      <c r="G169" s="6">
        <v>5.0</v>
      </c>
      <c r="H169" s="6">
        <v>65903.0</v>
      </c>
      <c r="I169" s="6">
        <v>0.6593</v>
      </c>
      <c r="J169" s="6">
        <v>0.7298</v>
      </c>
      <c r="K169" s="6">
        <v>0.4675</v>
      </c>
      <c r="L169" s="6">
        <v>0.9883</v>
      </c>
      <c r="M169" s="6">
        <v>0.6594</v>
      </c>
    </row>
    <row r="170">
      <c r="A170" s="5" t="s">
        <v>44</v>
      </c>
      <c r="B170" s="5" t="s">
        <v>163</v>
      </c>
      <c r="C170" s="5" t="s">
        <v>58</v>
      </c>
      <c r="D170" s="6">
        <v>3.0</v>
      </c>
      <c r="E170" s="6">
        <v>3.0</v>
      </c>
      <c r="F170" s="6">
        <v>4.0</v>
      </c>
      <c r="G170" s="6">
        <v>5.0</v>
      </c>
      <c r="H170" s="6">
        <v>65903.0</v>
      </c>
      <c r="I170" s="6">
        <v>0.982</v>
      </c>
      <c r="J170" s="6">
        <v>1.0</v>
      </c>
      <c r="K170" s="6">
        <v>1.0</v>
      </c>
      <c r="L170" s="6">
        <v>1.0</v>
      </c>
      <c r="M170" s="6">
        <v>0.9819</v>
      </c>
    </row>
    <row r="171">
      <c r="A171" s="5" t="s">
        <v>44</v>
      </c>
      <c r="B171" s="5" t="s">
        <v>163</v>
      </c>
      <c r="C171" s="5" t="s">
        <v>58</v>
      </c>
      <c r="D171" s="6">
        <v>3.0</v>
      </c>
      <c r="E171" s="6">
        <v>4.0</v>
      </c>
      <c r="F171" s="6">
        <v>4.0</v>
      </c>
      <c r="G171" s="6">
        <v>5.0</v>
      </c>
      <c r="H171" s="6">
        <v>65903.0</v>
      </c>
      <c r="I171" s="6">
        <v>1.0</v>
      </c>
      <c r="J171" s="6">
        <v>1.0</v>
      </c>
      <c r="K171" s="6">
        <v>1.0</v>
      </c>
      <c r="L171" s="6">
        <v>1.0</v>
      </c>
      <c r="M171" s="6">
        <v>1.0</v>
      </c>
    </row>
    <row r="172">
      <c r="A172" s="5" t="s">
        <v>44</v>
      </c>
      <c r="B172" s="5" t="s">
        <v>1857</v>
      </c>
      <c r="C172" s="5" t="s">
        <v>58</v>
      </c>
      <c r="D172" s="6">
        <v>3.0</v>
      </c>
      <c r="E172" s="6">
        <v>1.0</v>
      </c>
      <c r="F172" s="6">
        <v>4.0</v>
      </c>
      <c r="G172" s="6">
        <v>5.0</v>
      </c>
      <c r="H172" s="6">
        <v>36948.0</v>
      </c>
      <c r="I172" s="6">
        <v>0.3416</v>
      </c>
      <c r="J172" s="6">
        <v>0.273</v>
      </c>
      <c r="K172" s="6">
        <v>1.0E-4</v>
      </c>
      <c r="L172" s="6">
        <v>0.57</v>
      </c>
      <c r="M172" s="6">
        <v>0.3415</v>
      </c>
    </row>
    <row r="173">
      <c r="A173" s="5" t="s">
        <v>44</v>
      </c>
      <c r="B173" s="5" t="s">
        <v>1857</v>
      </c>
      <c r="C173" s="5" t="s">
        <v>58</v>
      </c>
      <c r="D173" s="6">
        <v>3.0</v>
      </c>
      <c r="E173" s="6">
        <v>2.0</v>
      </c>
      <c r="F173" s="6">
        <v>4.0</v>
      </c>
      <c r="G173" s="6">
        <v>5.0</v>
      </c>
      <c r="H173" s="6">
        <v>36948.0</v>
      </c>
      <c r="I173" s="6">
        <v>0.662</v>
      </c>
      <c r="J173" s="6">
        <v>0.7534</v>
      </c>
      <c r="K173" s="6">
        <v>0.4509</v>
      </c>
      <c r="L173" s="6">
        <v>0.998</v>
      </c>
      <c r="M173" s="6">
        <v>0.6621</v>
      </c>
    </row>
    <row r="174">
      <c r="A174" s="5" t="s">
        <v>44</v>
      </c>
      <c r="B174" s="5" t="s">
        <v>1857</v>
      </c>
      <c r="C174" s="5" t="s">
        <v>58</v>
      </c>
      <c r="D174" s="6">
        <v>3.0</v>
      </c>
      <c r="E174" s="6">
        <v>3.0</v>
      </c>
      <c r="F174" s="6">
        <v>4.0</v>
      </c>
      <c r="G174" s="6">
        <v>5.0</v>
      </c>
      <c r="H174" s="6">
        <v>36948.0</v>
      </c>
      <c r="I174" s="6">
        <v>0.9803</v>
      </c>
      <c r="J174" s="6">
        <v>1.0</v>
      </c>
      <c r="K174" s="6">
        <v>1.0</v>
      </c>
      <c r="L174" s="6">
        <v>1.0</v>
      </c>
      <c r="M174" s="6">
        <v>0.9802</v>
      </c>
    </row>
    <row r="175">
      <c r="A175" s="5" t="s">
        <v>44</v>
      </c>
      <c r="B175" s="5" t="s">
        <v>1857</v>
      </c>
      <c r="C175" s="5" t="s">
        <v>58</v>
      </c>
      <c r="D175" s="6">
        <v>3.0</v>
      </c>
      <c r="E175" s="6">
        <v>4.0</v>
      </c>
      <c r="F175" s="6">
        <v>4.0</v>
      </c>
      <c r="G175" s="6">
        <v>5.0</v>
      </c>
      <c r="H175" s="6">
        <v>36948.0</v>
      </c>
      <c r="I175" s="6">
        <v>1.0</v>
      </c>
      <c r="J175" s="6">
        <v>1.0</v>
      </c>
      <c r="K175" s="6">
        <v>1.0</v>
      </c>
      <c r="L175" s="6">
        <v>1.0</v>
      </c>
      <c r="M175" s="6">
        <v>1.0</v>
      </c>
    </row>
    <row r="176">
      <c r="A176" s="5" t="s">
        <v>44</v>
      </c>
      <c r="B176" s="5" t="s">
        <v>163</v>
      </c>
      <c r="C176" s="5" t="s">
        <v>59</v>
      </c>
      <c r="D176" s="6">
        <v>4.0</v>
      </c>
      <c r="E176" s="6">
        <v>1.0</v>
      </c>
      <c r="F176" s="6">
        <v>4.0</v>
      </c>
      <c r="G176" s="6">
        <v>5.0</v>
      </c>
      <c r="H176" s="6">
        <v>31800.0</v>
      </c>
      <c r="I176" s="6">
        <v>0.4138</v>
      </c>
      <c r="J176" s="6">
        <v>0.385</v>
      </c>
      <c r="K176" s="6">
        <v>0.0589</v>
      </c>
      <c r="L176" s="6">
        <v>0.6661</v>
      </c>
      <c r="M176" s="6">
        <v>0.4143</v>
      </c>
    </row>
    <row r="177">
      <c r="A177" s="5" t="s">
        <v>44</v>
      </c>
      <c r="B177" s="5" t="s">
        <v>163</v>
      </c>
      <c r="C177" s="5" t="s">
        <v>59</v>
      </c>
      <c r="D177" s="6">
        <v>4.0</v>
      </c>
      <c r="E177" s="6">
        <v>2.0</v>
      </c>
      <c r="F177" s="6">
        <v>4.0</v>
      </c>
      <c r="G177" s="6">
        <v>5.0</v>
      </c>
      <c r="H177" s="6">
        <v>31800.0</v>
      </c>
      <c r="I177" s="6">
        <v>0.7362</v>
      </c>
      <c r="J177" s="6">
        <v>0.8638</v>
      </c>
      <c r="K177" s="6">
        <v>0.5733</v>
      </c>
      <c r="L177" s="6">
        <v>1.0</v>
      </c>
      <c r="M177" s="6">
        <v>0.7366</v>
      </c>
    </row>
    <row r="178">
      <c r="A178" s="5" t="s">
        <v>44</v>
      </c>
      <c r="B178" s="5" t="s">
        <v>163</v>
      </c>
      <c r="C178" s="5" t="s">
        <v>59</v>
      </c>
      <c r="D178" s="6">
        <v>4.0</v>
      </c>
      <c r="E178" s="6">
        <v>3.0</v>
      </c>
      <c r="F178" s="6">
        <v>4.0</v>
      </c>
      <c r="G178" s="6">
        <v>5.0</v>
      </c>
      <c r="H178" s="6">
        <v>31800.0</v>
      </c>
      <c r="I178" s="6">
        <v>0.9876</v>
      </c>
      <c r="J178" s="6">
        <v>1.0</v>
      </c>
      <c r="K178" s="6">
        <v>1.0</v>
      </c>
      <c r="L178" s="6">
        <v>1.0</v>
      </c>
      <c r="M178" s="6">
        <v>0.9876</v>
      </c>
    </row>
    <row r="179">
      <c r="A179" s="5" t="s">
        <v>44</v>
      </c>
      <c r="B179" s="5" t="s">
        <v>163</v>
      </c>
      <c r="C179" s="5" t="s">
        <v>59</v>
      </c>
      <c r="D179" s="6">
        <v>4.0</v>
      </c>
      <c r="E179" s="6">
        <v>4.0</v>
      </c>
      <c r="F179" s="6">
        <v>4.0</v>
      </c>
      <c r="G179" s="6">
        <v>5.0</v>
      </c>
      <c r="H179" s="6">
        <v>31800.0</v>
      </c>
      <c r="I179" s="6">
        <v>1.0</v>
      </c>
      <c r="J179" s="6">
        <v>1.0</v>
      </c>
      <c r="K179" s="6">
        <v>1.0</v>
      </c>
      <c r="L179" s="6">
        <v>1.0</v>
      </c>
      <c r="M179" s="6">
        <v>1.0</v>
      </c>
    </row>
    <row r="180">
      <c r="A180" s="5" t="s">
        <v>44</v>
      </c>
      <c r="B180" s="5" t="s">
        <v>1857</v>
      </c>
      <c r="C180" s="5" t="s">
        <v>59</v>
      </c>
      <c r="D180" s="6">
        <v>4.0</v>
      </c>
      <c r="E180" s="6">
        <v>1.0</v>
      </c>
      <c r="F180" s="6">
        <v>4.0</v>
      </c>
      <c r="G180" s="6">
        <v>5.0</v>
      </c>
      <c r="H180" s="6">
        <v>17155.0</v>
      </c>
      <c r="I180" s="6">
        <v>0.4001</v>
      </c>
      <c r="J180" s="6">
        <v>0.3565</v>
      </c>
      <c r="K180" s="6">
        <v>5.0E-4</v>
      </c>
      <c r="L180" s="6">
        <v>0.6984</v>
      </c>
      <c r="M180" s="6">
        <v>0.4005</v>
      </c>
    </row>
    <row r="181">
      <c r="A181" s="5" t="s">
        <v>44</v>
      </c>
      <c r="B181" s="5" t="s">
        <v>1857</v>
      </c>
      <c r="C181" s="5" t="s">
        <v>59</v>
      </c>
      <c r="D181" s="6">
        <v>4.0</v>
      </c>
      <c r="E181" s="6">
        <v>2.0</v>
      </c>
      <c r="F181" s="6">
        <v>4.0</v>
      </c>
      <c r="G181" s="6">
        <v>5.0</v>
      </c>
      <c r="H181" s="6">
        <v>17155.0</v>
      </c>
      <c r="I181" s="6">
        <v>0.7202</v>
      </c>
      <c r="J181" s="6">
        <v>0.8934</v>
      </c>
      <c r="K181" s="6">
        <v>0.5303</v>
      </c>
      <c r="L181" s="6">
        <v>1.0</v>
      </c>
      <c r="M181" s="6">
        <v>0.7205</v>
      </c>
    </row>
    <row r="182">
      <c r="A182" s="5" t="s">
        <v>44</v>
      </c>
      <c r="B182" s="5" t="s">
        <v>1857</v>
      </c>
      <c r="C182" s="5" t="s">
        <v>59</v>
      </c>
      <c r="D182" s="6">
        <v>4.0</v>
      </c>
      <c r="E182" s="6">
        <v>3.0</v>
      </c>
      <c r="F182" s="6">
        <v>4.0</v>
      </c>
      <c r="G182" s="6">
        <v>5.0</v>
      </c>
      <c r="H182" s="6">
        <v>17155.0</v>
      </c>
      <c r="I182" s="6">
        <v>0.9834</v>
      </c>
      <c r="J182" s="6">
        <v>1.0</v>
      </c>
      <c r="K182" s="6">
        <v>1.0</v>
      </c>
      <c r="L182" s="6">
        <v>1.0</v>
      </c>
      <c r="M182" s="6">
        <v>0.9834</v>
      </c>
    </row>
    <row r="183">
      <c r="A183" s="5" t="s">
        <v>44</v>
      </c>
      <c r="B183" s="5" t="s">
        <v>1857</v>
      </c>
      <c r="C183" s="5" t="s">
        <v>59</v>
      </c>
      <c r="D183" s="6">
        <v>4.0</v>
      </c>
      <c r="E183" s="6">
        <v>4.0</v>
      </c>
      <c r="F183" s="6">
        <v>4.0</v>
      </c>
      <c r="G183" s="6">
        <v>5.0</v>
      </c>
      <c r="H183" s="6">
        <v>17155.0</v>
      </c>
      <c r="I183" s="6">
        <v>1.0</v>
      </c>
      <c r="J183" s="6">
        <v>1.0</v>
      </c>
      <c r="K183" s="6">
        <v>1.0</v>
      </c>
      <c r="L183" s="6">
        <v>1.0</v>
      </c>
      <c r="M183" s="6">
        <v>1.0</v>
      </c>
    </row>
    <row r="184">
      <c r="A184" s="5" t="s">
        <v>44</v>
      </c>
      <c r="B184" s="5" t="s">
        <v>163</v>
      </c>
      <c r="C184" s="5" t="s">
        <v>60</v>
      </c>
      <c r="D184" s="6">
        <v>5.0</v>
      </c>
      <c r="E184" s="6">
        <v>1.0</v>
      </c>
      <c r="F184" s="6">
        <v>4.0</v>
      </c>
      <c r="G184" s="6">
        <v>5.0</v>
      </c>
      <c r="H184" s="6">
        <v>5547.0</v>
      </c>
      <c r="I184" s="6">
        <v>0.5263</v>
      </c>
      <c r="J184" s="6">
        <v>0.5904</v>
      </c>
      <c r="K184" s="6">
        <v>0.0</v>
      </c>
      <c r="L184" s="6">
        <v>0.9999</v>
      </c>
      <c r="M184" s="6">
        <v>0.5273</v>
      </c>
    </row>
    <row r="185">
      <c r="A185" s="5" t="s">
        <v>44</v>
      </c>
      <c r="B185" s="5" t="s">
        <v>163</v>
      </c>
      <c r="C185" s="5" t="s">
        <v>60</v>
      </c>
      <c r="D185" s="6">
        <v>5.0</v>
      </c>
      <c r="E185" s="6">
        <v>2.0</v>
      </c>
      <c r="F185" s="6">
        <v>4.0</v>
      </c>
      <c r="G185" s="6">
        <v>5.0</v>
      </c>
      <c r="H185" s="6">
        <v>5547.0</v>
      </c>
      <c r="I185" s="6">
        <v>0.7854</v>
      </c>
      <c r="J185" s="6">
        <v>1.0</v>
      </c>
      <c r="K185" s="6">
        <v>0.7017</v>
      </c>
      <c r="L185" s="6">
        <v>1.0</v>
      </c>
      <c r="M185" s="6">
        <v>0.7862</v>
      </c>
    </row>
    <row r="186">
      <c r="A186" s="5" t="s">
        <v>44</v>
      </c>
      <c r="B186" s="5" t="s">
        <v>163</v>
      </c>
      <c r="C186" s="5" t="s">
        <v>60</v>
      </c>
      <c r="D186" s="6">
        <v>5.0</v>
      </c>
      <c r="E186" s="6">
        <v>3.0</v>
      </c>
      <c r="F186" s="6">
        <v>4.0</v>
      </c>
      <c r="G186" s="6">
        <v>5.0</v>
      </c>
      <c r="H186" s="6">
        <v>5547.0</v>
      </c>
      <c r="I186" s="6">
        <v>0.9895</v>
      </c>
      <c r="J186" s="6">
        <v>1.0</v>
      </c>
      <c r="K186" s="6">
        <v>1.0</v>
      </c>
      <c r="L186" s="6">
        <v>1.0</v>
      </c>
      <c r="M186" s="6">
        <v>0.9897</v>
      </c>
    </row>
    <row r="187">
      <c r="A187" s="5" t="s">
        <v>44</v>
      </c>
      <c r="B187" s="5" t="s">
        <v>163</v>
      </c>
      <c r="C187" s="5" t="s">
        <v>60</v>
      </c>
      <c r="D187" s="6">
        <v>5.0</v>
      </c>
      <c r="E187" s="6">
        <v>4.0</v>
      </c>
      <c r="F187" s="6">
        <v>4.0</v>
      </c>
      <c r="G187" s="6">
        <v>5.0</v>
      </c>
      <c r="H187" s="6">
        <v>5547.0</v>
      </c>
      <c r="I187" s="6">
        <v>1.0</v>
      </c>
      <c r="J187" s="6">
        <v>1.0</v>
      </c>
      <c r="K187" s="6">
        <v>1.0</v>
      </c>
      <c r="L187" s="6">
        <v>1.0</v>
      </c>
      <c r="M187" s="6">
        <v>1.0</v>
      </c>
    </row>
    <row r="188">
      <c r="A188" s="5" t="s">
        <v>44</v>
      </c>
      <c r="B188" s="5" t="s">
        <v>1857</v>
      </c>
      <c r="C188" s="5" t="s">
        <v>60</v>
      </c>
      <c r="D188" s="6">
        <v>5.0</v>
      </c>
      <c r="E188" s="6">
        <v>1.0</v>
      </c>
      <c r="F188" s="6">
        <v>4.0</v>
      </c>
      <c r="G188" s="6">
        <v>5.0</v>
      </c>
      <c r="H188" s="6">
        <v>2902.0</v>
      </c>
      <c r="I188" s="6">
        <v>0.5108</v>
      </c>
      <c r="J188" s="6">
        <v>0.5746</v>
      </c>
      <c r="K188" s="6">
        <v>0.0</v>
      </c>
      <c r="L188" s="6">
        <v>1.0</v>
      </c>
      <c r="M188" s="6">
        <v>0.5113</v>
      </c>
    </row>
    <row r="189">
      <c r="A189" s="5" t="s">
        <v>44</v>
      </c>
      <c r="B189" s="5" t="s">
        <v>1857</v>
      </c>
      <c r="C189" s="5" t="s">
        <v>60</v>
      </c>
      <c r="D189" s="6">
        <v>5.0</v>
      </c>
      <c r="E189" s="6">
        <v>2.0</v>
      </c>
      <c r="F189" s="6">
        <v>4.0</v>
      </c>
      <c r="G189" s="6">
        <v>5.0</v>
      </c>
      <c r="H189" s="6">
        <v>2902.0</v>
      </c>
      <c r="I189" s="6">
        <v>0.7706</v>
      </c>
      <c r="J189" s="6">
        <v>1.0</v>
      </c>
      <c r="K189" s="6">
        <v>0.6918</v>
      </c>
      <c r="L189" s="6">
        <v>1.0</v>
      </c>
      <c r="M189" s="6">
        <v>0.771</v>
      </c>
    </row>
    <row r="190">
      <c r="A190" s="5" t="s">
        <v>44</v>
      </c>
      <c r="B190" s="5" t="s">
        <v>1857</v>
      </c>
      <c r="C190" s="5" t="s">
        <v>60</v>
      </c>
      <c r="D190" s="6">
        <v>5.0</v>
      </c>
      <c r="E190" s="6">
        <v>3.0</v>
      </c>
      <c r="F190" s="6">
        <v>4.0</v>
      </c>
      <c r="G190" s="6">
        <v>5.0</v>
      </c>
      <c r="H190" s="6">
        <v>2902.0</v>
      </c>
      <c r="I190" s="6">
        <v>0.9869</v>
      </c>
      <c r="J190" s="6">
        <v>1.0</v>
      </c>
      <c r="K190" s="6">
        <v>1.0</v>
      </c>
      <c r="L190" s="6">
        <v>1.0</v>
      </c>
      <c r="M190" s="6">
        <v>0.987</v>
      </c>
    </row>
    <row r="191">
      <c r="A191" s="5" t="s">
        <v>44</v>
      </c>
      <c r="B191" s="5" t="s">
        <v>1857</v>
      </c>
      <c r="C191" s="5" t="s">
        <v>60</v>
      </c>
      <c r="D191" s="6">
        <v>5.0</v>
      </c>
      <c r="E191" s="6">
        <v>4.0</v>
      </c>
      <c r="F191" s="6">
        <v>4.0</v>
      </c>
      <c r="G191" s="6">
        <v>5.0</v>
      </c>
      <c r="H191" s="6">
        <v>2902.0</v>
      </c>
      <c r="I191" s="6">
        <v>1.0</v>
      </c>
      <c r="J191" s="6">
        <v>1.0</v>
      </c>
      <c r="K191" s="6">
        <v>1.0</v>
      </c>
      <c r="L191" s="6">
        <v>1.0</v>
      </c>
      <c r="M191" s="6">
        <v>1.0</v>
      </c>
    </row>
    <row r="192">
      <c r="A192" s="5" t="s">
        <v>369</v>
      </c>
      <c r="B192" s="5" t="s">
        <v>163</v>
      </c>
      <c r="C192" s="5" t="s">
        <v>56</v>
      </c>
      <c r="D192" s="6">
        <v>1.0</v>
      </c>
      <c r="E192" s="6">
        <v>1.0</v>
      </c>
      <c r="F192" s="6">
        <v>5.0</v>
      </c>
      <c r="G192" s="6">
        <v>2.0</v>
      </c>
      <c r="H192" s="6">
        <v>87067.0</v>
      </c>
      <c r="I192" s="6">
        <v>0.225</v>
      </c>
      <c r="J192" s="6">
        <v>0.0611</v>
      </c>
      <c r="K192" s="6">
        <v>0.0</v>
      </c>
      <c r="L192" s="6">
        <v>0.3503</v>
      </c>
      <c r="M192" s="6">
        <v>0.225</v>
      </c>
    </row>
    <row r="193">
      <c r="A193" s="5" t="s">
        <v>369</v>
      </c>
      <c r="B193" s="5" t="s">
        <v>163</v>
      </c>
      <c r="C193" s="5" t="s">
        <v>56</v>
      </c>
      <c r="D193" s="6">
        <v>1.0</v>
      </c>
      <c r="E193" s="6">
        <v>2.0</v>
      </c>
      <c r="F193" s="6">
        <v>5.0</v>
      </c>
      <c r="G193" s="6">
        <v>2.0</v>
      </c>
      <c r="H193" s="6">
        <v>87067.0</v>
      </c>
      <c r="I193" s="6">
        <v>0.4768</v>
      </c>
      <c r="J193" s="6">
        <v>0.4654</v>
      </c>
      <c r="K193" s="6">
        <v>0.0891</v>
      </c>
      <c r="L193" s="6">
        <v>0.8282</v>
      </c>
      <c r="M193" s="6">
        <v>0.4769</v>
      </c>
    </row>
    <row r="194">
      <c r="A194" s="5" t="s">
        <v>369</v>
      </c>
      <c r="B194" s="5" t="s">
        <v>163</v>
      </c>
      <c r="C194" s="5" t="s">
        <v>56</v>
      </c>
      <c r="D194" s="6">
        <v>1.0</v>
      </c>
      <c r="E194" s="6">
        <v>3.0</v>
      </c>
      <c r="F194" s="6">
        <v>5.0</v>
      </c>
      <c r="G194" s="6">
        <v>2.0</v>
      </c>
      <c r="H194" s="6">
        <v>87067.0</v>
      </c>
      <c r="I194" s="6">
        <v>0.7253</v>
      </c>
      <c r="J194" s="6">
        <v>0.8546</v>
      </c>
      <c r="K194" s="6">
        <v>0.5495</v>
      </c>
      <c r="L194" s="6">
        <v>1.0</v>
      </c>
      <c r="M194" s="6">
        <v>0.7253</v>
      </c>
    </row>
    <row r="195">
      <c r="A195" s="5" t="s">
        <v>369</v>
      </c>
      <c r="B195" s="5" t="s">
        <v>163</v>
      </c>
      <c r="C195" s="5" t="s">
        <v>56</v>
      </c>
      <c r="D195" s="6">
        <v>1.0</v>
      </c>
      <c r="E195" s="6">
        <v>4.0</v>
      </c>
      <c r="F195" s="6">
        <v>5.0</v>
      </c>
      <c r="G195" s="6">
        <v>2.0</v>
      </c>
      <c r="H195" s="6">
        <v>87067.0</v>
      </c>
      <c r="I195" s="6">
        <v>0.9822</v>
      </c>
      <c r="J195" s="6">
        <v>1.0</v>
      </c>
      <c r="K195" s="6">
        <v>1.0</v>
      </c>
      <c r="L195" s="6">
        <v>1.0</v>
      </c>
      <c r="M195" s="6">
        <v>0.9822</v>
      </c>
    </row>
    <row r="196">
      <c r="A196" s="5" t="s">
        <v>369</v>
      </c>
      <c r="B196" s="5" t="s">
        <v>163</v>
      </c>
      <c r="C196" s="5" t="s">
        <v>56</v>
      </c>
      <c r="D196" s="6">
        <v>1.0</v>
      </c>
      <c r="E196" s="6">
        <v>5.0</v>
      </c>
      <c r="F196" s="6">
        <v>5.0</v>
      </c>
      <c r="G196" s="6">
        <v>2.0</v>
      </c>
      <c r="H196" s="6">
        <v>87067.0</v>
      </c>
      <c r="I196" s="6">
        <v>1.0</v>
      </c>
      <c r="J196" s="6">
        <v>1.0</v>
      </c>
      <c r="K196" s="6">
        <v>1.0</v>
      </c>
      <c r="L196" s="6">
        <v>1.0</v>
      </c>
      <c r="M196" s="6">
        <v>1.0</v>
      </c>
    </row>
    <row r="197">
      <c r="A197" s="5" t="s">
        <v>369</v>
      </c>
      <c r="B197" s="5" t="s">
        <v>1857</v>
      </c>
      <c r="C197" s="5" t="s">
        <v>56</v>
      </c>
      <c r="D197" s="6">
        <v>1.0</v>
      </c>
      <c r="E197" s="6">
        <v>1.0</v>
      </c>
      <c r="F197" s="6">
        <v>5.0</v>
      </c>
      <c r="G197" s="6">
        <v>2.0</v>
      </c>
      <c r="H197" s="6">
        <v>63425.0</v>
      </c>
      <c r="I197" s="6">
        <v>0.2394</v>
      </c>
      <c r="J197" s="6">
        <v>0.1151</v>
      </c>
      <c r="K197" s="6">
        <v>0.0</v>
      </c>
      <c r="L197" s="6">
        <v>0.3805</v>
      </c>
      <c r="M197" s="6">
        <v>0.2394</v>
      </c>
    </row>
    <row r="198">
      <c r="A198" s="5" t="s">
        <v>369</v>
      </c>
      <c r="B198" s="5" t="s">
        <v>1857</v>
      </c>
      <c r="C198" s="5" t="s">
        <v>56</v>
      </c>
      <c r="D198" s="6">
        <v>1.0</v>
      </c>
      <c r="E198" s="6">
        <v>2.0</v>
      </c>
      <c r="F198" s="6">
        <v>5.0</v>
      </c>
      <c r="G198" s="6">
        <v>2.0</v>
      </c>
      <c r="H198" s="6">
        <v>63425.0</v>
      </c>
      <c r="I198" s="6">
        <v>0.4924</v>
      </c>
      <c r="J198" s="6">
        <v>0.4899</v>
      </c>
      <c r="K198" s="6">
        <v>0.1659</v>
      </c>
      <c r="L198" s="6">
        <v>0.8073</v>
      </c>
      <c r="M198" s="6">
        <v>0.4924</v>
      </c>
    </row>
    <row r="199">
      <c r="A199" s="5" t="s">
        <v>369</v>
      </c>
      <c r="B199" s="5" t="s">
        <v>1857</v>
      </c>
      <c r="C199" s="5" t="s">
        <v>56</v>
      </c>
      <c r="D199" s="6">
        <v>1.0</v>
      </c>
      <c r="E199" s="6">
        <v>3.0</v>
      </c>
      <c r="F199" s="6">
        <v>5.0</v>
      </c>
      <c r="G199" s="6">
        <v>2.0</v>
      </c>
      <c r="H199" s="6">
        <v>63425.0</v>
      </c>
      <c r="I199" s="6">
        <v>0.74</v>
      </c>
      <c r="J199" s="6">
        <v>0.8595</v>
      </c>
      <c r="K199" s="6">
        <v>0.5805</v>
      </c>
      <c r="L199" s="6">
        <v>1.0</v>
      </c>
      <c r="M199" s="6">
        <v>0.7401</v>
      </c>
    </row>
    <row r="200">
      <c r="A200" s="5" t="s">
        <v>369</v>
      </c>
      <c r="B200" s="5" t="s">
        <v>1857</v>
      </c>
      <c r="C200" s="5" t="s">
        <v>56</v>
      </c>
      <c r="D200" s="6">
        <v>1.0</v>
      </c>
      <c r="E200" s="6">
        <v>4.0</v>
      </c>
      <c r="F200" s="6">
        <v>5.0</v>
      </c>
      <c r="G200" s="6">
        <v>2.0</v>
      </c>
      <c r="H200" s="6">
        <v>63425.0</v>
      </c>
      <c r="I200" s="6">
        <v>0.9844</v>
      </c>
      <c r="J200" s="6">
        <v>1.0</v>
      </c>
      <c r="K200" s="6">
        <v>1.0</v>
      </c>
      <c r="L200" s="6">
        <v>1.0</v>
      </c>
      <c r="M200" s="6">
        <v>0.9844</v>
      </c>
    </row>
    <row r="201">
      <c r="A201" s="5" t="s">
        <v>369</v>
      </c>
      <c r="B201" s="5" t="s">
        <v>1857</v>
      </c>
      <c r="C201" s="5" t="s">
        <v>56</v>
      </c>
      <c r="D201" s="6">
        <v>1.0</v>
      </c>
      <c r="E201" s="6">
        <v>5.0</v>
      </c>
      <c r="F201" s="6">
        <v>5.0</v>
      </c>
      <c r="G201" s="6">
        <v>2.0</v>
      </c>
      <c r="H201" s="6">
        <v>63425.0</v>
      </c>
      <c r="I201" s="6">
        <v>1.0</v>
      </c>
      <c r="J201" s="6">
        <v>1.0</v>
      </c>
      <c r="K201" s="6">
        <v>1.0</v>
      </c>
      <c r="L201" s="6">
        <v>1.0</v>
      </c>
      <c r="M201" s="6">
        <v>1.0</v>
      </c>
    </row>
    <row r="202">
      <c r="A202" s="5" t="s">
        <v>369</v>
      </c>
      <c r="B202" s="5" t="s">
        <v>163</v>
      </c>
      <c r="C202" s="5" t="s">
        <v>57</v>
      </c>
      <c r="D202" s="6">
        <v>2.0</v>
      </c>
      <c r="E202" s="6">
        <v>1.0</v>
      </c>
      <c r="F202" s="6">
        <v>5.0</v>
      </c>
      <c r="G202" s="6">
        <v>2.0</v>
      </c>
      <c r="H202" s="6">
        <v>67495.0</v>
      </c>
      <c r="I202" s="6">
        <v>0.2436</v>
      </c>
      <c r="J202" s="6">
        <v>0.1531</v>
      </c>
      <c r="K202" s="6">
        <v>0.0</v>
      </c>
      <c r="L202" s="6">
        <v>0.3726</v>
      </c>
      <c r="M202" s="6">
        <v>0.2436</v>
      </c>
    </row>
    <row r="203">
      <c r="A203" s="5" t="s">
        <v>369</v>
      </c>
      <c r="B203" s="5" t="s">
        <v>163</v>
      </c>
      <c r="C203" s="5" t="s">
        <v>57</v>
      </c>
      <c r="D203" s="6">
        <v>2.0</v>
      </c>
      <c r="E203" s="6">
        <v>2.0</v>
      </c>
      <c r="F203" s="6">
        <v>5.0</v>
      </c>
      <c r="G203" s="6">
        <v>2.0</v>
      </c>
      <c r="H203" s="6">
        <v>67495.0</v>
      </c>
      <c r="I203" s="6">
        <v>0.5007</v>
      </c>
      <c r="J203" s="6">
        <v>0.4995</v>
      </c>
      <c r="K203" s="6">
        <v>0.2405</v>
      </c>
      <c r="L203" s="6">
        <v>0.7677</v>
      </c>
      <c r="M203" s="6">
        <v>0.5007</v>
      </c>
    </row>
    <row r="204">
      <c r="A204" s="5" t="s">
        <v>369</v>
      </c>
      <c r="B204" s="5" t="s">
        <v>163</v>
      </c>
      <c r="C204" s="5" t="s">
        <v>57</v>
      </c>
      <c r="D204" s="6">
        <v>2.0</v>
      </c>
      <c r="E204" s="6">
        <v>3.0</v>
      </c>
      <c r="F204" s="6">
        <v>5.0</v>
      </c>
      <c r="G204" s="6">
        <v>2.0</v>
      </c>
      <c r="H204" s="6">
        <v>67495.0</v>
      </c>
      <c r="I204" s="6">
        <v>0.7481</v>
      </c>
      <c r="J204" s="6">
        <v>0.8336</v>
      </c>
      <c r="K204" s="6">
        <v>0.6236</v>
      </c>
      <c r="L204" s="6">
        <v>1.0</v>
      </c>
      <c r="M204" s="6">
        <v>0.7481</v>
      </c>
    </row>
    <row r="205">
      <c r="A205" s="5" t="s">
        <v>369</v>
      </c>
      <c r="B205" s="5" t="s">
        <v>163</v>
      </c>
      <c r="C205" s="5" t="s">
        <v>57</v>
      </c>
      <c r="D205" s="6">
        <v>2.0</v>
      </c>
      <c r="E205" s="6">
        <v>4.0</v>
      </c>
      <c r="F205" s="6">
        <v>5.0</v>
      </c>
      <c r="G205" s="6">
        <v>2.0</v>
      </c>
      <c r="H205" s="6">
        <v>67495.0</v>
      </c>
      <c r="I205" s="6">
        <v>0.986</v>
      </c>
      <c r="J205" s="6">
        <v>1.0</v>
      </c>
      <c r="K205" s="6">
        <v>1.0</v>
      </c>
      <c r="L205" s="6">
        <v>1.0</v>
      </c>
      <c r="M205" s="6">
        <v>0.986</v>
      </c>
    </row>
    <row r="206">
      <c r="A206" s="5" t="s">
        <v>369</v>
      </c>
      <c r="B206" s="5" t="s">
        <v>163</v>
      </c>
      <c r="C206" s="5" t="s">
        <v>57</v>
      </c>
      <c r="D206" s="6">
        <v>2.0</v>
      </c>
      <c r="E206" s="6">
        <v>5.0</v>
      </c>
      <c r="F206" s="6">
        <v>5.0</v>
      </c>
      <c r="G206" s="6">
        <v>2.0</v>
      </c>
      <c r="H206" s="6">
        <v>67495.0</v>
      </c>
      <c r="I206" s="6">
        <v>1.0</v>
      </c>
      <c r="J206" s="6">
        <v>1.0</v>
      </c>
      <c r="K206" s="6">
        <v>1.0</v>
      </c>
      <c r="L206" s="6">
        <v>1.0</v>
      </c>
      <c r="M206" s="6">
        <v>1.0</v>
      </c>
    </row>
    <row r="207">
      <c r="A207" s="5" t="s">
        <v>369</v>
      </c>
      <c r="B207" s="5" t="s">
        <v>1857</v>
      </c>
      <c r="C207" s="5" t="s">
        <v>57</v>
      </c>
      <c r="D207" s="6">
        <v>2.0</v>
      </c>
      <c r="E207" s="6">
        <v>1.0</v>
      </c>
      <c r="F207" s="6">
        <v>5.0</v>
      </c>
      <c r="G207" s="6">
        <v>2.0</v>
      </c>
      <c r="H207" s="6">
        <v>39774.0</v>
      </c>
      <c r="I207" s="6">
        <v>0.2471</v>
      </c>
      <c r="J207" s="6">
        <v>0.1523</v>
      </c>
      <c r="K207" s="6">
        <v>0.0</v>
      </c>
      <c r="L207" s="6">
        <v>0.384</v>
      </c>
      <c r="M207" s="6">
        <v>0.2472</v>
      </c>
    </row>
    <row r="208">
      <c r="A208" s="5" t="s">
        <v>369</v>
      </c>
      <c r="B208" s="5" t="s">
        <v>1857</v>
      </c>
      <c r="C208" s="5" t="s">
        <v>57</v>
      </c>
      <c r="D208" s="6">
        <v>2.0</v>
      </c>
      <c r="E208" s="6">
        <v>2.0</v>
      </c>
      <c r="F208" s="6">
        <v>5.0</v>
      </c>
      <c r="G208" s="6">
        <v>2.0</v>
      </c>
      <c r="H208" s="6">
        <v>39774.0</v>
      </c>
      <c r="I208" s="6">
        <v>0.5066</v>
      </c>
      <c r="J208" s="6">
        <v>0.5132</v>
      </c>
      <c r="K208" s="6">
        <v>0.2322</v>
      </c>
      <c r="L208" s="6">
        <v>0.7883</v>
      </c>
      <c r="M208" s="6">
        <v>0.5066</v>
      </c>
    </row>
    <row r="209">
      <c r="A209" s="5" t="s">
        <v>369</v>
      </c>
      <c r="B209" s="5" t="s">
        <v>1857</v>
      </c>
      <c r="C209" s="5" t="s">
        <v>57</v>
      </c>
      <c r="D209" s="6">
        <v>2.0</v>
      </c>
      <c r="E209" s="6">
        <v>3.0</v>
      </c>
      <c r="F209" s="6">
        <v>5.0</v>
      </c>
      <c r="G209" s="6">
        <v>2.0</v>
      </c>
      <c r="H209" s="6">
        <v>39774.0</v>
      </c>
      <c r="I209" s="6">
        <v>0.7541</v>
      </c>
      <c r="J209" s="6">
        <v>0.8521</v>
      </c>
      <c r="K209" s="6">
        <v>0.6278</v>
      </c>
      <c r="L209" s="6">
        <v>0.9998</v>
      </c>
      <c r="M209" s="6">
        <v>0.754</v>
      </c>
    </row>
    <row r="210">
      <c r="A210" s="5" t="s">
        <v>369</v>
      </c>
      <c r="B210" s="5" t="s">
        <v>1857</v>
      </c>
      <c r="C210" s="5" t="s">
        <v>57</v>
      </c>
      <c r="D210" s="6">
        <v>2.0</v>
      </c>
      <c r="E210" s="6">
        <v>4.0</v>
      </c>
      <c r="F210" s="6">
        <v>5.0</v>
      </c>
      <c r="G210" s="6">
        <v>2.0</v>
      </c>
      <c r="H210" s="6">
        <v>39774.0</v>
      </c>
      <c r="I210" s="6">
        <v>0.9867</v>
      </c>
      <c r="J210" s="6">
        <v>1.0</v>
      </c>
      <c r="K210" s="6">
        <v>1.0</v>
      </c>
      <c r="L210" s="6">
        <v>1.0</v>
      </c>
      <c r="M210" s="6">
        <v>0.9867</v>
      </c>
    </row>
    <row r="211">
      <c r="A211" s="5" t="s">
        <v>369</v>
      </c>
      <c r="B211" s="5" t="s">
        <v>1857</v>
      </c>
      <c r="C211" s="5" t="s">
        <v>57</v>
      </c>
      <c r="D211" s="6">
        <v>2.0</v>
      </c>
      <c r="E211" s="6">
        <v>5.0</v>
      </c>
      <c r="F211" s="6">
        <v>5.0</v>
      </c>
      <c r="G211" s="6">
        <v>2.0</v>
      </c>
      <c r="H211" s="6">
        <v>39774.0</v>
      </c>
      <c r="I211" s="6">
        <v>1.0</v>
      </c>
      <c r="J211" s="6">
        <v>1.0</v>
      </c>
      <c r="K211" s="6">
        <v>1.0</v>
      </c>
      <c r="L211" s="6">
        <v>1.0</v>
      </c>
      <c r="M211" s="6">
        <v>1.0</v>
      </c>
    </row>
    <row r="212">
      <c r="A212" s="5" t="s">
        <v>369</v>
      </c>
      <c r="B212" s="5" t="s">
        <v>163</v>
      </c>
      <c r="C212" s="5" t="s">
        <v>58</v>
      </c>
      <c r="D212" s="6">
        <v>3.0</v>
      </c>
      <c r="E212" s="6">
        <v>1.0</v>
      </c>
      <c r="F212" s="6">
        <v>5.0</v>
      </c>
      <c r="G212" s="6">
        <v>2.0</v>
      </c>
      <c r="H212" s="6">
        <v>42405.0</v>
      </c>
      <c r="I212" s="6">
        <v>0.2557</v>
      </c>
      <c r="J212" s="6">
        <v>0.1926</v>
      </c>
      <c r="K212" s="6">
        <v>8.0E-4</v>
      </c>
      <c r="L212" s="6">
        <v>0.3804</v>
      </c>
      <c r="M212" s="6">
        <v>0.2557</v>
      </c>
    </row>
    <row r="213">
      <c r="A213" s="5" t="s">
        <v>369</v>
      </c>
      <c r="B213" s="5" t="s">
        <v>163</v>
      </c>
      <c r="C213" s="5" t="s">
        <v>58</v>
      </c>
      <c r="D213" s="6">
        <v>3.0</v>
      </c>
      <c r="E213" s="6">
        <v>2.0</v>
      </c>
      <c r="F213" s="6">
        <v>5.0</v>
      </c>
      <c r="G213" s="6">
        <v>2.0</v>
      </c>
      <c r="H213" s="6">
        <v>42405.0</v>
      </c>
      <c r="I213" s="6">
        <v>0.5202</v>
      </c>
      <c r="J213" s="6">
        <v>0.5302</v>
      </c>
      <c r="K213" s="6">
        <v>0.2995</v>
      </c>
      <c r="L213" s="6">
        <v>0.7646</v>
      </c>
      <c r="M213" s="6">
        <v>0.52</v>
      </c>
    </row>
    <row r="214">
      <c r="A214" s="5" t="s">
        <v>369</v>
      </c>
      <c r="B214" s="5" t="s">
        <v>163</v>
      </c>
      <c r="C214" s="5" t="s">
        <v>58</v>
      </c>
      <c r="D214" s="6">
        <v>3.0</v>
      </c>
      <c r="E214" s="6">
        <v>3.0</v>
      </c>
      <c r="F214" s="6">
        <v>5.0</v>
      </c>
      <c r="G214" s="6">
        <v>2.0</v>
      </c>
      <c r="H214" s="6">
        <v>42405.0</v>
      </c>
      <c r="I214" s="6">
        <v>0.7644</v>
      </c>
      <c r="J214" s="6">
        <v>0.8381</v>
      </c>
      <c r="K214" s="6">
        <v>0.6609</v>
      </c>
      <c r="L214" s="6">
        <v>0.9988</v>
      </c>
      <c r="M214" s="6">
        <v>0.7643</v>
      </c>
    </row>
    <row r="215">
      <c r="A215" s="5" t="s">
        <v>369</v>
      </c>
      <c r="B215" s="5" t="s">
        <v>163</v>
      </c>
      <c r="C215" s="5" t="s">
        <v>58</v>
      </c>
      <c r="D215" s="6">
        <v>3.0</v>
      </c>
      <c r="E215" s="6">
        <v>4.0</v>
      </c>
      <c r="F215" s="6">
        <v>5.0</v>
      </c>
      <c r="G215" s="6">
        <v>2.0</v>
      </c>
      <c r="H215" s="6">
        <v>42405.0</v>
      </c>
      <c r="I215" s="6">
        <v>0.9879</v>
      </c>
      <c r="J215" s="6">
        <v>1.0</v>
      </c>
      <c r="K215" s="6">
        <v>1.0</v>
      </c>
      <c r="L215" s="6">
        <v>1.0</v>
      </c>
      <c r="M215" s="6">
        <v>0.9879</v>
      </c>
    </row>
    <row r="216">
      <c r="A216" s="5" t="s">
        <v>369</v>
      </c>
      <c r="B216" s="5" t="s">
        <v>163</v>
      </c>
      <c r="C216" s="5" t="s">
        <v>58</v>
      </c>
      <c r="D216" s="6">
        <v>3.0</v>
      </c>
      <c r="E216" s="6">
        <v>5.0</v>
      </c>
      <c r="F216" s="6">
        <v>5.0</v>
      </c>
      <c r="G216" s="6">
        <v>2.0</v>
      </c>
      <c r="H216" s="6">
        <v>42405.0</v>
      </c>
      <c r="I216" s="6">
        <v>1.0</v>
      </c>
      <c r="J216" s="6">
        <v>1.0</v>
      </c>
      <c r="K216" s="6">
        <v>1.0</v>
      </c>
      <c r="L216" s="6">
        <v>1.0</v>
      </c>
      <c r="M216" s="6">
        <v>1.0</v>
      </c>
    </row>
    <row r="217">
      <c r="A217" s="5" t="s">
        <v>369</v>
      </c>
      <c r="B217" s="5" t="s">
        <v>1857</v>
      </c>
      <c r="C217" s="5" t="s">
        <v>58</v>
      </c>
      <c r="D217" s="6">
        <v>3.0</v>
      </c>
      <c r="E217" s="6">
        <v>1.0</v>
      </c>
      <c r="F217" s="6">
        <v>5.0</v>
      </c>
      <c r="G217" s="6">
        <v>2.0</v>
      </c>
      <c r="H217" s="6">
        <v>23747.0</v>
      </c>
      <c r="I217" s="6">
        <v>0.2582</v>
      </c>
      <c r="J217" s="6">
        <v>0.1723</v>
      </c>
      <c r="K217" s="6">
        <v>0.0</v>
      </c>
      <c r="L217" s="6">
        <v>0.3995</v>
      </c>
      <c r="M217" s="6">
        <v>0.2583</v>
      </c>
    </row>
    <row r="218">
      <c r="A218" s="5" t="s">
        <v>369</v>
      </c>
      <c r="B218" s="5" t="s">
        <v>1857</v>
      </c>
      <c r="C218" s="5" t="s">
        <v>58</v>
      </c>
      <c r="D218" s="6">
        <v>3.0</v>
      </c>
      <c r="E218" s="6">
        <v>2.0</v>
      </c>
      <c r="F218" s="6">
        <v>5.0</v>
      </c>
      <c r="G218" s="6">
        <v>2.0</v>
      </c>
      <c r="H218" s="6">
        <v>23747.0</v>
      </c>
      <c r="I218" s="6">
        <v>0.5247</v>
      </c>
      <c r="J218" s="6">
        <v>0.5423</v>
      </c>
      <c r="K218" s="6">
        <v>0.2679</v>
      </c>
      <c r="L218" s="6">
        <v>0.808</v>
      </c>
      <c r="M218" s="6">
        <v>0.5246</v>
      </c>
    </row>
    <row r="219">
      <c r="A219" s="5" t="s">
        <v>369</v>
      </c>
      <c r="B219" s="5" t="s">
        <v>1857</v>
      </c>
      <c r="C219" s="5" t="s">
        <v>58</v>
      </c>
      <c r="D219" s="6">
        <v>3.0</v>
      </c>
      <c r="E219" s="6">
        <v>3.0</v>
      </c>
      <c r="F219" s="6">
        <v>5.0</v>
      </c>
      <c r="G219" s="6">
        <v>2.0</v>
      </c>
      <c r="H219" s="6">
        <v>23747.0</v>
      </c>
      <c r="I219" s="6">
        <v>0.7641</v>
      </c>
      <c r="J219" s="6">
        <v>0.8588</v>
      </c>
      <c r="K219" s="6">
        <v>0.6555</v>
      </c>
      <c r="L219" s="6">
        <v>0.9998</v>
      </c>
      <c r="M219" s="6">
        <v>0.764</v>
      </c>
    </row>
    <row r="220">
      <c r="A220" s="5" t="s">
        <v>369</v>
      </c>
      <c r="B220" s="5" t="s">
        <v>1857</v>
      </c>
      <c r="C220" s="5" t="s">
        <v>58</v>
      </c>
      <c r="D220" s="6">
        <v>3.0</v>
      </c>
      <c r="E220" s="6">
        <v>4.0</v>
      </c>
      <c r="F220" s="6">
        <v>5.0</v>
      </c>
      <c r="G220" s="6">
        <v>2.0</v>
      </c>
      <c r="H220" s="6">
        <v>23747.0</v>
      </c>
      <c r="I220" s="6">
        <v>0.9874</v>
      </c>
      <c r="J220" s="6">
        <v>1.0</v>
      </c>
      <c r="K220" s="6">
        <v>1.0</v>
      </c>
      <c r="L220" s="6">
        <v>1.0</v>
      </c>
      <c r="M220" s="6">
        <v>0.9874</v>
      </c>
    </row>
    <row r="221">
      <c r="A221" s="5" t="s">
        <v>369</v>
      </c>
      <c r="B221" s="5" t="s">
        <v>1857</v>
      </c>
      <c r="C221" s="5" t="s">
        <v>58</v>
      </c>
      <c r="D221" s="6">
        <v>3.0</v>
      </c>
      <c r="E221" s="6">
        <v>5.0</v>
      </c>
      <c r="F221" s="6">
        <v>5.0</v>
      </c>
      <c r="G221" s="6">
        <v>2.0</v>
      </c>
      <c r="H221" s="6">
        <v>23747.0</v>
      </c>
      <c r="I221" s="6">
        <v>1.0</v>
      </c>
      <c r="J221" s="6">
        <v>1.0</v>
      </c>
      <c r="K221" s="6">
        <v>1.0</v>
      </c>
      <c r="L221" s="6">
        <v>1.0</v>
      </c>
      <c r="M221" s="6">
        <v>1.0</v>
      </c>
    </row>
    <row r="222">
      <c r="A222" s="5" t="s">
        <v>369</v>
      </c>
      <c r="B222" s="5" t="s">
        <v>163</v>
      </c>
      <c r="C222" s="5" t="s">
        <v>59</v>
      </c>
      <c r="D222" s="6">
        <v>4.0</v>
      </c>
      <c r="E222" s="6">
        <v>1.0</v>
      </c>
      <c r="F222" s="6">
        <v>5.0</v>
      </c>
      <c r="G222" s="6">
        <v>2.0</v>
      </c>
      <c r="H222" s="6">
        <v>19670.0</v>
      </c>
      <c r="I222" s="6">
        <v>0.3132</v>
      </c>
      <c r="J222" s="6">
        <v>0.2743</v>
      </c>
      <c r="K222" s="6">
        <v>0.0335</v>
      </c>
      <c r="L222" s="6">
        <v>0.4682</v>
      </c>
      <c r="M222" s="6">
        <v>0.3132</v>
      </c>
    </row>
    <row r="223">
      <c r="A223" s="5" t="s">
        <v>369</v>
      </c>
      <c r="B223" s="5" t="s">
        <v>163</v>
      </c>
      <c r="C223" s="5" t="s">
        <v>59</v>
      </c>
      <c r="D223" s="6">
        <v>4.0</v>
      </c>
      <c r="E223" s="6">
        <v>2.0</v>
      </c>
      <c r="F223" s="6">
        <v>5.0</v>
      </c>
      <c r="G223" s="6">
        <v>2.0</v>
      </c>
      <c r="H223" s="6">
        <v>19670.0</v>
      </c>
      <c r="I223" s="6">
        <v>0.5941</v>
      </c>
      <c r="J223" s="6">
        <v>0.6256</v>
      </c>
      <c r="K223" s="6">
        <v>0.3975</v>
      </c>
      <c r="L223" s="6">
        <v>0.8718</v>
      </c>
      <c r="M223" s="6">
        <v>0.5942</v>
      </c>
    </row>
    <row r="224">
      <c r="A224" s="5" t="s">
        <v>369</v>
      </c>
      <c r="B224" s="5" t="s">
        <v>163</v>
      </c>
      <c r="C224" s="5" t="s">
        <v>59</v>
      </c>
      <c r="D224" s="6">
        <v>4.0</v>
      </c>
      <c r="E224" s="6">
        <v>3.0</v>
      </c>
      <c r="F224" s="6">
        <v>5.0</v>
      </c>
      <c r="G224" s="6">
        <v>2.0</v>
      </c>
      <c r="H224" s="6">
        <v>19670.0</v>
      </c>
      <c r="I224" s="6">
        <v>0.8189</v>
      </c>
      <c r="J224" s="6">
        <v>0.9196</v>
      </c>
      <c r="K224" s="6">
        <v>0.7375</v>
      </c>
      <c r="L224" s="6">
        <v>1.0</v>
      </c>
      <c r="M224" s="6">
        <v>0.819</v>
      </c>
    </row>
    <row r="225">
      <c r="A225" s="5" t="s">
        <v>369</v>
      </c>
      <c r="B225" s="5" t="s">
        <v>163</v>
      </c>
      <c r="C225" s="5" t="s">
        <v>59</v>
      </c>
      <c r="D225" s="6">
        <v>4.0</v>
      </c>
      <c r="E225" s="6">
        <v>4.0</v>
      </c>
      <c r="F225" s="6">
        <v>5.0</v>
      </c>
      <c r="G225" s="6">
        <v>2.0</v>
      </c>
      <c r="H225" s="6">
        <v>19670.0</v>
      </c>
      <c r="I225" s="6">
        <v>0.992</v>
      </c>
      <c r="J225" s="6">
        <v>1.0</v>
      </c>
      <c r="K225" s="6">
        <v>1.0</v>
      </c>
      <c r="L225" s="6">
        <v>1.0</v>
      </c>
      <c r="M225" s="6">
        <v>0.992</v>
      </c>
    </row>
    <row r="226">
      <c r="A226" s="5" t="s">
        <v>369</v>
      </c>
      <c r="B226" s="5" t="s">
        <v>163</v>
      </c>
      <c r="C226" s="5" t="s">
        <v>59</v>
      </c>
      <c r="D226" s="6">
        <v>4.0</v>
      </c>
      <c r="E226" s="6">
        <v>5.0</v>
      </c>
      <c r="F226" s="6">
        <v>5.0</v>
      </c>
      <c r="G226" s="6">
        <v>2.0</v>
      </c>
      <c r="H226" s="6">
        <v>19670.0</v>
      </c>
      <c r="I226" s="6">
        <v>1.0</v>
      </c>
      <c r="J226" s="6">
        <v>1.0</v>
      </c>
      <c r="K226" s="6">
        <v>1.0</v>
      </c>
      <c r="L226" s="6">
        <v>1.0</v>
      </c>
      <c r="M226" s="6">
        <v>1.0</v>
      </c>
    </row>
    <row r="227">
      <c r="A227" s="5" t="s">
        <v>369</v>
      </c>
      <c r="B227" s="5" t="s">
        <v>1857</v>
      </c>
      <c r="C227" s="5" t="s">
        <v>59</v>
      </c>
      <c r="D227" s="6">
        <v>4.0</v>
      </c>
      <c r="E227" s="6">
        <v>1.0</v>
      </c>
      <c r="F227" s="6">
        <v>5.0</v>
      </c>
      <c r="G227" s="6">
        <v>2.0</v>
      </c>
      <c r="H227" s="6">
        <v>10461.0</v>
      </c>
      <c r="I227" s="6">
        <v>0.2989</v>
      </c>
      <c r="J227" s="6">
        <v>0.2375</v>
      </c>
      <c r="K227" s="6">
        <v>0.0</v>
      </c>
      <c r="L227" s="6">
        <v>0.4731</v>
      </c>
      <c r="M227" s="6">
        <v>0.299</v>
      </c>
    </row>
    <row r="228">
      <c r="A228" s="5" t="s">
        <v>369</v>
      </c>
      <c r="B228" s="5" t="s">
        <v>1857</v>
      </c>
      <c r="C228" s="5" t="s">
        <v>59</v>
      </c>
      <c r="D228" s="6">
        <v>4.0</v>
      </c>
      <c r="E228" s="6">
        <v>2.0</v>
      </c>
      <c r="F228" s="6">
        <v>5.0</v>
      </c>
      <c r="G228" s="6">
        <v>2.0</v>
      </c>
      <c r="H228" s="6">
        <v>10461.0</v>
      </c>
      <c r="I228" s="6">
        <v>0.5745</v>
      </c>
      <c r="J228" s="6">
        <v>0.6184</v>
      </c>
      <c r="K228" s="6">
        <v>0.3225</v>
      </c>
      <c r="L228" s="6">
        <v>0.9021</v>
      </c>
      <c r="M228" s="6">
        <v>0.5745</v>
      </c>
    </row>
    <row r="229">
      <c r="A229" s="5" t="s">
        <v>369</v>
      </c>
      <c r="B229" s="5" t="s">
        <v>1857</v>
      </c>
      <c r="C229" s="5" t="s">
        <v>59</v>
      </c>
      <c r="D229" s="6">
        <v>4.0</v>
      </c>
      <c r="E229" s="6">
        <v>3.0</v>
      </c>
      <c r="F229" s="6">
        <v>5.0</v>
      </c>
      <c r="G229" s="6">
        <v>2.0</v>
      </c>
      <c r="H229" s="6">
        <v>10461.0</v>
      </c>
      <c r="I229" s="6">
        <v>0.7987</v>
      </c>
      <c r="J229" s="6">
        <v>0.9255</v>
      </c>
      <c r="K229" s="6">
        <v>0.7132</v>
      </c>
      <c r="L229" s="6">
        <v>1.0</v>
      </c>
      <c r="M229" s="6">
        <v>0.7986</v>
      </c>
    </row>
    <row r="230">
      <c r="A230" s="5" t="s">
        <v>369</v>
      </c>
      <c r="B230" s="5" t="s">
        <v>1857</v>
      </c>
      <c r="C230" s="5" t="s">
        <v>59</v>
      </c>
      <c r="D230" s="6">
        <v>4.0</v>
      </c>
      <c r="E230" s="6">
        <v>4.0</v>
      </c>
      <c r="F230" s="6">
        <v>5.0</v>
      </c>
      <c r="G230" s="6">
        <v>2.0</v>
      </c>
      <c r="H230" s="6">
        <v>10461.0</v>
      </c>
      <c r="I230" s="6">
        <v>0.989</v>
      </c>
      <c r="J230" s="6">
        <v>1.0</v>
      </c>
      <c r="K230" s="6">
        <v>1.0</v>
      </c>
      <c r="L230" s="6">
        <v>1.0</v>
      </c>
      <c r="M230" s="6">
        <v>0.989</v>
      </c>
    </row>
    <row r="231">
      <c r="A231" s="5" t="s">
        <v>369</v>
      </c>
      <c r="B231" s="5" t="s">
        <v>1857</v>
      </c>
      <c r="C231" s="5" t="s">
        <v>59</v>
      </c>
      <c r="D231" s="6">
        <v>4.0</v>
      </c>
      <c r="E231" s="6">
        <v>5.0</v>
      </c>
      <c r="F231" s="6">
        <v>5.0</v>
      </c>
      <c r="G231" s="6">
        <v>2.0</v>
      </c>
      <c r="H231" s="6">
        <v>10461.0</v>
      </c>
      <c r="I231" s="6">
        <v>1.0</v>
      </c>
      <c r="J231" s="6">
        <v>1.0</v>
      </c>
      <c r="K231" s="6">
        <v>1.0</v>
      </c>
      <c r="L231" s="6">
        <v>1.0</v>
      </c>
      <c r="M231" s="6">
        <v>1.0</v>
      </c>
    </row>
    <row r="232">
      <c r="A232" s="5" t="s">
        <v>369</v>
      </c>
      <c r="B232" s="5" t="s">
        <v>163</v>
      </c>
      <c r="C232" s="5" t="s">
        <v>60</v>
      </c>
      <c r="D232" s="6">
        <v>5.0</v>
      </c>
      <c r="E232" s="6">
        <v>1.0</v>
      </c>
      <c r="F232" s="6">
        <v>5.0</v>
      </c>
      <c r="G232" s="6">
        <v>2.0</v>
      </c>
      <c r="H232" s="6">
        <v>2900.0</v>
      </c>
      <c r="I232" s="6">
        <v>0.3978</v>
      </c>
      <c r="J232" s="6">
        <v>0.3826</v>
      </c>
      <c r="K232" s="6">
        <v>0.0</v>
      </c>
      <c r="L232" s="6">
        <v>0.7165</v>
      </c>
      <c r="M232" s="6">
        <v>0.3983</v>
      </c>
    </row>
    <row r="233">
      <c r="A233" s="5" t="s">
        <v>369</v>
      </c>
      <c r="B233" s="5" t="s">
        <v>163</v>
      </c>
      <c r="C233" s="5" t="s">
        <v>60</v>
      </c>
      <c r="D233" s="6">
        <v>5.0</v>
      </c>
      <c r="E233" s="6">
        <v>2.0</v>
      </c>
      <c r="F233" s="6">
        <v>5.0</v>
      </c>
      <c r="G233" s="6">
        <v>2.0</v>
      </c>
      <c r="H233" s="6">
        <v>2900.0</v>
      </c>
      <c r="I233" s="6">
        <v>0.674</v>
      </c>
      <c r="J233" s="6">
        <v>0.9559</v>
      </c>
      <c r="K233" s="6">
        <v>0.2574</v>
      </c>
      <c r="L233" s="6">
        <v>1.0</v>
      </c>
      <c r="M233" s="6">
        <v>0.6747</v>
      </c>
    </row>
    <row r="234">
      <c r="A234" s="5" t="s">
        <v>369</v>
      </c>
      <c r="B234" s="5" t="s">
        <v>163</v>
      </c>
      <c r="C234" s="5" t="s">
        <v>60</v>
      </c>
      <c r="D234" s="6">
        <v>5.0</v>
      </c>
      <c r="E234" s="6">
        <v>3.0</v>
      </c>
      <c r="F234" s="6">
        <v>5.0</v>
      </c>
      <c r="G234" s="6">
        <v>2.0</v>
      </c>
      <c r="H234" s="6">
        <v>2900.0</v>
      </c>
      <c r="I234" s="6">
        <v>0.8448</v>
      </c>
      <c r="J234" s="6">
        <v>1.0</v>
      </c>
      <c r="K234" s="6">
        <v>0.9051</v>
      </c>
      <c r="L234" s="6">
        <v>1.0</v>
      </c>
      <c r="M234" s="6">
        <v>0.8453</v>
      </c>
    </row>
    <row r="235">
      <c r="A235" s="5" t="s">
        <v>369</v>
      </c>
      <c r="B235" s="5" t="s">
        <v>163</v>
      </c>
      <c r="C235" s="5" t="s">
        <v>60</v>
      </c>
      <c r="D235" s="6">
        <v>5.0</v>
      </c>
      <c r="E235" s="6">
        <v>4.0</v>
      </c>
      <c r="F235" s="6">
        <v>5.0</v>
      </c>
      <c r="G235" s="6">
        <v>2.0</v>
      </c>
      <c r="H235" s="6">
        <v>2900.0</v>
      </c>
      <c r="I235" s="6">
        <v>0.9895</v>
      </c>
      <c r="J235" s="6">
        <v>1.0</v>
      </c>
      <c r="K235" s="6">
        <v>1.0</v>
      </c>
      <c r="L235" s="6">
        <v>1.0</v>
      </c>
      <c r="M235" s="6">
        <v>0.9896</v>
      </c>
    </row>
    <row r="236">
      <c r="A236" s="5" t="s">
        <v>369</v>
      </c>
      <c r="B236" s="5" t="s">
        <v>163</v>
      </c>
      <c r="C236" s="5" t="s">
        <v>60</v>
      </c>
      <c r="D236" s="6">
        <v>5.0</v>
      </c>
      <c r="E236" s="6">
        <v>5.0</v>
      </c>
      <c r="F236" s="6">
        <v>5.0</v>
      </c>
      <c r="G236" s="6">
        <v>2.0</v>
      </c>
      <c r="H236" s="6">
        <v>2900.0</v>
      </c>
      <c r="I236" s="6">
        <v>1.0</v>
      </c>
      <c r="J236" s="6">
        <v>1.0</v>
      </c>
      <c r="K236" s="6">
        <v>1.0</v>
      </c>
      <c r="L236" s="6">
        <v>1.0</v>
      </c>
      <c r="M236" s="6">
        <v>1.0</v>
      </c>
    </row>
    <row r="237">
      <c r="A237" s="5" t="s">
        <v>369</v>
      </c>
      <c r="B237" s="5" t="s">
        <v>1857</v>
      </c>
      <c r="C237" s="5" t="s">
        <v>60</v>
      </c>
      <c r="D237" s="6">
        <v>5.0</v>
      </c>
      <c r="E237" s="6">
        <v>1.0</v>
      </c>
      <c r="F237" s="6">
        <v>5.0</v>
      </c>
      <c r="G237" s="6">
        <v>2.0</v>
      </c>
      <c r="H237" s="6">
        <v>1497.0</v>
      </c>
      <c r="I237" s="6">
        <v>0.3993</v>
      </c>
      <c r="J237" s="6">
        <v>0.3421</v>
      </c>
      <c r="K237" s="6">
        <v>0.0</v>
      </c>
      <c r="L237" s="6">
        <v>0.754</v>
      </c>
      <c r="M237" s="6">
        <v>0.3995</v>
      </c>
    </row>
    <row r="238">
      <c r="A238" s="5" t="s">
        <v>369</v>
      </c>
      <c r="B238" s="5" t="s">
        <v>1857</v>
      </c>
      <c r="C238" s="5" t="s">
        <v>60</v>
      </c>
      <c r="D238" s="6">
        <v>5.0</v>
      </c>
      <c r="E238" s="6">
        <v>2.0</v>
      </c>
      <c r="F238" s="6">
        <v>5.0</v>
      </c>
      <c r="G238" s="6">
        <v>2.0</v>
      </c>
      <c r="H238" s="6">
        <v>1497.0</v>
      </c>
      <c r="I238" s="6">
        <v>0.6621</v>
      </c>
      <c r="J238" s="6">
        <v>0.9353</v>
      </c>
      <c r="K238" s="6">
        <v>0.2044</v>
      </c>
      <c r="L238" s="6">
        <v>1.0</v>
      </c>
      <c r="M238" s="6">
        <v>0.6623</v>
      </c>
    </row>
    <row r="239">
      <c r="A239" s="5" t="s">
        <v>369</v>
      </c>
      <c r="B239" s="5" t="s">
        <v>1857</v>
      </c>
      <c r="C239" s="5" t="s">
        <v>60</v>
      </c>
      <c r="D239" s="6">
        <v>5.0</v>
      </c>
      <c r="E239" s="6">
        <v>3.0</v>
      </c>
      <c r="F239" s="6">
        <v>5.0</v>
      </c>
      <c r="G239" s="6">
        <v>2.0</v>
      </c>
      <c r="H239" s="6">
        <v>1497.0</v>
      </c>
      <c r="I239" s="6">
        <v>0.8329</v>
      </c>
      <c r="J239" s="6">
        <v>1.0</v>
      </c>
      <c r="K239" s="6">
        <v>0.8775</v>
      </c>
      <c r="L239" s="6">
        <v>1.0</v>
      </c>
      <c r="M239" s="6">
        <v>0.8332</v>
      </c>
    </row>
    <row r="240">
      <c r="A240" s="5" t="s">
        <v>369</v>
      </c>
      <c r="B240" s="5" t="s">
        <v>1857</v>
      </c>
      <c r="C240" s="5" t="s">
        <v>60</v>
      </c>
      <c r="D240" s="6">
        <v>5.0</v>
      </c>
      <c r="E240" s="6">
        <v>4.0</v>
      </c>
      <c r="F240" s="6">
        <v>5.0</v>
      </c>
      <c r="G240" s="6">
        <v>2.0</v>
      </c>
      <c r="H240" s="6">
        <v>1497.0</v>
      </c>
      <c r="I240" s="6">
        <v>0.9891</v>
      </c>
      <c r="J240" s="6">
        <v>1.0</v>
      </c>
      <c r="K240" s="6">
        <v>1.0</v>
      </c>
      <c r="L240" s="6">
        <v>1.0</v>
      </c>
      <c r="M240" s="6">
        <v>0.9893</v>
      </c>
    </row>
    <row r="241">
      <c r="A241" s="5" t="s">
        <v>369</v>
      </c>
      <c r="B241" s="5" t="s">
        <v>1857</v>
      </c>
      <c r="C241" s="5" t="s">
        <v>60</v>
      </c>
      <c r="D241" s="6">
        <v>5.0</v>
      </c>
      <c r="E241" s="6">
        <v>5.0</v>
      </c>
      <c r="F241" s="6">
        <v>5.0</v>
      </c>
      <c r="G241" s="6">
        <v>2.0</v>
      </c>
      <c r="H241" s="6">
        <v>1497.0</v>
      </c>
      <c r="I241" s="6">
        <v>1.0</v>
      </c>
      <c r="J241" s="6">
        <v>1.0</v>
      </c>
      <c r="K241" s="6">
        <v>1.0</v>
      </c>
      <c r="L241" s="6">
        <v>1.0</v>
      </c>
      <c r="M241" s="6">
        <v>1.0</v>
      </c>
    </row>
    <row r="242">
      <c r="A242" s="5" t="s">
        <v>50</v>
      </c>
      <c r="B242" s="5" t="s">
        <v>163</v>
      </c>
      <c r="C242" s="5" t="s">
        <v>56</v>
      </c>
      <c r="D242" s="6">
        <v>1.0</v>
      </c>
      <c r="E242" s="6">
        <v>1.0</v>
      </c>
      <c r="F242" s="6">
        <v>2.0</v>
      </c>
      <c r="G242" s="6">
        <v>5.0</v>
      </c>
      <c r="H242" s="6">
        <v>89972.0</v>
      </c>
      <c r="I242" s="6">
        <v>0.937</v>
      </c>
      <c r="J242" s="6">
        <v>1.0</v>
      </c>
      <c r="K242" s="6">
        <v>1.0</v>
      </c>
      <c r="L242" s="6">
        <v>1.0</v>
      </c>
      <c r="M242" s="6">
        <v>0.9379</v>
      </c>
    </row>
    <row r="243">
      <c r="A243" s="5" t="s">
        <v>50</v>
      </c>
      <c r="B243" s="5" t="s">
        <v>163</v>
      </c>
      <c r="C243" s="5" t="s">
        <v>56</v>
      </c>
      <c r="D243" s="6">
        <v>1.0</v>
      </c>
      <c r="E243" s="6">
        <v>2.0</v>
      </c>
      <c r="F243" s="6">
        <v>2.0</v>
      </c>
      <c r="G243" s="6">
        <v>5.0</v>
      </c>
      <c r="H243" s="6">
        <v>89972.0</v>
      </c>
      <c r="I243" s="6">
        <v>1.0</v>
      </c>
      <c r="J243" s="6">
        <v>1.0</v>
      </c>
      <c r="K243" s="6">
        <v>1.0</v>
      </c>
      <c r="L243" s="6">
        <v>1.0</v>
      </c>
      <c r="M243" s="6">
        <v>1.0</v>
      </c>
    </row>
    <row r="244">
      <c r="A244" s="5" t="s">
        <v>50</v>
      </c>
      <c r="B244" s="5" t="s">
        <v>1857</v>
      </c>
      <c r="C244" s="5" t="s">
        <v>56</v>
      </c>
      <c r="D244" s="6">
        <v>1.0</v>
      </c>
      <c r="E244" s="6">
        <v>1.0</v>
      </c>
      <c r="F244" s="6">
        <v>2.0</v>
      </c>
      <c r="G244" s="6">
        <v>5.0</v>
      </c>
      <c r="H244" s="6">
        <v>64365.0</v>
      </c>
      <c r="I244" s="6">
        <v>0.9369</v>
      </c>
      <c r="J244" s="6">
        <v>1.0</v>
      </c>
      <c r="K244" s="6">
        <v>1.0</v>
      </c>
      <c r="L244" s="6">
        <v>1.0</v>
      </c>
      <c r="M244" s="6">
        <v>0.9377</v>
      </c>
    </row>
    <row r="245">
      <c r="A245" s="5" t="s">
        <v>50</v>
      </c>
      <c r="B245" s="5" t="s">
        <v>1857</v>
      </c>
      <c r="C245" s="5" t="s">
        <v>56</v>
      </c>
      <c r="D245" s="6">
        <v>1.0</v>
      </c>
      <c r="E245" s="6">
        <v>2.0</v>
      </c>
      <c r="F245" s="6">
        <v>2.0</v>
      </c>
      <c r="G245" s="6">
        <v>5.0</v>
      </c>
      <c r="H245" s="6">
        <v>64365.0</v>
      </c>
      <c r="I245" s="6">
        <v>1.0</v>
      </c>
      <c r="J245" s="6">
        <v>1.0</v>
      </c>
      <c r="K245" s="6">
        <v>1.0</v>
      </c>
      <c r="L245" s="6">
        <v>1.0</v>
      </c>
      <c r="M245" s="6">
        <v>1.0</v>
      </c>
    </row>
    <row r="246">
      <c r="A246" s="5" t="s">
        <v>50</v>
      </c>
      <c r="B246" s="5" t="s">
        <v>163</v>
      </c>
      <c r="C246" s="5" t="s">
        <v>57</v>
      </c>
      <c r="D246" s="6">
        <v>2.0</v>
      </c>
      <c r="E246" s="6">
        <v>1.0</v>
      </c>
      <c r="F246" s="6">
        <v>2.0</v>
      </c>
      <c r="G246" s="6">
        <v>5.0</v>
      </c>
      <c r="H246" s="6">
        <v>76386.0</v>
      </c>
      <c r="I246" s="6">
        <v>0.9402</v>
      </c>
      <c r="J246" s="6">
        <v>1.0</v>
      </c>
      <c r="K246" s="6">
        <v>0.9974</v>
      </c>
      <c r="L246" s="6">
        <v>1.0</v>
      </c>
      <c r="M246" s="6">
        <v>0.9422</v>
      </c>
    </row>
    <row r="247">
      <c r="A247" s="5" t="s">
        <v>50</v>
      </c>
      <c r="B247" s="5" t="s">
        <v>163</v>
      </c>
      <c r="C247" s="5" t="s">
        <v>57</v>
      </c>
      <c r="D247" s="6">
        <v>2.0</v>
      </c>
      <c r="E247" s="6">
        <v>2.0</v>
      </c>
      <c r="F247" s="6">
        <v>2.0</v>
      </c>
      <c r="G247" s="6">
        <v>5.0</v>
      </c>
      <c r="H247" s="6">
        <v>76386.0</v>
      </c>
      <c r="I247" s="6">
        <v>1.0</v>
      </c>
      <c r="J247" s="6">
        <v>1.0</v>
      </c>
      <c r="K247" s="6">
        <v>1.0</v>
      </c>
      <c r="L247" s="6">
        <v>1.0</v>
      </c>
      <c r="M247" s="6">
        <v>1.0</v>
      </c>
    </row>
    <row r="248">
      <c r="A248" s="5" t="s">
        <v>50</v>
      </c>
      <c r="B248" s="5" t="s">
        <v>1857</v>
      </c>
      <c r="C248" s="5" t="s">
        <v>57</v>
      </c>
      <c r="D248" s="6">
        <v>2.0</v>
      </c>
      <c r="E248" s="6">
        <v>1.0</v>
      </c>
      <c r="F248" s="6">
        <v>2.0</v>
      </c>
      <c r="G248" s="6">
        <v>5.0</v>
      </c>
      <c r="H248" s="6">
        <v>44440.0</v>
      </c>
      <c r="I248" s="6">
        <v>0.9366</v>
      </c>
      <c r="J248" s="6">
        <v>1.0</v>
      </c>
      <c r="K248" s="6">
        <v>0.9997</v>
      </c>
      <c r="L248" s="6">
        <v>1.0</v>
      </c>
      <c r="M248" s="6">
        <v>0.939</v>
      </c>
    </row>
    <row r="249">
      <c r="A249" s="5" t="s">
        <v>50</v>
      </c>
      <c r="B249" s="5" t="s">
        <v>1857</v>
      </c>
      <c r="C249" s="5" t="s">
        <v>57</v>
      </c>
      <c r="D249" s="6">
        <v>2.0</v>
      </c>
      <c r="E249" s="6">
        <v>2.0</v>
      </c>
      <c r="F249" s="6">
        <v>2.0</v>
      </c>
      <c r="G249" s="6">
        <v>5.0</v>
      </c>
      <c r="H249" s="6">
        <v>44440.0</v>
      </c>
      <c r="I249" s="6">
        <v>1.0</v>
      </c>
      <c r="J249" s="6">
        <v>1.0</v>
      </c>
      <c r="K249" s="6">
        <v>1.0</v>
      </c>
      <c r="L249" s="6">
        <v>1.0</v>
      </c>
      <c r="M249" s="6">
        <v>1.0</v>
      </c>
    </row>
    <row r="250">
      <c r="A250" s="5" t="s">
        <v>50</v>
      </c>
      <c r="B250" s="5" t="s">
        <v>163</v>
      </c>
      <c r="C250" s="5" t="s">
        <v>58</v>
      </c>
      <c r="D250" s="6">
        <v>3.0</v>
      </c>
      <c r="E250" s="6">
        <v>1.0</v>
      </c>
      <c r="F250" s="6">
        <v>2.0</v>
      </c>
      <c r="G250" s="6">
        <v>5.0</v>
      </c>
      <c r="H250" s="6">
        <v>50102.0</v>
      </c>
      <c r="I250" s="6">
        <v>0.9421</v>
      </c>
      <c r="J250" s="6">
        <v>1.0</v>
      </c>
      <c r="K250" s="6">
        <v>0.9764</v>
      </c>
      <c r="L250" s="6">
        <v>1.0</v>
      </c>
      <c r="M250" s="6">
        <v>0.9444</v>
      </c>
    </row>
    <row r="251">
      <c r="A251" s="5" t="s">
        <v>50</v>
      </c>
      <c r="B251" s="5" t="s">
        <v>163</v>
      </c>
      <c r="C251" s="5" t="s">
        <v>58</v>
      </c>
      <c r="D251" s="6">
        <v>3.0</v>
      </c>
      <c r="E251" s="6">
        <v>2.0</v>
      </c>
      <c r="F251" s="6">
        <v>2.0</v>
      </c>
      <c r="G251" s="6">
        <v>5.0</v>
      </c>
      <c r="H251" s="6">
        <v>50102.0</v>
      </c>
      <c r="I251" s="6">
        <v>1.0</v>
      </c>
      <c r="J251" s="6">
        <v>1.0</v>
      </c>
      <c r="K251" s="6">
        <v>1.0</v>
      </c>
      <c r="L251" s="6">
        <v>1.0</v>
      </c>
      <c r="M251" s="6">
        <v>1.0</v>
      </c>
    </row>
    <row r="252">
      <c r="A252" s="5" t="s">
        <v>50</v>
      </c>
      <c r="B252" s="5" t="s">
        <v>1857</v>
      </c>
      <c r="C252" s="5" t="s">
        <v>58</v>
      </c>
      <c r="D252" s="6">
        <v>3.0</v>
      </c>
      <c r="E252" s="6">
        <v>1.0</v>
      </c>
      <c r="F252" s="6">
        <v>2.0</v>
      </c>
      <c r="G252" s="6">
        <v>5.0</v>
      </c>
      <c r="H252" s="6">
        <v>27068.0</v>
      </c>
      <c r="I252" s="6">
        <v>0.9361</v>
      </c>
      <c r="J252" s="6">
        <v>1.0</v>
      </c>
      <c r="K252" s="6">
        <v>0.9842</v>
      </c>
      <c r="L252" s="6">
        <v>1.0</v>
      </c>
      <c r="M252" s="6">
        <v>0.9387</v>
      </c>
    </row>
    <row r="253">
      <c r="A253" s="5" t="s">
        <v>50</v>
      </c>
      <c r="B253" s="5" t="s">
        <v>1857</v>
      </c>
      <c r="C253" s="5" t="s">
        <v>58</v>
      </c>
      <c r="D253" s="6">
        <v>3.0</v>
      </c>
      <c r="E253" s="6">
        <v>2.0</v>
      </c>
      <c r="F253" s="6">
        <v>2.0</v>
      </c>
      <c r="G253" s="6">
        <v>5.0</v>
      </c>
      <c r="H253" s="6">
        <v>27068.0</v>
      </c>
      <c r="I253" s="6">
        <v>1.0</v>
      </c>
      <c r="J253" s="6">
        <v>1.0</v>
      </c>
      <c r="K253" s="6">
        <v>1.0</v>
      </c>
      <c r="L253" s="6">
        <v>1.0</v>
      </c>
      <c r="M253" s="6">
        <v>1.0</v>
      </c>
    </row>
    <row r="254">
      <c r="A254" s="5" t="s">
        <v>50</v>
      </c>
      <c r="B254" s="5" t="s">
        <v>163</v>
      </c>
      <c r="C254" s="5" t="s">
        <v>59</v>
      </c>
      <c r="D254" s="6">
        <v>4.0</v>
      </c>
      <c r="E254" s="6">
        <v>1.0</v>
      </c>
      <c r="F254" s="6">
        <v>2.0</v>
      </c>
      <c r="G254" s="6">
        <v>5.0</v>
      </c>
      <c r="H254" s="6">
        <v>25145.0</v>
      </c>
      <c r="I254" s="6">
        <v>0.9479</v>
      </c>
      <c r="J254" s="6">
        <v>1.0</v>
      </c>
      <c r="K254" s="6">
        <v>0.9752</v>
      </c>
      <c r="L254" s="6">
        <v>1.0</v>
      </c>
      <c r="M254" s="6">
        <v>0.9495</v>
      </c>
    </row>
    <row r="255">
      <c r="A255" s="5" t="s">
        <v>50</v>
      </c>
      <c r="B255" s="5" t="s">
        <v>163</v>
      </c>
      <c r="C255" s="5" t="s">
        <v>59</v>
      </c>
      <c r="D255" s="6">
        <v>4.0</v>
      </c>
      <c r="E255" s="6">
        <v>2.0</v>
      </c>
      <c r="F255" s="6">
        <v>2.0</v>
      </c>
      <c r="G255" s="6">
        <v>5.0</v>
      </c>
      <c r="H255" s="6">
        <v>25145.0</v>
      </c>
      <c r="I255" s="6">
        <v>1.0</v>
      </c>
      <c r="J255" s="6">
        <v>1.0</v>
      </c>
      <c r="K255" s="6">
        <v>1.0</v>
      </c>
      <c r="L255" s="6">
        <v>1.0</v>
      </c>
      <c r="M255" s="6">
        <v>1.0</v>
      </c>
    </row>
    <row r="256">
      <c r="A256" s="5" t="s">
        <v>50</v>
      </c>
      <c r="B256" s="5" t="s">
        <v>1857</v>
      </c>
      <c r="C256" s="5" t="s">
        <v>59</v>
      </c>
      <c r="D256" s="6">
        <v>4.0</v>
      </c>
      <c r="E256" s="6">
        <v>1.0</v>
      </c>
      <c r="F256" s="6">
        <v>2.0</v>
      </c>
      <c r="G256" s="6">
        <v>5.0</v>
      </c>
      <c r="H256" s="6">
        <v>13189.0</v>
      </c>
      <c r="I256" s="6">
        <v>0.939</v>
      </c>
      <c r="J256" s="6">
        <v>1.0</v>
      </c>
      <c r="K256" s="6">
        <v>0.9759</v>
      </c>
      <c r="L256" s="6">
        <v>1.0</v>
      </c>
      <c r="M256" s="6">
        <v>0.9407</v>
      </c>
    </row>
    <row r="257">
      <c r="A257" s="5" t="s">
        <v>50</v>
      </c>
      <c r="B257" s="5" t="s">
        <v>1857</v>
      </c>
      <c r="C257" s="5" t="s">
        <v>59</v>
      </c>
      <c r="D257" s="6">
        <v>4.0</v>
      </c>
      <c r="E257" s="6">
        <v>2.0</v>
      </c>
      <c r="F257" s="6">
        <v>2.0</v>
      </c>
      <c r="G257" s="6">
        <v>5.0</v>
      </c>
      <c r="H257" s="6">
        <v>13189.0</v>
      </c>
      <c r="I257" s="6">
        <v>1.0</v>
      </c>
      <c r="J257" s="6">
        <v>1.0</v>
      </c>
      <c r="K257" s="6">
        <v>1.0</v>
      </c>
      <c r="L257" s="6">
        <v>1.0</v>
      </c>
      <c r="M257" s="6">
        <v>1.0</v>
      </c>
    </row>
    <row r="258">
      <c r="A258" s="5" t="s">
        <v>50</v>
      </c>
      <c r="B258" s="5" t="s">
        <v>163</v>
      </c>
      <c r="C258" s="5" t="s">
        <v>60</v>
      </c>
      <c r="D258" s="6">
        <v>5.0</v>
      </c>
      <c r="E258" s="6">
        <v>1.0</v>
      </c>
      <c r="F258" s="6">
        <v>2.0</v>
      </c>
      <c r="G258" s="6">
        <v>5.0</v>
      </c>
      <c r="H258" s="6">
        <v>4100.0</v>
      </c>
      <c r="I258" s="6">
        <v>0.9534</v>
      </c>
      <c r="J258" s="6">
        <v>1.0</v>
      </c>
      <c r="K258" s="6">
        <v>0.9724</v>
      </c>
      <c r="L258" s="6">
        <v>1.0</v>
      </c>
      <c r="M258" s="6">
        <v>0.9535</v>
      </c>
    </row>
    <row r="259">
      <c r="A259" s="5" t="s">
        <v>50</v>
      </c>
      <c r="B259" s="5" t="s">
        <v>163</v>
      </c>
      <c r="C259" s="5" t="s">
        <v>60</v>
      </c>
      <c r="D259" s="6">
        <v>5.0</v>
      </c>
      <c r="E259" s="6">
        <v>2.0</v>
      </c>
      <c r="F259" s="6">
        <v>2.0</v>
      </c>
      <c r="G259" s="6">
        <v>5.0</v>
      </c>
      <c r="H259" s="6">
        <v>4100.0</v>
      </c>
      <c r="I259" s="6">
        <v>1.0</v>
      </c>
      <c r="J259" s="6">
        <v>1.0</v>
      </c>
      <c r="K259" s="6">
        <v>1.0</v>
      </c>
      <c r="L259" s="6">
        <v>1.0</v>
      </c>
      <c r="M259" s="6">
        <v>1.0</v>
      </c>
    </row>
    <row r="260">
      <c r="A260" s="5" t="s">
        <v>50</v>
      </c>
      <c r="B260" s="5" t="s">
        <v>1857</v>
      </c>
      <c r="C260" s="5" t="s">
        <v>60</v>
      </c>
      <c r="D260" s="6">
        <v>5.0</v>
      </c>
      <c r="E260" s="6">
        <v>1.0</v>
      </c>
      <c r="F260" s="6">
        <v>2.0</v>
      </c>
      <c r="G260" s="6">
        <v>5.0</v>
      </c>
      <c r="H260" s="6">
        <v>2104.0</v>
      </c>
      <c r="I260" s="6">
        <v>0.9432</v>
      </c>
      <c r="J260" s="6">
        <v>1.0</v>
      </c>
      <c r="K260" s="6">
        <v>0.9708</v>
      </c>
      <c r="L260" s="6">
        <v>1.0</v>
      </c>
      <c r="M260" s="6">
        <v>0.9431</v>
      </c>
    </row>
    <row r="261">
      <c r="A261" s="5" t="s">
        <v>50</v>
      </c>
      <c r="B261" s="5" t="s">
        <v>1857</v>
      </c>
      <c r="C261" s="5" t="s">
        <v>60</v>
      </c>
      <c r="D261" s="6">
        <v>5.0</v>
      </c>
      <c r="E261" s="6">
        <v>2.0</v>
      </c>
      <c r="F261" s="6">
        <v>2.0</v>
      </c>
      <c r="G261" s="6">
        <v>5.0</v>
      </c>
      <c r="H261" s="6">
        <v>2104.0</v>
      </c>
      <c r="I261" s="6">
        <v>1.0</v>
      </c>
      <c r="J261" s="6">
        <v>1.0</v>
      </c>
      <c r="K261" s="6">
        <v>1.0</v>
      </c>
      <c r="L261" s="6">
        <v>1.0</v>
      </c>
      <c r="M261" s="6">
        <v>1.0</v>
      </c>
    </row>
    <row r="262">
      <c r="A262" s="5" t="s">
        <v>157</v>
      </c>
      <c r="B262" s="5" t="s">
        <v>163</v>
      </c>
      <c r="C262" s="5" t="s">
        <v>56</v>
      </c>
      <c r="D262" s="6">
        <v>1.0</v>
      </c>
      <c r="E262" s="6">
        <v>1.0</v>
      </c>
      <c r="F262" s="6">
        <v>3.0</v>
      </c>
      <c r="G262" s="6">
        <v>1.0</v>
      </c>
      <c r="H262" s="6">
        <v>1.0</v>
      </c>
      <c r="I262" s="6">
        <v>0.4247</v>
      </c>
      <c r="J262" s="6">
        <v>0.4247</v>
      </c>
      <c r="K262" s="6">
        <v>0.4247</v>
      </c>
      <c r="L262" s="6">
        <v>0.4247</v>
      </c>
      <c r="M262" s="6">
        <v>0.4</v>
      </c>
    </row>
    <row r="263">
      <c r="A263" s="5" t="s">
        <v>157</v>
      </c>
      <c r="B263" s="5" t="s">
        <v>163</v>
      </c>
      <c r="C263" s="5" t="s">
        <v>56</v>
      </c>
      <c r="D263" s="6">
        <v>1.0</v>
      </c>
      <c r="E263" s="6">
        <v>2.0</v>
      </c>
      <c r="F263" s="6">
        <v>3.0</v>
      </c>
      <c r="G263" s="6">
        <v>1.0</v>
      </c>
      <c r="H263" s="6">
        <v>1.0</v>
      </c>
      <c r="I263" s="6">
        <v>1.0</v>
      </c>
      <c r="J263" s="6">
        <v>1.0</v>
      </c>
      <c r="K263" s="6">
        <v>1.0</v>
      </c>
      <c r="L263" s="6">
        <v>1.0</v>
      </c>
      <c r="M263" s="6">
        <v>1.0</v>
      </c>
    </row>
    <row r="264">
      <c r="A264" s="5" t="s">
        <v>157</v>
      </c>
      <c r="B264" s="5" t="s">
        <v>163</v>
      </c>
      <c r="C264" s="5" t="s">
        <v>56</v>
      </c>
      <c r="D264" s="6">
        <v>1.0</v>
      </c>
      <c r="E264" s="6">
        <v>3.0</v>
      </c>
      <c r="F264" s="6">
        <v>3.0</v>
      </c>
      <c r="G264" s="6">
        <v>1.0</v>
      </c>
      <c r="H264" s="6">
        <v>1.0</v>
      </c>
      <c r="I264" s="6">
        <v>1.0</v>
      </c>
      <c r="J264" s="6">
        <v>1.0</v>
      </c>
      <c r="K264" s="6">
        <v>1.0</v>
      </c>
      <c r="L264" s="6">
        <v>1.0</v>
      </c>
      <c r="M264" s="6">
        <v>1.0</v>
      </c>
    </row>
    <row r="265">
      <c r="A265" s="5" t="s">
        <v>157</v>
      </c>
      <c r="B265" s="5" t="s">
        <v>1857</v>
      </c>
      <c r="C265" s="5" t="s">
        <v>57</v>
      </c>
      <c r="D265" s="6">
        <v>2.0</v>
      </c>
      <c r="E265" s="6">
        <v>1.0</v>
      </c>
      <c r="F265" s="6">
        <v>3.0</v>
      </c>
      <c r="G265" s="6">
        <v>1.0</v>
      </c>
      <c r="H265" s="6">
        <v>1.0</v>
      </c>
      <c r="I265" s="6">
        <v>0.725</v>
      </c>
      <c r="J265" s="6">
        <v>0.725</v>
      </c>
      <c r="K265" s="6">
        <v>0.725</v>
      </c>
      <c r="L265" s="6">
        <v>0.725</v>
      </c>
      <c r="M265" s="6">
        <v>0.6842</v>
      </c>
    </row>
    <row r="266">
      <c r="A266" s="5" t="s">
        <v>157</v>
      </c>
      <c r="B266" s="5" t="s">
        <v>1857</v>
      </c>
      <c r="C266" s="5" t="s">
        <v>57</v>
      </c>
      <c r="D266" s="6">
        <v>2.0</v>
      </c>
      <c r="E266" s="6">
        <v>2.0</v>
      </c>
      <c r="F266" s="6">
        <v>3.0</v>
      </c>
      <c r="G266" s="6">
        <v>1.0</v>
      </c>
      <c r="H266" s="6">
        <v>1.0</v>
      </c>
      <c r="I266" s="6">
        <v>1.0</v>
      </c>
      <c r="J266" s="6">
        <v>1.0</v>
      </c>
      <c r="K266" s="6">
        <v>1.0</v>
      </c>
      <c r="L266" s="6">
        <v>1.0</v>
      </c>
      <c r="M266" s="6">
        <v>1.0</v>
      </c>
    </row>
    <row r="267">
      <c r="A267" s="5" t="s">
        <v>157</v>
      </c>
      <c r="B267" s="5" t="s">
        <v>1857</v>
      </c>
      <c r="C267" s="5" t="s">
        <v>57</v>
      </c>
      <c r="D267" s="6">
        <v>2.0</v>
      </c>
      <c r="E267" s="6">
        <v>3.0</v>
      </c>
      <c r="F267" s="6">
        <v>3.0</v>
      </c>
      <c r="G267" s="6">
        <v>1.0</v>
      </c>
      <c r="H267" s="6">
        <v>1.0</v>
      </c>
      <c r="I267" s="6">
        <v>1.0</v>
      </c>
      <c r="J267" s="6">
        <v>1.0</v>
      </c>
      <c r="K267" s="6">
        <v>1.0</v>
      </c>
      <c r="L267" s="6">
        <v>1.0</v>
      </c>
      <c r="M267" s="6">
        <v>1.0</v>
      </c>
    </row>
    <row r="268">
      <c r="A268" s="5" t="s">
        <v>35</v>
      </c>
      <c r="B268" s="5" t="s">
        <v>163</v>
      </c>
      <c r="C268" s="5" t="s">
        <v>56</v>
      </c>
      <c r="D268" s="6">
        <v>1.0</v>
      </c>
      <c r="E268" s="6">
        <v>1.0</v>
      </c>
      <c r="F268" s="6">
        <v>5.0</v>
      </c>
      <c r="G268" s="6">
        <v>1.0</v>
      </c>
      <c r="H268" s="6">
        <v>50256.0</v>
      </c>
      <c r="I268" s="6">
        <v>0.2441</v>
      </c>
      <c r="J268" s="6">
        <v>0.026</v>
      </c>
      <c r="K268" s="6">
        <v>0.0</v>
      </c>
      <c r="L268" s="6">
        <v>0.4045</v>
      </c>
      <c r="M268" s="6">
        <v>0.2441</v>
      </c>
    </row>
    <row r="269">
      <c r="A269" s="5" t="s">
        <v>35</v>
      </c>
      <c r="B269" s="5" t="s">
        <v>163</v>
      </c>
      <c r="C269" s="5" t="s">
        <v>56</v>
      </c>
      <c r="D269" s="6">
        <v>1.0</v>
      </c>
      <c r="E269" s="6">
        <v>2.0</v>
      </c>
      <c r="F269" s="6">
        <v>5.0</v>
      </c>
      <c r="G269" s="6">
        <v>1.0</v>
      </c>
      <c r="H269" s="6">
        <v>50256.0</v>
      </c>
      <c r="I269" s="6">
        <v>0.4842</v>
      </c>
      <c r="J269" s="6">
        <v>0.4723</v>
      </c>
      <c r="K269" s="6">
        <v>0.0225</v>
      </c>
      <c r="L269" s="6">
        <v>0.9409</v>
      </c>
      <c r="M269" s="6">
        <v>0.4841</v>
      </c>
    </row>
    <row r="270">
      <c r="A270" s="5" t="s">
        <v>35</v>
      </c>
      <c r="B270" s="5" t="s">
        <v>163</v>
      </c>
      <c r="C270" s="5" t="s">
        <v>56</v>
      </c>
      <c r="D270" s="6">
        <v>1.0</v>
      </c>
      <c r="E270" s="6">
        <v>3.0</v>
      </c>
      <c r="F270" s="6">
        <v>5.0</v>
      </c>
      <c r="G270" s="6">
        <v>1.0</v>
      </c>
      <c r="H270" s="6">
        <v>50256.0</v>
      </c>
      <c r="I270" s="6">
        <v>0.7286</v>
      </c>
      <c r="J270" s="6">
        <v>0.9179</v>
      </c>
      <c r="K270" s="6">
        <v>0.5292</v>
      </c>
      <c r="L270" s="6">
        <v>1.0</v>
      </c>
      <c r="M270" s="6">
        <v>0.7286</v>
      </c>
    </row>
    <row r="271">
      <c r="A271" s="5" t="s">
        <v>35</v>
      </c>
      <c r="B271" s="5" t="s">
        <v>163</v>
      </c>
      <c r="C271" s="5" t="s">
        <v>56</v>
      </c>
      <c r="D271" s="6">
        <v>1.0</v>
      </c>
      <c r="E271" s="6">
        <v>4.0</v>
      </c>
      <c r="F271" s="6">
        <v>5.0</v>
      </c>
      <c r="G271" s="6">
        <v>1.0</v>
      </c>
      <c r="H271" s="6">
        <v>50256.0</v>
      </c>
      <c r="I271" s="6">
        <v>0.9833</v>
      </c>
      <c r="J271" s="6">
        <v>1.0</v>
      </c>
      <c r="K271" s="6">
        <v>1.0</v>
      </c>
      <c r="L271" s="6">
        <v>1.0</v>
      </c>
      <c r="M271" s="6">
        <v>0.9833</v>
      </c>
    </row>
    <row r="272">
      <c r="A272" s="5" t="s">
        <v>35</v>
      </c>
      <c r="B272" s="5" t="s">
        <v>163</v>
      </c>
      <c r="C272" s="5" t="s">
        <v>56</v>
      </c>
      <c r="D272" s="6">
        <v>1.0</v>
      </c>
      <c r="E272" s="6">
        <v>5.0</v>
      </c>
      <c r="F272" s="6">
        <v>5.0</v>
      </c>
      <c r="G272" s="6">
        <v>1.0</v>
      </c>
      <c r="H272" s="6">
        <v>50256.0</v>
      </c>
      <c r="I272" s="6">
        <v>1.0</v>
      </c>
      <c r="J272" s="6">
        <v>1.0</v>
      </c>
      <c r="K272" s="6">
        <v>1.0</v>
      </c>
      <c r="L272" s="6">
        <v>1.0</v>
      </c>
      <c r="M272" s="6">
        <v>1.0</v>
      </c>
    </row>
    <row r="273">
      <c r="A273" s="5" t="s">
        <v>35</v>
      </c>
      <c r="B273" s="5" t="s">
        <v>1857</v>
      </c>
      <c r="C273" s="5" t="s">
        <v>56</v>
      </c>
      <c r="D273" s="6">
        <v>1.0</v>
      </c>
      <c r="E273" s="6">
        <v>1.0</v>
      </c>
      <c r="F273" s="6">
        <v>5.0</v>
      </c>
      <c r="G273" s="6">
        <v>1.0</v>
      </c>
      <c r="H273" s="6">
        <v>38430.0</v>
      </c>
      <c r="I273" s="6">
        <v>0.2602</v>
      </c>
      <c r="J273" s="6">
        <v>0.0324</v>
      </c>
      <c r="K273" s="6">
        <v>0.0</v>
      </c>
      <c r="L273" s="6">
        <v>0.4615</v>
      </c>
      <c r="M273" s="6">
        <v>0.2603</v>
      </c>
    </row>
    <row r="274">
      <c r="A274" s="5" t="s">
        <v>35</v>
      </c>
      <c r="B274" s="5" t="s">
        <v>1857</v>
      </c>
      <c r="C274" s="5" t="s">
        <v>56</v>
      </c>
      <c r="D274" s="6">
        <v>1.0</v>
      </c>
      <c r="E274" s="6">
        <v>2.0</v>
      </c>
      <c r="F274" s="6">
        <v>5.0</v>
      </c>
      <c r="G274" s="6">
        <v>1.0</v>
      </c>
      <c r="H274" s="6">
        <v>38430.0</v>
      </c>
      <c r="I274" s="6">
        <v>0.5067</v>
      </c>
      <c r="J274" s="6">
        <v>0.5029</v>
      </c>
      <c r="K274" s="6">
        <v>0.0364</v>
      </c>
      <c r="L274" s="6">
        <v>0.9885</v>
      </c>
      <c r="M274" s="6">
        <v>0.5068</v>
      </c>
    </row>
    <row r="275">
      <c r="A275" s="5" t="s">
        <v>35</v>
      </c>
      <c r="B275" s="5" t="s">
        <v>1857</v>
      </c>
      <c r="C275" s="5" t="s">
        <v>56</v>
      </c>
      <c r="D275" s="6">
        <v>1.0</v>
      </c>
      <c r="E275" s="6">
        <v>3.0</v>
      </c>
      <c r="F275" s="6">
        <v>5.0</v>
      </c>
      <c r="G275" s="6">
        <v>1.0</v>
      </c>
      <c r="H275" s="6">
        <v>38430.0</v>
      </c>
      <c r="I275" s="6">
        <v>0.7472</v>
      </c>
      <c r="J275" s="6">
        <v>0.9774</v>
      </c>
      <c r="K275" s="6">
        <v>0.5572</v>
      </c>
      <c r="L275" s="6">
        <v>1.0</v>
      </c>
      <c r="M275" s="6">
        <v>0.7472</v>
      </c>
    </row>
    <row r="276">
      <c r="A276" s="5" t="s">
        <v>35</v>
      </c>
      <c r="B276" s="5" t="s">
        <v>1857</v>
      </c>
      <c r="C276" s="5" t="s">
        <v>56</v>
      </c>
      <c r="D276" s="6">
        <v>1.0</v>
      </c>
      <c r="E276" s="6">
        <v>4.0</v>
      </c>
      <c r="F276" s="6">
        <v>5.0</v>
      </c>
      <c r="G276" s="6">
        <v>1.0</v>
      </c>
      <c r="H276" s="6">
        <v>38430.0</v>
      </c>
      <c r="I276" s="6">
        <v>0.9847</v>
      </c>
      <c r="J276" s="6">
        <v>1.0</v>
      </c>
      <c r="K276" s="6">
        <v>1.0</v>
      </c>
      <c r="L276" s="6">
        <v>1.0</v>
      </c>
      <c r="M276" s="6">
        <v>0.9846</v>
      </c>
    </row>
    <row r="277">
      <c r="A277" s="5" t="s">
        <v>35</v>
      </c>
      <c r="B277" s="5" t="s">
        <v>1857</v>
      </c>
      <c r="C277" s="5" t="s">
        <v>56</v>
      </c>
      <c r="D277" s="6">
        <v>1.0</v>
      </c>
      <c r="E277" s="6">
        <v>5.0</v>
      </c>
      <c r="F277" s="6">
        <v>5.0</v>
      </c>
      <c r="G277" s="6">
        <v>1.0</v>
      </c>
      <c r="H277" s="6">
        <v>38430.0</v>
      </c>
      <c r="I277" s="6">
        <v>1.0</v>
      </c>
      <c r="J277" s="6">
        <v>1.0</v>
      </c>
      <c r="K277" s="6">
        <v>1.0</v>
      </c>
      <c r="L277" s="6">
        <v>1.0</v>
      </c>
      <c r="M277" s="6">
        <v>1.0</v>
      </c>
    </row>
    <row r="278">
      <c r="A278" s="5" t="s">
        <v>35</v>
      </c>
      <c r="B278" s="5" t="s">
        <v>163</v>
      </c>
      <c r="C278" s="5" t="s">
        <v>57</v>
      </c>
      <c r="D278" s="6">
        <v>2.0</v>
      </c>
      <c r="E278" s="6">
        <v>1.0</v>
      </c>
      <c r="F278" s="6">
        <v>5.0</v>
      </c>
      <c r="G278" s="6">
        <v>1.0</v>
      </c>
      <c r="H278" s="6">
        <v>40636.0</v>
      </c>
      <c r="I278" s="6">
        <v>0.2704</v>
      </c>
      <c r="J278" s="6">
        <v>0.1574</v>
      </c>
      <c r="K278" s="6">
        <v>0.0</v>
      </c>
      <c r="L278" s="6">
        <v>0.4349</v>
      </c>
      <c r="M278" s="6">
        <v>0.2703</v>
      </c>
    </row>
    <row r="279">
      <c r="A279" s="5" t="s">
        <v>35</v>
      </c>
      <c r="B279" s="5" t="s">
        <v>163</v>
      </c>
      <c r="C279" s="5" t="s">
        <v>57</v>
      </c>
      <c r="D279" s="6">
        <v>2.0</v>
      </c>
      <c r="E279" s="6">
        <v>2.0</v>
      </c>
      <c r="F279" s="6">
        <v>5.0</v>
      </c>
      <c r="G279" s="6">
        <v>1.0</v>
      </c>
      <c r="H279" s="6">
        <v>40636.0</v>
      </c>
      <c r="I279" s="6">
        <v>0.5124</v>
      </c>
      <c r="J279" s="6">
        <v>0.5105</v>
      </c>
      <c r="K279" s="6">
        <v>0.2074</v>
      </c>
      <c r="L279" s="6">
        <v>0.8405</v>
      </c>
      <c r="M279" s="6">
        <v>0.5123</v>
      </c>
    </row>
    <row r="280">
      <c r="A280" s="5" t="s">
        <v>35</v>
      </c>
      <c r="B280" s="5" t="s">
        <v>163</v>
      </c>
      <c r="C280" s="5" t="s">
        <v>57</v>
      </c>
      <c r="D280" s="6">
        <v>2.0</v>
      </c>
      <c r="E280" s="6">
        <v>3.0</v>
      </c>
      <c r="F280" s="6">
        <v>5.0</v>
      </c>
      <c r="G280" s="6">
        <v>1.0</v>
      </c>
      <c r="H280" s="6">
        <v>40636.0</v>
      </c>
      <c r="I280" s="6">
        <v>0.7468</v>
      </c>
      <c r="J280" s="6">
        <v>0.8593</v>
      </c>
      <c r="K280" s="6">
        <v>0.5945</v>
      </c>
      <c r="L280" s="6">
        <v>1.0</v>
      </c>
      <c r="M280" s="6">
        <v>0.7467</v>
      </c>
    </row>
    <row r="281">
      <c r="A281" s="5" t="s">
        <v>35</v>
      </c>
      <c r="B281" s="5" t="s">
        <v>163</v>
      </c>
      <c r="C281" s="5" t="s">
        <v>57</v>
      </c>
      <c r="D281" s="6">
        <v>2.0</v>
      </c>
      <c r="E281" s="6">
        <v>4.0</v>
      </c>
      <c r="F281" s="6">
        <v>5.0</v>
      </c>
      <c r="G281" s="6">
        <v>1.0</v>
      </c>
      <c r="H281" s="6">
        <v>40636.0</v>
      </c>
      <c r="I281" s="6">
        <v>0.9869</v>
      </c>
      <c r="J281" s="6">
        <v>1.0</v>
      </c>
      <c r="K281" s="6">
        <v>1.0</v>
      </c>
      <c r="L281" s="6">
        <v>1.0</v>
      </c>
      <c r="M281" s="6">
        <v>0.9868</v>
      </c>
    </row>
    <row r="282">
      <c r="A282" s="5" t="s">
        <v>35</v>
      </c>
      <c r="B282" s="5" t="s">
        <v>163</v>
      </c>
      <c r="C282" s="5" t="s">
        <v>57</v>
      </c>
      <c r="D282" s="6">
        <v>2.0</v>
      </c>
      <c r="E282" s="6">
        <v>5.0</v>
      </c>
      <c r="F282" s="6">
        <v>5.0</v>
      </c>
      <c r="G282" s="6">
        <v>1.0</v>
      </c>
      <c r="H282" s="6">
        <v>40636.0</v>
      </c>
      <c r="I282" s="6">
        <v>1.0</v>
      </c>
      <c r="J282" s="6">
        <v>1.0</v>
      </c>
      <c r="K282" s="6">
        <v>1.0</v>
      </c>
      <c r="L282" s="6">
        <v>1.0</v>
      </c>
      <c r="M282" s="6">
        <v>1.0</v>
      </c>
    </row>
    <row r="283">
      <c r="A283" s="5" t="s">
        <v>35</v>
      </c>
      <c r="B283" s="5" t="s">
        <v>1857</v>
      </c>
      <c r="C283" s="5" t="s">
        <v>57</v>
      </c>
      <c r="D283" s="6">
        <v>2.0</v>
      </c>
      <c r="E283" s="6">
        <v>1.0</v>
      </c>
      <c r="F283" s="6">
        <v>5.0</v>
      </c>
      <c r="G283" s="6">
        <v>1.0</v>
      </c>
      <c r="H283" s="6">
        <v>22994.0</v>
      </c>
      <c r="I283" s="6">
        <v>0.2758</v>
      </c>
      <c r="J283" s="6">
        <v>0.1429</v>
      </c>
      <c r="K283" s="6">
        <v>0.0</v>
      </c>
      <c r="L283" s="6">
        <v>0.4604</v>
      </c>
      <c r="M283" s="6">
        <v>0.2758</v>
      </c>
    </row>
    <row r="284">
      <c r="A284" s="5" t="s">
        <v>35</v>
      </c>
      <c r="B284" s="5" t="s">
        <v>1857</v>
      </c>
      <c r="C284" s="5" t="s">
        <v>57</v>
      </c>
      <c r="D284" s="6">
        <v>2.0</v>
      </c>
      <c r="E284" s="6">
        <v>2.0</v>
      </c>
      <c r="F284" s="6">
        <v>5.0</v>
      </c>
      <c r="G284" s="6">
        <v>1.0</v>
      </c>
      <c r="H284" s="6">
        <v>22994.0</v>
      </c>
      <c r="I284" s="6">
        <v>0.5213</v>
      </c>
      <c r="J284" s="6">
        <v>0.5255</v>
      </c>
      <c r="K284" s="6">
        <v>0.191</v>
      </c>
      <c r="L284" s="6">
        <v>0.887</v>
      </c>
      <c r="M284" s="6">
        <v>0.5212</v>
      </c>
    </row>
    <row r="285">
      <c r="A285" s="5" t="s">
        <v>35</v>
      </c>
      <c r="B285" s="5" t="s">
        <v>1857</v>
      </c>
      <c r="C285" s="5" t="s">
        <v>57</v>
      </c>
      <c r="D285" s="6">
        <v>2.0</v>
      </c>
      <c r="E285" s="6">
        <v>3.0</v>
      </c>
      <c r="F285" s="6">
        <v>5.0</v>
      </c>
      <c r="G285" s="6">
        <v>1.0</v>
      </c>
      <c r="H285" s="6">
        <v>22994.0</v>
      </c>
      <c r="I285" s="6">
        <v>0.7559</v>
      </c>
      <c r="J285" s="6">
        <v>0.8962</v>
      </c>
      <c r="K285" s="6">
        <v>0.6029</v>
      </c>
      <c r="L285" s="6">
        <v>1.0</v>
      </c>
      <c r="M285" s="6">
        <v>0.7558</v>
      </c>
    </row>
    <row r="286">
      <c r="A286" s="5" t="s">
        <v>35</v>
      </c>
      <c r="B286" s="5" t="s">
        <v>1857</v>
      </c>
      <c r="C286" s="5" t="s">
        <v>57</v>
      </c>
      <c r="D286" s="6">
        <v>2.0</v>
      </c>
      <c r="E286" s="6">
        <v>4.0</v>
      </c>
      <c r="F286" s="6">
        <v>5.0</v>
      </c>
      <c r="G286" s="6">
        <v>1.0</v>
      </c>
      <c r="H286" s="6">
        <v>22994.0</v>
      </c>
      <c r="I286" s="6">
        <v>0.9865</v>
      </c>
      <c r="J286" s="6">
        <v>1.0</v>
      </c>
      <c r="K286" s="6">
        <v>1.0</v>
      </c>
      <c r="L286" s="6">
        <v>1.0</v>
      </c>
      <c r="M286" s="6">
        <v>0.9865</v>
      </c>
    </row>
    <row r="287">
      <c r="A287" s="5" t="s">
        <v>35</v>
      </c>
      <c r="B287" s="5" t="s">
        <v>1857</v>
      </c>
      <c r="C287" s="5" t="s">
        <v>57</v>
      </c>
      <c r="D287" s="6">
        <v>2.0</v>
      </c>
      <c r="E287" s="6">
        <v>5.0</v>
      </c>
      <c r="F287" s="6">
        <v>5.0</v>
      </c>
      <c r="G287" s="6">
        <v>1.0</v>
      </c>
      <c r="H287" s="6">
        <v>22994.0</v>
      </c>
      <c r="I287" s="6">
        <v>1.0</v>
      </c>
      <c r="J287" s="6">
        <v>1.0</v>
      </c>
      <c r="K287" s="6">
        <v>1.0</v>
      </c>
      <c r="L287" s="6">
        <v>1.0</v>
      </c>
      <c r="M287" s="6">
        <v>1.0</v>
      </c>
    </row>
    <row r="288">
      <c r="A288" s="5" t="s">
        <v>35</v>
      </c>
      <c r="B288" s="5" t="s">
        <v>163</v>
      </c>
      <c r="C288" s="5" t="s">
        <v>58</v>
      </c>
      <c r="D288" s="6">
        <v>3.0</v>
      </c>
      <c r="E288" s="6">
        <v>1.0</v>
      </c>
      <c r="F288" s="6">
        <v>5.0</v>
      </c>
      <c r="G288" s="6">
        <v>1.0</v>
      </c>
      <c r="H288" s="6">
        <v>25078.0</v>
      </c>
      <c r="I288" s="6">
        <v>0.2711</v>
      </c>
      <c r="J288" s="6">
        <v>0.1971</v>
      </c>
      <c r="K288" s="6">
        <v>0.0013</v>
      </c>
      <c r="L288" s="6">
        <v>0.4067</v>
      </c>
      <c r="M288" s="6">
        <v>0.271</v>
      </c>
    </row>
    <row r="289">
      <c r="A289" s="5" t="s">
        <v>35</v>
      </c>
      <c r="B289" s="5" t="s">
        <v>163</v>
      </c>
      <c r="C289" s="5" t="s">
        <v>58</v>
      </c>
      <c r="D289" s="6">
        <v>3.0</v>
      </c>
      <c r="E289" s="6">
        <v>2.0</v>
      </c>
      <c r="F289" s="6">
        <v>5.0</v>
      </c>
      <c r="G289" s="6">
        <v>1.0</v>
      </c>
      <c r="H289" s="6">
        <v>25078.0</v>
      </c>
      <c r="I289" s="6">
        <v>0.5193</v>
      </c>
      <c r="J289" s="6">
        <v>0.5206</v>
      </c>
      <c r="K289" s="6">
        <v>0.2858</v>
      </c>
      <c r="L289" s="6">
        <v>0.7792</v>
      </c>
      <c r="M289" s="6">
        <v>0.5192</v>
      </c>
    </row>
    <row r="290">
      <c r="A290" s="5" t="s">
        <v>35</v>
      </c>
      <c r="B290" s="5" t="s">
        <v>163</v>
      </c>
      <c r="C290" s="5" t="s">
        <v>58</v>
      </c>
      <c r="D290" s="6">
        <v>3.0</v>
      </c>
      <c r="E290" s="6">
        <v>3.0</v>
      </c>
      <c r="F290" s="6">
        <v>5.0</v>
      </c>
      <c r="G290" s="6">
        <v>1.0</v>
      </c>
      <c r="H290" s="6">
        <v>25078.0</v>
      </c>
      <c r="I290" s="6">
        <v>0.7504</v>
      </c>
      <c r="J290" s="6">
        <v>0.8222</v>
      </c>
      <c r="K290" s="6">
        <v>0.6269</v>
      </c>
      <c r="L290" s="6">
        <v>0.9994</v>
      </c>
      <c r="M290" s="6">
        <v>0.7503</v>
      </c>
    </row>
    <row r="291">
      <c r="A291" s="5" t="s">
        <v>35</v>
      </c>
      <c r="B291" s="5" t="s">
        <v>163</v>
      </c>
      <c r="C291" s="5" t="s">
        <v>58</v>
      </c>
      <c r="D291" s="6">
        <v>3.0</v>
      </c>
      <c r="E291" s="6">
        <v>4.0</v>
      </c>
      <c r="F291" s="6">
        <v>5.0</v>
      </c>
      <c r="G291" s="6">
        <v>1.0</v>
      </c>
      <c r="H291" s="6">
        <v>25078.0</v>
      </c>
      <c r="I291" s="6">
        <v>0.9883</v>
      </c>
      <c r="J291" s="6">
        <v>1.0</v>
      </c>
      <c r="K291" s="6">
        <v>1.0</v>
      </c>
      <c r="L291" s="6">
        <v>1.0</v>
      </c>
      <c r="M291" s="6">
        <v>0.9883</v>
      </c>
    </row>
    <row r="292">
      <c r="A292" s="5" t="s">
        <v>35</v>
      </c>
      <c r="B292" s="5" t="s">
        <v>163</v>
      </c>
      <c r="C292" s="5" t="s">
        <v>58</v>
      </c>
      <c r="D292" s="6">
        <v>3.0</v>
      </c>
      <c r="E292" s="6">
        <v>5.0</v>
      </c>
      <c r="F292" s="6">
        <v>5.0</v>
      </c>
      <c r="G292" s="6">
        <v>1.0</v>
      </c>
      <c r="H292" s="6">
        <v>25078.0</v>
      </c>
      <c r="I292" s="6">
        <v>1.0</v>
      </c>
      <c r="J292" s="6">
        <v>1.0</v>
      </c>
      <c r="K292" s="6">
        <v>1.0</v>
      </c>
      <c r="L292" s="6">
        <v>1.0</v>
      </c>
      <c r="M292" s="6">
        <v>1.0</v>
      </c>
    </row>
    <row r="293">
      <c r="A293" s="5" t="s">
        <v>35</v>
      </c>
      <c r="B293" s="5" t="s">
        <v>1857</v>
      </c>
      <c r="C293" s="5" t="s">
        <v>58</v>
      </c>
      <c r="D293" s="6">
        <v>3.0</v>
      </c>
      <c r="E293" s="6">
        <v>1.0</v>
      </c>
      <c r="F293" s="6">
        <v>5.0</v>
      </c>
      <c r="G293" s="6">
        <v>1.0</v>
      </c>
      <c r="H293" s="6">
        <v>13319.0</v>
      </c>
      <c r="I293" s="6">
        <v>0.2666</v>
      </c>
      <c r="J293" s="6">
        <v>0.1675</v>
      </c>
      <c r="K293" s="6">
        <v>0.0</v>
      </c>
      <c r="L293" s="6">
        <v>0.4216</v>
      </c>
      <c r="M293" s="6">
        <v>0.2667</v>
      </c>
    </row>
    <row r="294">
      <c r="A294" s="5" t="s">
        <v>35</v>
      </c>
      <c r="B294" s="5" t="s">
        <v>1857</v>
      </c>
      <c r="C294" s="5" t="s">
        <v>58</v>
      </c>
      <c r="D294" s="6">
        <v>3.0</v>
      </c>
      <c r="E294" s="6">
        <v>2.0</v>
      </c>
      <c r="F294" s="6">
        <v>5.0</v>
      </c>
      <c r="G294" s="6">
        <v>1.0</v>
      </c>
      <c r="H294" s="6">
        <v>13319.0</v>
      </c>
      <c r="I294" s="6">
        <v>0.5113</v>
      </c>
      <c r="J294" s="6">
        <v>0.516</v>
      </c>
      <c r="K294" s="6">
        <v>0.2226</v>
      </c>
      <c r="L294" s="6">
        <v>0.8209</v>
      </c>
      <c r="M294" s="6">
        <v>0.5113</v>
      </c>
    </row>
    <row r="295">
      <c r="A295" s="5" t="s">
        <v>35</v>
      </c>
      <c r="B295" s="5" t="s">
        <v>1857</v>
      </c>
      <c r="C295" s="5" t="s">
        <v>58</v>
      </c>
      <c r="D295" s="6">
        <v>3.0</v>
      </c>
      <c r="E295" s="6">
        <v>3.0</v>
      </c>
      <c r="F295" s="6">
        <v>5.0</v>
      </c>
      <c r="G295" s="6">
        <v>1.0</v>
      </c>
      <c r="H295" s="6">
        <v>13319.0</v>
      </c>
      <c r="I295" s="6">
        <v>0.7484</v>
      </c>
      <c r="J295" s="6">
        <v>0.8567</v>
      </c>
      <c r="K295" s="6">
        <v>0.6125</v>
      </c>
      <c r="L295" s="6">
        <v>1.0</v>
      </c>
      <c r="M295" s="6">
        <v>0.7484</v>
      </c>
    </row>
    <row r="296">
      <c r="A296" s="5" t="s">
        <v>35</v>
      </c>
      <c r="B296" s="5" t="s">
        <v>1857</v>
      </c>
      <c r="C296" s="5" t="s">
        <v>58</v>
      </c>
      <c r="D296" s="6">
        <v>3.0</v>
      </c>
      <c r="E296" s="6">
        <v>4.0</v>
      </c>
      <c r="F296" s="6">
        <v>5.0</v>
      </c>
      <c r="G296" s="6">
        <v>1.0</v>
      </c>
      <c r="H296" s="6">
        <v>13319.0</v>
      </c>
      <c r="I296" s="6">
        <v>0.9869</v>
      </c>
      <c r="J296" s="6">
        <v>1.0</v>
      </c>
      <c r="K296" s="6">
        <v>1.0</v>
      </c>
      <c r="L296" s="6">
        <v>1.0</v>
      </c>
      <c r="M296" s="6">
        <v>0.9869</v>
      </c>
    </row>
    <row r="297">
      <c r="A297" s="5" t="s">
        <v>35</v>
      </c>
      <c r="B297" s="5" t="s">
        <v>1857</v>
      </c>
      <c r="C297" s="5" t="s">
        <v>58</v>
      </c>
      <c r="D297" s="6">
        <v>3.0</v>
      </c>
      <c r="E297" s="6">
        <v>5.0</v>
      </c>
      <c r="F297" s="6">
        <v>5.0</v>
      </c>
      <c r="G297" s="6">
        <v>1.0</v>
      </c>
      <c r="H297" s="6">
        <v>13319.0</v>
      </c>
      <c r="I297" s="6">
        <v>1.0</v>
      </c>
      <c r="J297" s="6">
        <v>1.0</v>
      </c>
      <c r="K297" s="6">
        <v>1.0</v>
      </c>
      <c r="L297" s="6">
        <v>1.0</v>
      </c>
      <c r="M297" s="6">
        <v>1.0</v>
      </c>
    </row>
    <row r="298">
      <c r="A298" s="5" t="s">
        <v>35</v>
      </c>
      <c r="B298" s="5" t="s">
        <v>163</v>
      </c>
      <c r="C298" s="5" t="s">
        <v>59</v>
      </c>
      <c r="D298" s="6">
        <v>4.0</v>
      </c>
      <c r="E298" s="6">
        <v>1.0</v>
      </c>
      <c r="F298" s="6">
        <v>5.0</v>
      </c>
      <c r="G298" s="6">
        <v>1.0</v>
      </c>
      <c r="H298" s="6">
        <v>11839.0</v>
      </c>
      <c r="I298" s="6">
        <v>0.2901</v>
      </c>
      <c r="J298" s="6">
        <v>0.2367</v>
      </c>
      <c r="K298" s="6">
        <v>0.0423</v>
      </c>
      <c r="L298" s="6">
        <v>0.414</v>
      </c>
      <c r="M298" s="6">
        <v>0.2903</v>
      </c>
    </row>
    <row r="299">
      <c r="A299" s="5" t="s">
        <v>35</v>
      </c>
      <c r="B299" s="5" t="s">
        <v>163</v>
      </c>
      <c r="C299" s="5" t="s">
        <v>59</v>
      </c>
      <c r="D299" s="6">
        <v>4.0</v>
      </c>
      <c r="E299" s="6">
        <v>2.0</v>
      </c>
      <c r="F299" s="6">
        <v>5.0</v>
      </c>
      <c r="G299" s="6">
        <v>1.0</v>
      </c>
      <c r="H299" s="6">
        <v>11839.0</v>
      </c>
      <c r="I299" s="6">
        <v>0.5369</v>
      </c>
      <c r="J299" s="6">
        <v>0.5372</v>
      </c>
      <c r="K299" s="6">
        <v>0.3548</v>
      </c>
      <c r="L299" s="6">
        <v>0.7511</v>
      </c>
      <c r="M299" s="6">
        <v>0.5371</v>
      </c>
    </row>
    <row r="300">
      <c r="A300" s="5" t="s">
        <v>35</v>
      </c>
      <c r="B300" s="5" t="s">
        <v>163</v>
      </c>
      <c r="C300" s="5" t="s">
        <v>59</v>
      </c>
      <c r="D300" s="6">
        <v>4.0</v>
      </c>
      <c r="E300" s="6">
        <v>3.0</v>
      </c>
      <c r="F300" s="6">
        <v>5.0</v>
      </c>
      <c r="G300" s="6">
        <v>1.0</v>
      </c>
      <c r="H300" s="6">
        <v>11839.0</v>
      </c>
      <c r="I300" s="6">
        <v>0.7617</v>
      </c>
      <c r="J300" s="6">
        <v>0.8113</v>
      </c>
      <c r="K300" s="6">
        <v>0.6614</v>
      </c>
      <c r="L300" s="6">
        <v>0.9832</v>
      </c>
      <c r="M300" s="6">
        <v>0.7619</v>
      </c>
    </row>
    <row r="301">
      <c r="A301" s="5" t="s">
        <v>35</v>
      </c>
      <c r="B301" s="5" t="s">
        <v>163</v>
      </c>
      <c r="C301" s="5" t="s">
        <v>59</v>
      </c>
      <c r="D301" s="6">
        <v>4.0</v>
      </c>
      <c r="E301" s="6">
        <v>4.0</v>
      </c>
      <c r="F301" s="6">
        <v>5.0</v>
      </c>
      <c r="G301" s="6">
        <v>1.0</v>
      </c>
      <c r="H301" s="6">
        <v>11839.0</v>
      </c>
      <c r="I301" s="6">
        <v>0.9885</v>
      </c>
      <c r="J301" s="6">
        <v>1.0</v>
      </c>
      <c r="K301" s="6">
        <v>1.0</v>
      </c>
      <c r="L301" s="6">
        <v>1.0</v>
      </c>
      <c r="M301" s="6">
        <v>0.9885</v>
      </c>
    </row>
    <row r="302">
      <c r="A302" s="5" t="s">
        <v>35</v>
      </c>
      <c r="B302" s="5" t="s">
        <v>163</v>
      </c>
      <c r="C302" s="5" t="s">
        <v>59</v>
      </c>
      <c r="D302" s="6">
        <v>4.0</v>
      </c>
      <c r="E302" s="6">
        <v>5.0</v>
      </c>
      <c r="F302" s="6">
        <v>5.0</v>
      </c>
      <c r="G302" s="6">
        <v>1.0</v>
      </c>
      <c r="H302" s="6">
        <v>11839.0</v>
      </c>
      <c r="I302" s="6">
        <v>1.0</v>
      </c>
      <c r="J302" s="6">
        <v>1.0</v>
      </c>
      <c r="K302" s="6">
        <v>1.0</v>
      </c>
      <c r="L302" s="6">
        <v>1.0</v>
      </c>
      <c r="M302" s="6">
        <v>1.0</v>
      </c>
    </row>
    <row r="303">
      <c r="A303" s="5" t="s">
        <v>35</v>
      </c>
      <c r="B303" s="5" t="s">
        <v>1857</v>
      </c>
      <c r="C303" s="5" t="s">
        <v>59</v>
      </c>
      <c r="D303" s="6">
        <v>4.0</v>
      </c>
      <c r="E303" s="6">
        <v>1.0</v>
      </c>
      <c r="F303" s="6">
        <v>5.0</v>
      </c>
      <c r="G303" s="6">
        <v>1.0</v>
      </c>
      <c r="H303" s="6">
        <v>6051.0</v>
      </c>
      <c r="I303" s="6">
        <v>0.2781</v>
      </c>
      <c r="J303" s="6">
        <v>0.2113</v>
      </c>
      <c r="K303" s="6">
        <v>0.0</v>
      </c>
      <c r="L303" s="6">
        <v>0.4171</v>
      </c>
      <c r="M303" s="6">
        <v>0.2783</v>
      </c>
    </row>
    <row r="304">
      <c r="A304" s="5" t="s">
        <v>35</v>
      </c>
      <c r="B304" s="5" t="s">
        <v>1857</v>
      </c>
      <c r="C304" s="5" t="s">
        <v>59</v>
      </c>
      <c r="D304" s="6">
        <v>4.0</v>
      </c>
      <c r="E304" s="6">
        <v>2.0</v>
      </c>
      <c r="F304" s="6">
        <v>5.0</v>
      </c>
      <c r="G304" s="6">
        <v>1.0</v>
      </c>
      <c r="H304" s="6">
        <v>6051.0</v>
      </c>
      <c r="I304" s="6">
        <v>0.5191</v>
      </c>
      <c r="J304" s="6">
        <v>0.5264</v>
      </c>
      <c r="K304" s="6">
        <v>0.2882</v>
      </c>
      <c r="L304" s="6">
        <v>0.7868</v>
      </c>
      <c r="M304" s="6">
        <v>0.5192</v>
      </c>
    </row>
    <row r="305">
      <c r="A305" s="5" t="s">
        <v>35</v>
      </c>
      <c r="B305" s="5" t="s">
        <v>1857</v>
      </c>
      <c r="C305" s="5" t="s">
        <v>59</v>
      </c>
      <c r="D305" s="6">
        <v>4.0</v>
      </c>
      <c r="E305" s="6">
        <v>3.0</v>
      </c>
      <c r="F305" s="6">
        <v>5.0</v>
      </c>
      <c r="G305" s="6">
        <v>1.0</v>
      </c>
      <c r="H305" s="6">
        <v>6051.0</v>
      </c>
      <c r="I305" s="6">
        <v>0.748</v>
      </c>
      <c r="J305" s="6">
        <v>0.8214</v>
      </c>
      <c r="K305" s="6">
        <v>0.6334</v>
      </c>
      <c r="L305" s="6">
        <v>0.9987</v>
      </c>
      <c r="M305" s="6">
        <v>0.7481</v>
      </c>
    </row>
    <row r="306">
      <c r="A306" s="5" t="s">
        <v>35</v>
      </c>
      <c r="B306" s="5" t="s">
        <v>1857</v>
      </c>
      <c r="C306" s="5" t="s">
        <v>59</v>
      </c>
      <c r="D306" s="6">
        <v>4.0</v>
      </c>
      <c r="E306" s="6">
        <v>4.0</v>
      </c>
      <c r="F306" s="6">
        <v>5.0</v>
      </c>
      <c r="G306" s="6">
        <v>1.0</v>
      </c>
      <c r="H306" s="6">
        <v>6051.0</v>
      </c>
      <c r="I306" s="6">
        <v>0.9874</v>
      </c>
      <c r="J306" s="6">
        <v>1.0</v>
      </c>
      <c r="K306" s="6">
        <v>1.0</v>
      </c>
      <c r="L306" s="6">
        <v>1.0</v>
      </c>
      <c r="M306" s="6">
        <v>0.9874</v>
      </c>
    </row>
    <row r="307">
      <c r="A307" s="5" t="s">
        <v>35</v>
      </c>
      <c r="B307" s="5" t="s">
        <v>1857</v>
      </c>
      <c r="C307" s="5" t="s">
        <v>59</v>
      </c>
      <c r="D307" s="6">
        <v>4.0</v>
      </c>
      <c r="E307" s="6">
        <v>5.0</v>
      </c>
      <c r="F307" s="6">
        <v>5.0</v>
      </c>
      <c r="G307" s="6">
        <v>1.0</v>
      </c>
      <c r="H307" s="6">
        <v>6051.0</v>
      </c>
      <c r="I307" s="6">
        <v>1.0</v>
      </c>
      <c r="J307" s="6">
        <v>1.0</v>
      </c>
      <c r="K307" s="6">
        <v>1.0</v>
      </c>
      <c r="L307" s="6">
        <v>1.0</v>
      </c>
      <c r="M307" s="6">
        <v>1.0</v>
      </c>
    </row>
    <row r="308">
      <c r="A308" s="5" t="s">
        <v>35</v>
      </c>
      <c r="B308" s="5" t="s">
        <v>163</v>
      </c>
      <c r="C308" s="5" t="s">
        <v>60</v>
      </c>
      <c r="D308" s="6">
        <v>5.0</v>
      </c>
      <c r="E308" s="6">
        <v>1.0</v>
      </c>
      <c r="F308" s="6">
        <v>5.0</v>
      </c>
      <c r="G308" s="6">
        <v>1.0</v>
      </c>
      <c r="H308" s="6">
        <v>1595.0</v>
      </c>
      <c r="I308" s="6">
        <v>0.2482</v>
      </c>
      <c r="J308" s="6">
        <v>0.1908</v>
      </c>
      <c r="K308" s="6">
        <v>0.0</v>
      </c>
      <c r="L308" s="6">
        <v>0.3601</v>
      </c>
      <c r="M308" s="6">
        <v>0.2487</v>
      </c>
    </row>
    <row r="309">
      <c r="A309" s="5" t="s">
        <v>35</v>
      </c>
      <c r="B309" s="5" t="s">
        <v>163</v>
      </c>
      <c r="C309" s="5" t="s">
        <v>60</v>
      </c>
      <c r="D309" s="6">
        <v>5.0</v>
      </c>
      <c r="E309" s="6">
        <v>2.0</v>
      </c>
      <c r="F309" s="6">
        <v>5.0</v>
      </c>
      <c r="G309" s="6">
        <v>1.0</v>
      </c>
      <c r="H309" s="6">
        <v>1595.0</v>
      </c>
      <c r="I309" s="6">
        <v>0.4721</v>
      </c>
      <c r="J309" s="6">
        <v>0.4969</v>
      </c>
      <c r="K309" s="6">
        <v>0.0733</v>
      </c>
      <c r="L309" s="6">
        <v>0.7357</v>
      </c>
      <c r="M309" s="6">
        <v>0.4729</v>
      </c>
    </row>
    <row r="310">
      <c r="A310" s="5" t="s">
        <v>35</v>
      </c>
      <c r="B310" s="5" t="s">
        <v>163</v>
      </c>
      <c r="C310" s="5" t="s">
        <v>60</v>
      </c>
      <c r="D310" s="6">
        <v>5.0</v>
      </c>
      <c r="E310" s="6">
        <v>3.0</v>
      </c>
      <c r="F310" s="6">
        <v>5.0</v>
      </c>
      <c r="G310" s="6">
        <v>1.0</v>
      </c>
      <c r="H310" s="6">
        <v>1595.0</v>
      </c>
      <c r="I310" s="6">
        <v>0.7162</v>
      </c>
      <c r="J310" s="6">
        <v>0.7889</v>
      </c>
      <c r="K310" s="6">
        <v>0.6196</v>
      </c>
      <c r="L310" s="6">
        <v>0.9735</v>
      </c>
      <c r="M310" s="6">
        <v>0.7174</v>
      </c>
    </row>
    <row r="311">
      <c r="A311" s="5" t="s">
        <v>35</v>
      </c>
      <c r="B311" s="5" t="s">
        <v>163</v>
      </c>
      <c r="C311" s="5" t="s">
        <v>60</v>
      </c>
      <c r="D311" s="6">
        <v>5.0</v>
      </c>
      <c r="E311" s="6">
        <v>4.0</v>
      </c>
      <c r="F311" s="6">
        <v>5.0</v>
      </c>
      <c r="G311" s="6">
        <v>1.0</v>
      </c>
      <c r="H311" s="6">
        <v>1595.0</v>
      </c>
      <c r="I311" s="6">
        <v>0.9866</v>
      </c>
      <c r="J311" s="6">
        <v>1.0</v>
      </c>
      <c r="K311" s="6">
        <v>0.9997</v>
      </c>
      <c r="L311" s="6">
        <v>1.0</v>
      </c>
      <c r="M311" s="6">
        <v>0.9868</v>
      </c>
    </row>
    <row r="312">
      <c r="A312" s="5" t="s">
        <v>35</v>
      </c>
      <c r="B312" s="5" t="s">
        <v>163</v>
      </c>
      <c r="C312" s="5" t="s">
        <v>60</v>
      </c>
      <c r="D312" s="6">
        <v>5.0</v>
      </c>
      <c r="E312" s="6">
        <v>5.0</v>
      </c>
      <c r="F312" s="6">
        <v>5.0</v>
      </c>
      <c r="G312" s="6">
        <v>1.0</v>
      </c>
      <c r="H312" s="6">
        <v>1595.0</v>
      </c>
      <c r="I312" s="6">
        <v>1.0</v>
      </c>
      <c r="J312" s="6">
        <v>1.0</v>
      </c>
      <c r="K312" s="6">
        <v>1.0</v>
      </c>
      <c r="L312" s="6">
        <v>1.0</v>
      </c>
      <c r="M312" s="6">
        <v>1.0</v>
      </c>
    </row>
    <row r="313">
      <c r="A313" s="5" t="s">
        <v>35</v>
      </c>
      <c r="B313" s="5" t="s">
        <v>1857</v>
      </c>
      <c r="C313" s="5" t="s">
        <v>60</v>
      </c>
      <c r="D313" s="6">
        <v>5.0</v>
      </c>
      <c r="E313" s="6">
        <v>1.0</v>
      </c>
      <c r="F313" s="6">
        <v>5.0</v>
      </c>
      <c r="G313" s="6">
        <v>1.0</v>
      </c>
      <c r="H313" s="6">
        <v>734.0</v>
      </c>
      <c r="I313" s="6">
        <v>0.2726</v>
      </c>
      <c r="J313" s="6">
        <v>0.2078</v>
      </c>
      <c r="K313" s="6">
        <v>0.0</v>
      </c>
      <c r="L313" s="6">
        <v>0.4282</v>
      </c>
      <c r="M313" s="6">
        <v>0.273</v>
      </c>
    </row>
    <row r="314">
      <c r="A314" s="5" t="s">
        <v>35</v>
      </c>
      <c r="B314" s="5" t="s">
        <v>1857</v>
      </c>
      <c r="C314" s="5" t="s">
        <v>60</v>
      </c>
      <c r="D314" s="6">
        <v>5.0</v>
      </c>
      <c r="E314" s="6">
        <v>2.0</v>
      </c>
      <c r="F314" s="6">
        <v>5.0</v>
      </c>
      <c r="G314" s="6">
        <v>1.0</v>
      </c>
      <c r="H314" s="6">
        <v>734.0</v>
      </c>
      <c r="I314" s="6">
        <v>0.5058</v>
      </c>
      <c r="J314" s="6">
        <v>0.5318</v>
      </c>
      <c r="K314" s="6">
        <v>0.2159</v>
      </c>
      <c r="L314" s="6">
        <v>0.7747</v>
      </c>
      <c r="M314" s="6">
        <v>0.5064</v>
      </c>
    </row>
    <row r="315">
      <c r="A315" s="5" t="s">
        <v>35</v>
      </c>
      <c r="B315" s="5" t="s">
        <v>1857</v>
      </c>
      <c r="C315" s="5" t="s">
        <v>60</v>
      </c>
      <c r="D315" s="6">
        <v>5.0</v>
      </c>
      <c r="E315" s="6">
        <v>3.0</v>
      </c>
      <c r="F315" s="6">
        <v>5.0</v>
      </c>
      <c r="G315" s="6">
        <v>1.0</v>
      </c>
      <c r="H315" s="6">
        <v>734.0</v>
      </c>
      <c r="I315" s="6">
        <v>0.7281</v>
      </c>
      <c r="J315" s="6">
        <v>0.8204</v>
      </c>
      <c r="K315" s="6">
        <v>0.626</v>
      </c>
      <c r="L315" s="6">
        <v>0.9943</v>
      </c>
      <c r="M315" s="6">
        <v>0.7285</v>
      </c>
    </row>
    <row r="316">
      <c r="A316" s="5" t="s">
        <v>35</v>
      </c>
      <c r="B316" s="5" t="s">
        <v>1857</v>
      </c>
      <c r="C316" s="5" t="s">
        <v>60</v>
      </c>
      <c r="D316" s="6">
        <v>5.0</v>
      </c>
      <c r="E316" s="6">
        <v>4.0</v>
      </c>
      <c r="F316" s="6">
        <v>5.0</v>
      </c>
      <c r="G316" s="6">
        <v>1.0</v>
      </c>
      <c r="H316" s="6">
        <v>734.0</v>
      </c>
      <c r="I316" s="6">
        <v>0.9844</v>
      </c>
      <c r="J316" s="6">
        <v>1.0</v>
      </c>
      <c r="K316" s="6">
        <v>1.0</v>
      </c>
      <c r="L316" s="6">
        <v>1.0</v>
      </c>
      <c r="M316" s="6">
        <v>0.9845</v>
      </c>
    </row>
    <row r="317">
      <c r="A317" s="5" t="s">
        <v>35</v>
      </c>
      <c r="B317" s="5" t="s">
        <v>1857</v>
      </c>
      <c r="C317" s="5" t="s">
        <v>60</v>
      </c>
      <c r="D317" s="6">
        <v>5.0</v>
      </c>
      <c r="E317" s="6">
        <v>5.0</v>
      </c>
      <c r="F317" s="6">
        <v>5.0</v>
      </c>
      <c r="G317" s="6">
        <v>1.0</v>
      </c>
      <c r="H317" s="6">
        <v>734.0</v>
      </c>
      <c r="I317" s="6">
        <v>1.0</v>
      </c>
      <c r="J317" s="6">
        <v>1.0</v>
      </c>
      <c r="K317" s="6">
        <v>1.0</v>
      </c>
      <c r="L317" s="6">
        <v>1.0</v>
      </c>
      <c r="M317" s="6">
        <v>1.0</v>
      </c>
    </row>
    <row r="318">
      <c r="A318" s="5" t="s">
        <v>69</v>
      </c>
      <c r="B318" s="5" t="s">
        <v>163</v>
      </c>
      <c r="C318" s="5" t="s">
        <v>56</v>
      </c>
      <c r="D318" s="6">
        <v>1.0</v>
      </c>
      <c r="E318" s="6">
        <v>1.0</v>
      </c>
      <c r="F318" s="6">
        <v>2.0</v>
      </c>
      <c r="G318" s="6">
        <v>4.0</v>
      </c>
      <c r="H318" s="6">
        <v>79784.0</v>
      </c>
      <c r="I318" s="6">
        <v>0.9229</v>
      </c>
      <c r="J318" s="6">
        <v>1.0</v>
      </c>
      <c r="K318" s="6">
        <v>1.0</v>
      </c>
      <c r="L318" s="6">
        <v>1.0</v>
      </c>
      <c r="M318" s="6">
        <v>0.9228</v>
      </c>
    </row>
    <row r="319">
      <c r="A319" s="5" t="s">
        <v>69</v>
      </c>
      <c r="B319" s="5" t="s">
        <v>163</v>
      </c>
      <c r="C319" s="5" t="s">
        <v>56</v>
      </c>
      <c r="D319" s="6">
        <v>1.0</v>
      </c>
      <c r="E319" s="6">
        <v>2.0</v>
      </c>
      <c r="F319" s="6">
        <v>2.0</v>
      </c>
      <c r="G319" s="6">
        <v>4.0</v>
      </c>
      <c r="H319" s="6">
        <v>79784.0</v>
      </c>
      <c r="I319" s="6">
        <v>1.0</v>
      </c>
      <c r="J319" s="6">
        <v>1.0</v>
      </c>
      <c r="K319" s="6">
        <v>1.0</v>
      </c>
      <c r="L319" s="6">
        <v>1.0</v>
      </c>
      <c r="M319" s="6">
        <v>1.0</v>
      </c>
    </row>
    <row r="320">
      <c r="A320" s="5" t="s">
        <v>69</v>
      </c>
      <c r="B320" s="5" t="s">
        <v>1857</v>
      </c>
      <c r="C320" s="5" t="s">
        <v>56</v>
      </c>
      <c r="D320" s="6">
        <v>1.0</v>
      </c>
      <c r="E320" s="6">
        <v>1.0</v>
      </c>
      <c r="F320" s="6">
        <v>2.0</v>
      </c>
      <c r="G320" s="6">
        <v>4.0</v>
      </c>
      <c r="H320" s="6">
        <v>58676.0</v>
      </c>
      <c r="I320" s="6">
        <v>0.9184</v>
      </c>
      <c r="J320" s="6">
        <v>1.0</v>
      </c>
      <c r="K320" s="6">
        <v>1.0</v>
      </c>
      <c r="L320" s="6">
        <v>1.0</v>
      </c>
      <c r="M320" s="6">
        <v>0.9183</v>
      </c>
    </row>
    <row r="321">
      <c r="A321" s="5" t="s">
        <v>69</v>
      </c>
      <c r="B321" s="5" t="s">
        <v>1857</v>
      </c>
      <c r="C321" s="5" t="s">
        <v>56</v>
      </c>
      <c r="D321" s="6">
        <v>1.0</v>
      </c>
      <c r="E321" s="6">
        <v>2.0</v>
      </c>
      <c r="F321" s="6">
        <v>2.0</v>
      </c>
      <c r="G321" s="6">
        <v>4.0</v>
      </c>
      <c r="H321" s="6">
        <v>58676.0</v>
      </c>
      <c r="I321" s="6">
        <v>1.0</v>
      </c>
      <c r="J321" s="6">
        <v>1.0</v>
      </c>
      <c r="K321" s="6">
        <v>1.0</v>
      </c>
      <c r="L321" s="6">
        <v>1.0</v>
      </c>
      <c r="M321" s="6">
        <v>1.0</v>
      </c>
    </row>
    <row r="322">
      <c r="A322" s="5" t="s">
        <v>69</v>
      </c>
      <c r="B322" s="5" t="s">
        <v>163</v>
      </c>
      <c r="C322" s="5" t="s">
        <v>57</v>
      </c>
      <c r="D322" s="6">
        <v>2.0</v>
      </c>
      <c r="E322" s="6">
        <v>1.0</v>
      </c>
      <c r="F322" s="6">
        <v>2.0</v>
      </c>
      <c r="G322" s="6">
        <v>4.0</v>
      </c>
      <c r="H322" s="6">
        <v>67986.0</v>
      </c>
      <c r="I322" s="6">
        <v>0.9255</v>
      </c>
      <c r="J322" s="6">
        <v>1.0</v>
      </c>
      <c r="K322" s="6">
        <v>0.9997</v>
      </c>
      <c r="L322" s="6">
        <v>1.0</v>
      </c>
      <c r="M322" s="6">
        <v>0.9255</v>
      </c>
    </row>
    <row r="323">
      <c r="A323" s="5" t="s">
        <v>69</v>
      </c>
      <c r="B323" s="5" t="s">
        <v>163</v>
      </c>
      <c r="C323" s="5" t="s">
        <v>57</v>
      </c>
      <c r="D323" s="6">
        <v>2.0</v>
      </c>
      <c r="E323" s="6">
        <v>2.0</v>
      </c>
      <c r="F323" s="6">
        <v>2.0</v>
      </c>
      <c r="G323" s="6">
        <v>4.0</v>
      </c>
      <c r="H323" s="6">
        <v>67986.0</v>
      </c>
      <c r="I323" s="6">
        <v>1.0</v>
      </c>
      <c r="J323" s="6">
        <v>1.0</v>
      </c>
      <c r="K323" s="6">
        <v>1.0</v>
      </c>
      <c r="L323" s="6">
        <v>1.0</v>
      </c>
      <c r="M323" s="6">
        <v>1.0</v>
      </c>
    </row>
    <row r="324">
      <c r="A324" s="5" t="s">
        <v>69</v>
      </c>
      <c r="B324" s="5" t="s">
        <v>1857</v>
      </c>
      <c r="C324" s="5" t="s">
        <v>57</v>
      </c>
      <c r="D324" s="6">
        <v>2.0</v>
      </c>
      <c r="E324" s="6">
        <v>1.0</v>
      </c>
      <c r="F324" s="6">
        <v>2.0</v>
      </c>
      <c r="G324" s="6">
        <v>4.0</v>
      </c>
      <c r="H324" s="6">
        <v>40018.0</v>
      </c>
      <c r="I324" s="6">
        <v>0.9183</v>
      </c>
      <c r="J324" s="6">
        <v>1.0</v>
      </c>
      <c r="K324" s="6">
        <v>0.9997</v>
      </c>
      <c r="L324" s="6">
        <v>1.0</v>
      </c>
      <c r="M324" s="6">
        <v>0.9183</v>
      </c>
    </row>
    <row r="325">
      <c r="A325" s="5" t="s">
        <v>69</v>
      </c>
      <c r="B325" s="5" t="s">
        <v>1857</v>
      </c>
      <c r="C325" s="5" t="s">
        <v>57</v>
      </c>
      <c r="D325" s="6">
        <v>2.0</v>
      </c>
      <c r="E325" s="6">
        <v>2.0</v>
      </c>
      <c r="F325" s="6">
        <v>2.0</v>
      </c>
      <c r="G325" s="6">
        <v>4.0</v>
      </c>
      <c r="H325" s="6">
        <v>40018.0</v>
      </c>
      <c r="I325" s="6">
        <v>1.0</v>
      </c>
      <c r="J325" s="6">
        <v>1.0</v>
      </c>
      <c r="K325" s="6">
        <v>1.0</v>
      </c>
      <c r="L325" s="6">
        <v>1.0</v>
      </c>
      <c r="M325" s="6">
        <v>1.0</v>
      </c>
    </row>
    <row r="326">
      <c r="A326" s="5" t="s">
        <v>69</v>
      </c>
      <c r="B326" s="5" t="s">
        <v>163</v>
      </c>
      <c r="C326" s="5" t="s">
        <v>58</v>
      </c>
      <c r="D326" s="6">
        <v>3.0</v>
      </c>
      <c r="E326" s="6">
        <v>1.0</v>
      </c>
      <c r="F326" s="6">
        <v>2.0</v>
      </c>
      <c r="G326" s="6">
        <v>4.0</v>
      </c>
      <c r="H326" s="6">
        <v>44522.0</v>
      </c>
      <c r="I326" s="6">
        <v>0.929</v>
      </c>
      <c r="J326" s="6">
        <v>1.0</v>
      </c>
      <c r="K326" s="6">
        <v>0.9866</v>
      </c>
      <c r="L326" s="6">
        <v>1.0</v>
      </c>
      <c r="M326" s="6">
        <v>0.9289</v>
      </c>
    </row>
    <row r="327">
      <c r="A327" s="5" t="s">
        <v>69</v>
      </c>
      <c r="B327" s="5" t="s">
        <v>163</v>
      </c>
      <c r="C327" s="5" t="s">
        <v>58</v>
      </c>
      <c r="D327" s="6">
        <v>3.0</v>
      </c>
      <c r="E327" s="6">
        <v>2.0</v>
      </c>
      <c r="F327" s="6">
        <v>2.0</v>
      </c>
      <c r="G327" s="6">
        <v>4.0</v>
      </c>
      <c r="H327" s="6">
        <v>44522.0</v>
      </c>
      <c r="I327" s="6">
        <v>1.0</v>
      </c>
      <c r="J327" s="6">
        <v>1.0</v>
      </c>
      <c r="K327" s="6">
        <v>1.0</v>
      </c>
      <c r="L327" s="6">
        <v>1.0</v>
      </c>
      <c r="M327" s="6">
        <v>1.0</v>
      </c>
    </row>
    <row r="328">
      <c r="A328" s="5" t="s">
        <v>69</v>
      </c>
      <c r="B328" s="5" t="s">
        <v>1857</v>
      </c>
      <c r="C328" s="5" t="s">
        <v>58</v>
      </c>
      <c r="D328" s="6">
        <v>3.0</v>
      </c>
      <c r="E328" s="6">
        <v>1.0</v>
      </c>
      <c r="F328" s="6">
        <v>2.0</v>
      </c>
      <c r="G328" s="6">
        <v>4.0</v>
      </c>
      <c r="H328" s="6">
        <v>24185.0</v>
      </c>
      <c r="I328" s="6">
        <v>0.9168</v>
      </c>
      <c r="J328" s="6">
        <v>1.0</v>
      </c>
      <c r="K328" s="6">
        <v>0.9864</v>
      </c>
      <c r="L328" s="6">
        <v>1.0</v>
      </c>
      <c r="M328" s="6">
        <v>0.9165</v>
      </c>
    </row>
    <row r="329">
      <c r="A329" s="5" t="s">
        <v>69</v>
      </c>
      <c r="B329" s="5" t="s">
        <v>1857</v>
      </c>
      <c r="C329" s="5" t="s">
        <v>58</v>
      </c>
      <c r="D329" s="6">
        <v>3.0</v>
      </c>
      <c r="E329" s="6">
        <v>2.0</v>
      </c>
      <c r="F329" s="6">
        <v>2.0</v>
      </c>
      <c r="G329" s="6">
        <v>4.0</v>
      </c>
      <c r="H329" s="6">
        <v>24185.0</v>
      </c>
      <c r="I329" s="6">
        <v>1.0</v>
      </c>
      <c r="J329" s="6">
        <v>1.0</v>
      </c>
      <c r="K329" s="6">
        <v>1.0</v>
      </c>
      <c r="L329" s="6">
        <v>1.0</v>
      </c>
      <c r="M329" s="6">
        <v>1.0</v>
      </c>
    </row>
    <row r="330">
      <c r="A330" s="5" t="s">
        <v>69</v>
      </c>
      <c r="B330" s="5" t="s">
        <v>163</v>
      </c>
      <c r="C330" s="5" t="s">
        <v>59</v>
      </c>
      <c r="D330" s="6">
        <v>4.0</v>
      </c>
      <c r="E330" s="6">
        <v>1.0</v>
      </c>
      <c r="F330" s="6">
        <v>2.0</v>
      </c>
      <c r="G330" s="6">
        <v>4.0</v>
      </c>
      <c r="H330" s="6">
        <v>21750.0</v>
      </c>
      <c r="I330" s="6">
        <v>0.9364</v>
      </c>
      <c r="J330" s="6">
        <v>1.0</v>
      </c>
      <c r="K330" s="6">
        <v>0.9782</v>
      </c>
      <c r="L330" s="6">
        <v>1.0</v>
      </c>
      <c r="M330" s="6">
        <v>0.9363</v>
      </c>
    </row>
    <row r="331">
      <c r="A331" s="5" t="s">
        <v>69</v>
      </c>
      <c r="B331" s="5" t="s">
        <v>163</v>
      </c>
      <c r="C331" s="5" t="s">
        <v>59</v>
      </c>
      <c r="D331" s="6">
        <v>4.0</v>
      </c>
      <c r="E331" s="6">
        <v>2.0</v>
      </c>
      <c r="F331" s="6">
        <v>2.0</v>
      </c>
      <c r="G331" s="6">
        <v>4.0</v>
      </c>
      <c r="H331" s="6">
        <v>21750.0</v>
      </c>
      <c r="I331" s="6">
        <v>1.0</v>
      </c>
      <c r="J331" s="6">
        <v>1.0</v>
      </c>
      <c r="K331" s="6">
        <v>1.0</v>
      </c>
      <c r="L331" s="6">
        <v>1.0</v>
      </c>
      <c r="M331" s="6">
        <v>1.0</v>
      </c>
    </row>
    <row r="332">
      <c r="A332" s="5" t="s">
        <v>69</v>
      </c>
      <c r="B332" s="5" t="s">
        <v>1857</v>
      </c>
      <c r="C332" s="5" t="s">
        <v>59</v>
      </c>
      <c r="D332" s="6">
        <v>4.0</v>
      </c>
      <c r="E332" s="6">
        <v>1.0</v>
      </c>
      <c r="F332" s="6">
        <v>2.0</v>
      </c>
      <c r="G332" s="6">
        <v>4.0</v>
      </c>
      <c r="H332" s="6">
        <v>11107.0</v>
      </c>
      <c r="I332" s="6">
        <v>0.9175</v>
      </c>
      <c r="J332" s="6">
        <v>1.0</v>
      </c>
      <c r="K332" s="6">
        <v>0.9723</v>
      </c>
      <c r="L332" s="6">
        <v>1.0</v>
      </c>
      <c r="M332" s="6">
        <v>0.9173</v>
      </c>
    </row>
    <row r="333">
      <c r="A333" s="5" t="s">
        <v>69</v>
      </c>
      <c r="B333" s="5" t="s">
        <v>1857</v>
      </c>
      <c r="C333" s="5" t="s">
        <v>59</v>
      </c>
      <c r="D333" s="6">
        <v>4.0</v>
      </c>
      <c r="E333" s="6">
        <v>2.0</v>
      </c>
      <c r="F333" s="6">
        <v>2.0</v>
      </c>
      <c r="G333" s="6">
        <v>4.0</v>
      </c>
      <c r="H333" s="6">
        <v>11107.0</v>
      </c>
      <c r="I333" s="6">
        <v>1.0</v>
      </c>
      <c r="J333" s="6">
        <v>1.0</v>
      </c>
      <c r="K333" s="6">
        <v>1.0</v>
      </c>
      <c r="L333" s="6">
        <v>1.0</v>
      </c>
      <c r="M333" s="6">
        <v>1.0</v>
      </c>
    </row>
    <row r="334">
      <c r="A334" s="5" t="s">
        <v>69</v>
      </c>
      <c r="B334" s="5" t="s">
        <v>163</v>
      </c>
      <c r="C334" s="5" t="s">
        <v>60</v>
      </c>
      <c r="D334" s="6">
        <v>5.0</v>
      </c>
      <c r="E334" s="6">
        <v>1.0</v>
      </c>
      <c r="F334" s="6">
        <v>2.0</v>
      </c>
      <c r="G334" s="6">
        <v>4.0</v>
      </c>
      <c r="H334" s="6">
        <v>3329.0</v>
      </c>
      <c r="I334" s="6">
        <v>0.9351</v>
      </c>
      <c r="J334" s="6">
        <v>1.0</v>
      </c>
      <c r="K334" s="6">
        <v>0.9472</v>
      </c>
      <c r="L334" s="6">
        <v>1.0</v>
      </c>
      <c r="M334" s="6">
        <v>0.9354</v>
      </c>
    </row>
    <row r="335">
      <c r="A335" s="5" t="s">
        <v>69</v>
      </c>
      <c r="B335" s="5" t="s">
        <v>163</v>
      </c>
      <c r="C335" s="5" t="s">
        <v>60</v>
      </c>
      <c r="D335" s="6">
        <v>5.0</v>
      </c>
      <c r="E335" s="6">
        <v>2.0</v>
      </c>
      <c r="F335" s="6">
        <v>2.0</v>
      </c>
      <c r="G335" s="6">
        <v>4.0</v>
      </c>
      <c r="H335" s="6">
        <v>3329.0</v>
      </c>
      <c r="I335" s="6">
        <v>1.0</v>
      </c>
      <c r="J335" s="6">
        <v>1.0</v>
      </c>
      <c r="K335" s="6">
        <v>1.0</v>
      </c>
      <c r="L335" s="6">
        <v>1.0</v>
      </c>
      <c r="M335" s="6">
        <v>1.0</v>
      </c>
    </row>
    <row r="336">
      <c r="A336" s="5" t="s">
        <v>69</v>
      </c>
      <c r="B336" s="5" t="s">
        <v>1857</v>
      </c>
      <c r="C336" s="5" t="s">
        <v>60</v>
      </c>
      <c r="D336" s="6">
        <v>5.0</v>
      </c>
      <c r="E336" s="6">
        <v>1.0</v>
      </c>
      <c r="F336" s="6">
        <v>2.0</v>
      </c>
      <c r="G336" s="6">
        <v>4.0</v>
      </c>
      <c r="H336" s="6">
        <v>1705.0</v>
      </c>
      <c r="I336" s="6">
        <v>0.9201</v>
      </c>
      <c r="J336" s="6">
        <v>1.0</v>
      </c>
      <c r="K336" s="6">
        <v>0.9382</v>
      </c>
      <c r="L336" s="6">
        <v>1.0</v>
      </c>
      <c r="M336" s="6">
        <v>0.9205</v>
      </c>
    </row>
    <row r="337">
      <c r="A337" s="5" t="s">
        <v>69</v>
      </c>
      <c r="B337" s="5" t="s">
        <v>1857</v>
      </c>
      <c r="C337" s="5" t="s">
        <v>60</v>
      </c>
      <c r="D337" s="6">
        <v>5.0</v>
      </c>
      <c r="E337" s="6">
        <v>2.0</v>
      </c>
      <c r="F337" s="6">
        <v>2.0</v>
      </c>
      <c r="G337" s="6">
        <v>4.0</v>
      </c>
      <c r="H337" s="6">
        <v>1705.0</v>
      </c>
      <c r="I337" s="6">
        <v>1.0</v>
      </c>
      <c r="J337" s="6">
        <v>1.0</v>
      </c>
      <c r="K337" s="6">
        <v>1.0</v>
      </c>
      <c r="L337" s="6">
        <v>1.0</v>
      </c>
      <c r="M337" s="6">
        <v>1.0</v>
      </c>
    </row>
    <row r="338">
      <c r="A338" s="5" t="s">
        <v>134</v>
      </c>
      <c r="B338" s="5" t="s">
        <v>163</v>
      </c>
      <c r="C338" s="5" t="s">
        <v>56</v>
      </c>
      <c r="D338" s="6">
        <v>1.0</v>
      </c>
      <c r="E338" s="6">
        <v>1.0</v>
      </c>
      <c r="F338" s="6">
        <v>8.0</v>
      </c>
      <c r="G338" s="6">
        <v>2.0</v>
      </c>
      <c r="H338" s="6">
        <v>49096.0</v>
      </c>
      <c r="I338" s="6">
        <v>0.2511</v>
      </c>
      <c r="J338" s="6">
        <v>0.0</v>
      </c>
      <c r="K338" s="6">
        <v>0.0</v>
      </c>
      <c r="L338" s="6">
        <v>0.4163</v>
      </c>
      <c r="M338" s="6">
        <v>0.2613</v>
      </c>
    </row>
    <row r="339">
      <c r="A339" s="5" t="s">
        <v>134</v>
      </c>
      <c r="B339" s="5" t="s">
        <v>163</v>
      </c>
      <c r="C339" s="5" t="s">
        <v>56</v>
      </c>
      <c r="D339" s="6">
        <v>1.0</v>
      </c>
      <c r="E339" s="6">
        <v>2.0</v>
      </c>
      <c r="F339" s="6">
        <v>8.0</v>
      </c>
      <c r="G339" s="6">
        <v>2.0</v>
      </c>
      <c r="H339" s="6">
        <v>49096.0</v>
      </c>
      <c r="I339" s="6">
        <v>0.4126</v>
      </c>
      <c r="J339" s="6">
        <v>0.173</v>
      </c>
      <c r="K339" s="6">
        <v>0.0</v>
      </c>
      <c r="L339" s="6">
        <v>1.0</v>
      </c>
      <c r="M339" s="6">
        <v>0.427</v>
      </c>
    </row>
    <row r="340">
      <c r="A340" s="5" t="s">
        <v>134</v>
      </c>
      <c r="B340" s="5" t="s">
        <v>163</v>
      </c>
      <c r="C340" s="5" t="s">
        <v>56</v>
      </c>
      <c r="D340" s="6">
        <v>1.0</v>
      </c>
      <c r="E340" s="6">
        <v>3.0</v>
      </c>
      <c r="F340" s="6">
        <v>8.0</v>
      </c>
      <c r="G340" s="6">
        <v>2.0</v>
      </c>
      <c r="H340" s="6">
        <v>49096.0</v>
      </c>
      <c r="I340" s="6">
        <v>0.5375</v>
      </c>
      <c r="J340" s="6">
        <v>0.585</v>
      </c>
      <c r="K340" s="6">
        <v>0.0036</v>
      </c>
      <c r="L340" s="6">
        <v>1.0</v>
      </c>
      <c r="M340" s="6">
        <v>0.5533</v>
      </c>
    </row>
    <row r="341">
      <c r="A341" s="5" t="s">
        <v>134</v>
      </c>
      <c r="B341" s="5" t="s">
        <v>163</v>
      </c>
      <c r="C341" s="5" t="s">
        <v>56</v>
      </c>
      <c r="D341" s="6">
        <v>1.0</v>
      </c>
      <c r="E341" s="6">
        <v>4.0</v>
      </c>
      <c r="F341" s="6">
        <v>8.0</v>
      </c>
      <c r="G341" s="6">
        <v>2.0</v>
      </c>
      <c r="H341" s="6">
        <v>49096.0</v>
      </c>
      <c r="I341" s="6">
        <v>0.6589</v>
      </c>
      <c r="J341" s="6">
        <v>0.9782</v>
      </c>
      <c r="K341" s="6">
        <v>0.211</v>
      </c>
      <c r="L341" s="6">
        <v>1.0</v>
      </c>
      <c r="M341" s="6">
        <v>0.6738</v>
      </c>
    </row>
    <row r="342">
      <c r="A342" s="5" t="s">
        <v>134</v>
      </c>
      <c r="B342" s="5" t="s">
        <v>163</v>
      </c>
      <c r="C342" s="5" t="s">
        <v>56</v>
      </c>
      <c r="D342" s="6">
        <v>1.0</v>
      </c>
      <c r="E342" s="6">
        <v>5.0</v>
      </c>
      <c r="F342" s="6">
        <v>8.0</v>
      </c>
      <c r="G342" s="6">
        <v>2.0</v>
      </c>
      <c r="H342" s="6">
        <v>49096.0</v>
      </c>
      <c r="I342" s="6">
        <v>0.7684</v>
      </c>
      <c r="J342" s="6">
        <v>1.0</v>
      </c>
      <c r="K342" s="6">
        <v>0.5858</v>
      </c>
      <c r="L342" s="6">
        <v>1.0</v>
      </c>
      <c r="M342" s="6">
        <v>0.7808</v>
      </c>
    </row>
    <row r="343">
      <c r="A343" s="5" t="s">
        <v>134</v>
      </c>
      <c r="B343" s="5" t="s">
        <v>163</v>
      </c>
      <c r="C343" s="5" t="s">
        <v>56</v>
      </c>
      <c r="D343" s="6">
        <v>1.0</v>
      </c>
      <c r="E343" s="6">
        <v>6.0</v>
      </c>
      <c r="F343" s="6">
        <v>8.0</v>
      </c>
      <c r="G343" s="6">
        <v>2.0</v>
      </c>
      <c r="H343" s="6">
        <v>49096.0</v>
      </c>
      <c r="I343" s="6">
        <v>0.8782</v>
      </c>
      <c r="J343" s="6">
        <v>1.0</v>
      </c>
      <c r="K343" s="6">
        <v>0.9743</v>
      </c>
      <c r="L343" s="6">
        <v>1.0</v>
      </c>
      <c r="M343" s="6">
        <v>0.8856</v>
      </c>
    </row>
    <row r="344">
      <c r="A344" s="5" t="s">
        <v>134</v>
      </c>
      <c r="B344" s="5" t="s">
        <v>163</v>
      </c>
      <c r="C344" s="5" t="s">
        <v>56</v>
      </c>
      <c r="D344" s="6">
        <v>1.0</v>
      </c>
      <c r="E344" s="6">
        <v>7.0</v>
      </c>
      <c r="F344" s="6">
        <v>8.0</v>
      </c>
      <c r="G344" s="6">
        <v>2.0</v>
      </c>
      <c r="H344" s="6">
        <v>49096.0</v>
      </c>
      <c r="I344" s="6">
        <v>0.9916</v>
      </c>
      <c r="J344" s="6">
        <v>1.0</v>
      </c>
      <c r="K344" s="6">
        <v>1.0</v>
      </c>
      <c r="L344" s="6">
        <v>1.0</v>
      </c>
      <c r="M344" s="6">
        <v>0.9924</v>
      </c>
    </row>
    <row r="345">
      <c r="A345" s="5" t="s">
        <v>134</v>
      </c>
      <c r="B345" s="5" t="s">
        <v>163</v>
      </c>
      <c r="C345" s="5" t="s">
        <v>56</v>
      </c>
      <c r="D345" s="6">
        <v>1.0</v>
      </c>
      <c r="E345" s="6">
        <v>8.0</v>
      </c>
      <c r="F345" s="6">
        <v>8.0</v>
      </c>
      <c r="G345" s="6">
        <v>2.0</v>
      </c>
      <c r="H345" s="6">
        <v>49096.0</v>
      </c>
      <c r="I345" s="6">
        <v>1.0</v>
      </c>
      <c r="J345" s="6">
        <v>1.0</v>
      </c>
      <c r="K345" s="6">
        <v>1.0</v>
      </c>
      <c r="L345" s="6">
        <v>1.0</v>
      </c>
      <c r="M345" s="6">
        <v>1.0</v>
      </c>
    </row>
    <row r="346">
      <c r="A346" s="5" t="s">
        <v>134</v>
      </c>
      <c r="B346" s="5" t="s">
        <v>1857</v>
      </c>
      <c r="C346" s="5" t="s">
        <v>56</v>
      </c>
      <c r="D346" s="6">
        <v>1.0</v>
      </c>
      <c r="E346" s="6">
        <v>1.0</v>
      </c>
      <c r="F346" s="6">
        <v>8.0</v>
      </c>
      <c r="G346" s="6">
        <v>2.0</v>
      </c>
      <c r="H346" s="6">
        <v>37281.0</v>
      </c>
      <c r="I346" s="6">
        <v>0.2581</v>
      </c>
      <c r="J346" s="6">
        <v>1.0E-4</v>
      </c>
      <c r="K346" s="6">
        <v>0.0</v>
      </c>
      <c r="L346" s="6">
        <v>0.4537</v>
      </c>
      <c r="M346" s="6">
        <v>0.266</v>
      </c>
    </row>
    <row r="347">
      <c r="A347" s="5" t="s">
        <v>134</v>
      </c>
      <c r="B347" s="5" t="s">
        <v>1857</v>
      </c>
      <c r="C347" s="5" t="s">
        <v>56</v>
      </c>
      <c r="D347" s="6">
        <v>1.0</v>
      </c>
      <c r="E347" s="6">
        <v>2.0</v>
      </c>
      <c r="F347" s="6">
        <v>8.0</v>
      </c>
      <c r="G347" s="6">
        <v>2.0</v>
      </c>
      <c r="H347" s="6">
        <v>37281.0</v>
      </c>
      <c r="I347" s="6">
        <v>0.4295</v>
      </c>
      <c r="J347" s="6">
        <v>0.2172</v>
      </c>
      <c r="K347" s="6">
        <v>0.0</v>
      </c>
      <c r="L347" s="6">
        <v>1.0</v>
      </c>
      <c r="M347" s="6">
        <v>0.44</v>
      </c>
    </row>
    <row r="348">
      <c r="A348" s="5" t="s">
        <v>134</v>
      </c>
      <c r="B348" s="5" t="s">
        <v>1857</v>
      </c>
      <c r="C348" s="5" t="s">
        <v>56</v>
      </c>
      <c r="D348" s="6">
        <v>1.0</v>
      </c>
      <c r="E348" s="6">
        <v>3.0</v>
      </c>
      <c r="F348" s="6">
        <v>8.0</v>
      </c>
      <c r="G348" s="6">
        <v>2.0</v>
      </c>
      <c r="H348" s="6">
        <v>37281.0</v>
      </c>
      <c r="I348" s="6">
        <v>0.557</v>
      </c>
      <c r="J348" s="6">
        <v>0.6566</v>
      </c>
      <c r="K348" s="6">
        <v>0.0179</v>
      </c>
      <c r="L348" s="6">
        <v>1.0</v>
      </c>
      <c r="M348" s="6">
        <v>0.5683</v>
      </c>
    </row>
    <row r="349">
      <c r="A349" s="5" t="s">
        <v>134</v>
      </c>
      <c r="B349" s="5" t="s">
        <v>1857</v>
      </c>
      <c r="C349" s="5" t="s">
        <v>56</v>
      </c>
      <c r="D349" s="6">
        <v>1.0</v>
      </c>
      <c r="E349" s="6">
        <v>4.0</v>
      </c>
      <c r="F349" s="6">
        <v>8.0</v>
      </c>
      <c r="G349" s="6">
        <v>2.0</v>
      </c>
      <c r="H349" s="6">
        <v>37281.0</v>
      </c>
      <c r="I349" s="6">
        <v>0.6769</v>
      </c>
      <c r="J349" s="6">
        <v>0.9878</v>
      </c>
      <c r="K349" s="6">
        <v>0.2686</v>
      </c>
      <c r="L349" s="6">
        <v>1.0</v>
      </c>
      <c r="M349" s="6">
        <v>0.6882</v>
      </c>
    </row>
    <row r="350">
      <c r="A350" s="5" t="s">
        <v>134</v>
      </c>
      <c r="B350" s="5" t="s">
        <v>1857</v>
      </c>
      <c r="C350" s="5" t="s">
        <v>56</v>
      </c>
      <c r="D350" s="6">
        <v>1.0</v>
      </c>
      <c r="E350" s="6">
        <v>5.0</v>
      </c>
      <c r="F350" s="6">
        <v>8.0</v>
      </c>
      <c r="G350" s="6">
        <v>2.0</v>
      </c>
      <c r="H350" s="6">
        <v>37281.0</v>
      </c>
      <c r="I350" s="6">
        <v>0.7839</v>
      </c>
      <c r="J350" s="6">
        <v>1.0</v>
      </c>
      <c r="K350" s="6">
        <v>0.6515</v>
      </c>
      <c r="L350" s="6">
        <v>1.0</v>
      </c>
      <c r="M350" s="6">
        <v>0.7936</v>
      </c>
    </row>
    <row r="351">
      <c r="A351" s="5" t="s">
        <v>134</v>
      </c>
      <c r="B351" s="5" t="s">
        <v>1857</v>
      </c>
      <c r="C351" s="5" t="s">
        <v>56</v>
      </c>
      <c r="D351" s="6">
        <v>1.0</v>
      </c>
      <c r="E351" s="6">
        <v>6.0</v>
      </c>
      <c r="F351" s="6">
        <v>8.0</v>
      </c>
      <c r="G351" s="6">
        <v>2.0</v>
      </c>
      <c r="H351" s="6">
        <v>37281.0</v>
      </c>
      <c r="I351" s="6">
        <v>0.8891</v>
      </c>
      <c r="J351" s="6">
        <v>1.0</v>
      </c>
      <c r="K351" s="6">
        <v>0.9855</v>
      </c>
      <c r="L351" s="6">
        <v>1.0</v>
      </c>
      <c r="M351" s="6">
        <v>0.8948</v>
      </c>
    </row>
    <row r="352">
      <c r="A352" s="5" t="s">
        <v>134</v>
      </c>
      <c r="B352" s="5" t="s">
        <v>1857</v>
      </c>
      <c r="C352" s="5" t="s">
        <v>56</v>
      </c>
      <c r="D352" s="6">
        <v>1.0</v>
      </c>
      <c r="E352" s="6">
        <v>7.0</v>
      </c>
      <c r="F352" s="6">
        <v>8.0</v>
      </c>
      <c r="G352" s="6">
        <v>2.0</v>
      </c>
      <c r="H352" s="6">
        <v>37281.0</v>
      </c>
      <c r="I352" s="6">
        <v>0.9925</v>
      </c>
      <c r="J352" s="6">
        <v>1.0</v>
      </c>
      <c r="K352" s="6">
        <v>1.0</v>
      </c>
      <c r="L352" s="6">
        <v>1.0</v>
      </c>
      <c r="M352" s="6">
        <v>0.9931</v>
      </c>
    </row>
    <row r="353">
      <c r="A353" s="5" t="s">
        <v>134</v>
      </c>
      <c r="B353" s="5" t="s">
        <v>1857</v>
      </c>
      <c r="C353" s="5" t="s">
        <v>56</v>
      </c>
      <c r="D353" s="6">
        <v>1.0</v>
      </c>
      <c r="E353" s="6">
        <v>8.0</v>
      </c>
      <c r="F353" s="6">
        <v>8.0</v>
      </c>
      <c r="G353" s="6">
        <v>2.0</v>
      </c>
      <c r="H353" s="6">
        <v>37281.0</v>
      </c>
      <c r="I353" s="6">
        <v>1.0</v>
      </c>
      <c r="J353" s="6">
        <v>1.0</v>
      </c>
      <c r="K353" s="6">
        <v>1.0</v>
      </c>
      <c r="L353" s="6">
        <v>1.0</v>
      </c>
      <c r="M353" s="6">
        <v>1.0</v>
      </c>
    </row>
    <row r="354">
      <c r="A354" s="5" t="s">
        <v>134</v>
      </c>
      <c r="B354" s="5" t="s">
        <v>163</v>
      </c>
      <c r="C354" s="5" t="s">
        <v>57</v>
      </c>
      <c r="D354" s="6">
        <v>2.0</v>
      </c>
      <c r="E354" s="6">
        <v>1.0</v>
      </c>
      <c r="F354" s="6">
        <v>8.0</v>
      </c>
      <c r="G354" s="6">
        <v>2.0</v>
      </c>
      <c r="H354" s="6">
        <v>47500.0</v>
      </c>
      <c r="I354" s="6">
        <v>0.2575</v>
      </c>
      <c r="J354" s="6">
        <v>0.0099</v>
      </c>
      <c r="K354" s="6">
        <v>0.0</v>
      </c>
      <c r="L354" s="6">
        <v>0.4078</v>
      </c>
      <c r="M354" s="6">
        <v>0.2729</v>
      </c>
    </row>
    <row r="355">
      <c r="A355" s="5" t="s">
        <v>134</v>
      </c>
      <c r="B355" s="5" t="s">
        <v>163</v>
      </c>
      <c r="C355" s="5" t="s">
        <v>57</v>
      </c>
      <c r="D355" s="6">
        <v>2.0</v>
      </c>
      <c r="E355" s="6">
        <v>2.0</v>
      </c>
      <c r="F355" s="6">
        <v>8.0</v>
      </c>
      <c r="G355" s="6">
        <v>2.0</v>
      </c>
      <c r="H355" s="6">
        <v>47500.0</v>
      </c>
      <c r="I355" s="6">
        <v>0.4149</v>
      </c>
      <c r="J355" s="6">
        <v>0.2244</v>
      </c>
      <c r="K355" s="6">
        <v>0.0</v>
      </c>
      <c r="L355" s="6">
        <v>0.9986</v>
      </c>
      <c r="M355" s="6">
        <v>0.4346</v>
      </c>
    </row>
    <row r="356">
      <c r="A356" s="5" t="s">
        <v>134</v>
      </c>
      <c r="B356" s="5" t="s">
        <v>163</v>
      </c>
      <c r="C356" s="5" t="s">
        <v>57</v>
      </c>
      <c r="D356" s="6">
        <v>2.0</v>
      </c>
      <c r="E356" s="6">
        <v>3.0</v>
      </c>
      <c r="F356" s="6">
        <v>8.0</v>
      </c>
      <c r="G356" s="6">
        <v>2.0</v>
      </c>
      <c r="H356" s="6">
        <v>47500.0</v>
      </c>
      <c r="I356" s="6">
        <v>0.5439</v>
      </c>
      <c r="J356" s="6">
        <v>0.55</v>
      </c>
      <c r="K356" s="6">
        <v>0.0558</v>
      </c>
      <c r="L356" s="6">
        <v>1.0</v>
      </c>
      <c r="M356" s="6">
        <v>0.5629</v>
      </c>
    </row>
    <row r="357">
      <c r="A357" s="5" t="s">
        <v>134</v>
      </c>
      <c r="B357" s="5" t="s">
        <v>163</v>
      </c>
      <c r="C357" s="5" t="s">
        <v>57</v>
      </c>
      <c r="D357" s="6">
        <v>2.0</v>
      </c>
      <c r="E357" s="6">
        <v>4.0</v>
      </c>
      <c r="F357" s="6">
        <v>8.0</v>
      </c>
      <c r="G357" s="6">
        <v>2.0</v>
      </c>
      <c r="H357" s="6">
        <v>47500.0</v>
      </c>
      <c r="I357" s="6">
        <v>0.668</v>
      </c>
      <c r="J357" s="6">
        <v>0.9195</v>
      </c>
      <c r="K357" s="6">
        <v>0.3174</v>
      </c>
      <c r="L357" s="6">
        <v>1.0</v>
      </c>
      <c r="M357" s="6">
        <v>0.6852</v>
      </c>
    </row>
    <row r="358">
      <c r="A358" s="5" t="s">
        <v>134</v>
      </c>
      <c r="B358" s="5" t="s">
        <v>163</v>
      </c>
      <c r="C358" s="5" t="s">
        <v>57</v>
      </c>
      <c r="D358" s="6">
        <v>2.0</v>
      </c>
      <c r="E358" s="6">
        <v>5.0</v>
      </c>
      <c r="F358" s="6">
        <v>8.0</v>
      </c>
      <c r="G358" s="6">
        <v>2.0</v>
      </c>
      <c r="H358" s="6">
        <v>47500.0</v>
      </c>
      <c r="I358" s="6">
        <v>0.7748</v>
      </c>
      <c r="J358" s="6">
        <v>0.9998</v>
      </c>
      <c r="K358" s="6">
        <v>0.6116</v>
      </c>
      <c r="L358" s="6">
        <v>1.0</v>
      </c>
      <c r="M358" s="6">
        <v>0.7889</v>
      </c>
    </row>
    <row r="359">
      <c r="A359" s="5" t="s">
        <v>134</v>
      </c>
      <c r="B359" s="5" t="s">
        <v>163</v>
      </c>
      <c r="C359" s="5" t="s">
        <v>57</v>
      </c>
      <c r="D359" s="6">
        <v>2.0</v>
      </c>
      <c r="E359" s="6">
        <v>6.0</v>
      </c>
      <c r="F359" s="6">
        <v>8.0</v>
      </c>
      <c r="G359" s="6">
        <v>2.0</v>
      </c>
      <c r="H359" s="6">
        <v>47500.0</v>
      </c>
      <c r="I359" s="6">
        <v>0.8846</v>
      </c>
      <c r="J359" s="6">
        <v>1.0</v>
      </c>
      <c r="K359" s="6">
        <v>0.9206</v>
      </c>
      <c r="L359" s="6">
        <v>1.0</v>
      </c>
      <c r="M359" s="6">
        <v>0.893</v>
      </c>
    </row>
    <row r="360">
      <c r="A360" s="5" t="s">
        <v>134</v>
      </c>
      <c r="B360" s="5" t="s">
        <v>163</v>
      </c>
      <c r="C360" s="5" t="s">
        <v>57</v>
      </c>
      <c r="D360" s="6">
        <v>2.0</v>
      </c>
      <c r="E360" s="6">
        <v>7.0</v>
      </c>
      <c r="F360" s="6">
        <v>8.0</v>
      </c>
      <c r="G360" s="6">
        <v>2.0</v>
      </c>
      <c r="H360" s="6">
        <v>47500.0</v>
      </c>
      <c r="I360" s="6">
        <v>0.9932</v>
      </c>
      <c r="J360" s="6">
        <v>1.0</v>
      </c>
      <c r="K360" s="6">
        <v>1.0</v>
      </c>
      <c r="L360" s="6">
        <v>1.0</v>
      </c>
      <c r="M360" s="6">
        <v>0.994</v>
      </c>
    </row>
    <row r="361">
      <c r="A361" s="5" t="s">
        <v>134</v>
      </c>
      <c r="B361" s="5" t="s">
        <v>163</v>
      </c>
      <c r="C361" s="5" t="s">
        <v>57</v>
      </c>
      <c r="D361" s="6">
        <v>2.0</v>
      </c>
      <c r="E361" s="6">
        <v>8.0</v>
      </c>
      <c r="F361" s="6">
        <v>8.0</v>
      </c>
      <c r="G361" s="6">
        <v>2.0</v>
      </c>
      <c r="H361" s="6">
        <v>47500.0</v>
      </c>
      <c r="I361" s="6">
        <v>1.0</v>
      </c>
      <c r="J361" s="6">
        <v>1.0</v>
      </c>
      <c r="K361" s="6">
        <v>1.0</v>
      </c>
      <c r="L361" s="6">
        <v>1.0</v>
      </c>
      <c r="M361" s="6">
        <v>1.0</v>
      </c>
    </row>
    <row r="362">
      <c r="A362" s="5" t="s">
        <v>134</v>
      </c>
      <c r="B362" s="5" t="s">
        <v>1857</v>
      </c>
      <c r="C362" s="5" t="s">
        <v>57</v>
      </c>
      <c r="D362" s="6">
        <v>2.0</v>
      </c>
      <c r="E362" s="6">
        <v>1.0</v>
      </c>
      <c r="F362" s="6">
        <v>8.0</v>
      </c>
      <c r="G362" s="6">
        <v>2.0</v>
      </c>
      <c r="H362" s="6">
        <v>28345.0</v>
      </c>
      <c r="I362" s="6">
        <v>0.2381</v>
      </c>
      <c r="J362" s="6">
        <v>0.0027</v>
      </c>
      <c r="K362" s="6">
        <v>0.0</v>
      </c>
      <c r="L362" s="6">
        <v>0.3269</v>
      </c>
      <c r="M362" s="6">
        <v>0.2511</v>
      </c>
    </row>
    <row r="363">
      <c r="A363" s="5" t="s">
        <v>134</v>
      </c>
      <c r="B363" s="5" t="s">
        <v>1857</v>
      </c>
      <c r="C363" s="5" t="s">
        <v>57</v>
      </c>
      <c r="D363" s="6">
        <v>2.0</v>
      </c>
      <c r="E363" s="6">
        <v>2.0</v>
      </c>
      <c r="F363" s="6">
        <v>8.0</v>
      </c>
      <c r="G363" s="6">
        <v>2.0</v>
      </c>
      <c r="H363" s="6">
        <v>28345.0</v>
      </c>
      <c r="I363" s="6">
        <v>0.3967</v>
      </c>
      <c r="J363" s="6">
        <v>0.2026</v>
      </c>
      <c r="K363" s="6">
        <v>0.0</v>
      </c>
      <c r="L363" s="6">
        <v>0.9746</v>
      </c>
      <c r="M363" s="6">
        <v>0.4139</v>
      </c>
    </row>
    <row r="364">
      <c r="A364" s="5" t="s">
        <v>134</v>
      </c>
      <c r="B364" s="5" t="s">
        <v>1857</v>
      </c>
      <c r="C364" s="5" t="s">
        <v>57</v>
      </c>
      <c r="D364" s="6">
        <v>2.0</v>
      </c>
      <c r="E364" s="6">
        <v>3.0</v>
      </c>
      <c r="F364" s="6">
        <v>8.0</v>
      </c>
      <c r="G364" s="6">
        <v>2.0</v>
      </c>
      <c r="H364" s="6">
        <v>28345.0</v>
      </c>
      <c r="I364" s="6">
        <v>0.5307</v>
      </c>
      <c r="J364" s="6">
        <v>0.5266</v>
      </c>
      <c r="K364" s="6">
        <v>0.0426</v>
      </c>
      <c r="L364" s="6">
        <v>1.0</v>
      </c>
      <c r="M364" s="6">
        <v>0.5475</v>
      </c>
    </row>
    <row r="365">
      <c r="A365" s="5" t="s">
        <v>134</v>
      </c>
      <c r="B365" s="5" t="s">
        <v>1857</v>
      </c>
      <c r="C365" s="5" t="s">
        <v>57</v>
      </c>
      <c r="D365" s="6">
        <v>2.0</v>
      </c>
      <c r="E365" s="6">
        <v>4.0</v>
      </c>
      <c r="F365" s="6">
        <v>8.0</v>
      </c>
      <c r="G365" s="6">
        <v>2.0</v>
      </c>
      <c r="H365" s="6">
        <v>28345.0</v>
      </c>
      <c r="I365" s="6">
        <v>0.6573</v>
      </c>
      <c r="J365" s="6">
        <v>0.884</v>
      </c>
      <c r="K365" s="6">
        <v>0.2856</v>
      </c>
      <c r="L365" s="6">
        <v>1.0</v>
      </c>
      <c r="M365" s="6">
        <v>0.6722</v>
      </c>
    </row>
    <row r="366">
      <c r="A366" s="5" t="s">
        <v>134</v>
      </c>
      <c r="B366" s="5" t="s">
        <v>1857</v>
      </c>
      <c r="C366" s="5" t="s">
        <v>57</v>
      </c>
      <c r="D366" s="6">
        <v>2.0</v>
      </c>
      <c r="E366" s="6">
        <v>5.0</v>
      </c>
      <c r="F366" s="6">
        <v>8.0</v>
      </c>
      <c r="G366" s="6">
        <v>2.0</v>
      </c>
      <c r="H366" s="6">
        <v>28345.0</v>
      </c>
      <c r="I366" s="6">
        <v>0.7679</v>
      </c>
      <c r="J366" s="6">
        <v>0.9986</v>
      </c>
      <c r="K366" s="6">
        <v>0.5976</v>
      </c>
      <c r="L366" s="6">
        <v>1.0</v>
      </c>
      <c r="M366" s="6">
        <v>0.7804</v>
      </c>
    </row>
    <row r="367">
      <c r="A367" s="5" t="s">
        <v>134</v>
      </c>
      <c r="B367" s="5" t="s">
        <v>1857</v>
      </c>
      <c r="C367" s="5" t="s">
        <v>57</v>
      </c>
      <c r="D367" s="6">
        <v>2.0</v>
      </c>
      <c r="E367" s="6">
        <v>6.0</v>
      </c>
      <c r="F367" s="6">
        <v>8.0</v>
      </c>
      <c r="G367" s="6">
        <v>2.0</v>
      </c>
      <c r="H367" s="6">
        <v>28345.0</v>
      </c>
      <c r="I367" s="6">
        <v>0.8819</v>
      </c>
      <c r="J367" s="6">
        <v>1.0</v>
      </c>
      <c r="K367" s="6">
        <v>0.9355</v>
      </c>
      <c r="L367" s="6">
        <v>1.0</v>
      </c>
      <c r="M367" s="6">
        <v>0.8888</v>
      </c>
    </row>
    <row r="368">
      <c r="A368" s="5" t="s">
        <v>134</v>
      </c>
      <c r="B368" s="5" t="s">
        <v>1857</v>
      </c>
      <c r="C368" s="5" t="s">
        <v>57</v>
      </c>
      <c r="D368" s="6">
        <v>2.0</v>
      </c>
      <c r="E368" s="6">
        <v>7.0</v>
      </c>
      <c r="F368" s="6">
        <v>8.0</v>
      </c>
      <c r="G368" s="6">
        <v>2.0</v>
      </c>
      <c r="H368" s="6">
        <v>28345.0</v>
      </c>
      <c r="I368" s="6">
        <v>0.9932</v>
      </c>
      <c r="J368" s="6">
        <v>1.0</v>
      </c>
      <c r="K368" s="6">
        <v>1.0</v>
      </c>
      <c r="L368" s="6">
        <v>1.0</v>
      </c>
      <c r="M368" s="6">
        <v>0.994</v>
      </c>
    </row>
    <row r="369">
      <c r="A369" s="5" t="s">
        <v>134</v>
      </c>
      <c r="B369" s="5" t="s">
        <v>1857</v>
      </c>
      <c r="C369" s="5" t="s">
        <v>57</v>
      </c>
      <c r="D369" s="6">
        <v>2.0</v>
      </c>
      <c r="E369" s="6">
        <v>8.0</v>
      </c>
      <c r="F369" s="6">
        <v>8.0</v>
      </c>
      <c r="G369" s="6">
        <v>2.0</v>
      </c>
      <c r="H369" s="6">
        <v>28345.0</v>
      </c>
      <c r="I369" s="6">
        <v>1.0</v>
      </c>
      <c r="J369" s="6">
        <v>1.0</v>
      </c>
      <c r="K369" s="6">
        <v>1.0</v>
      </c>
      <c r="L369" s="6">
        <v>1.0</v>
      </c>
      <c r="M369" s="6">
        <v>1.0</v>
      </c>
    </row>
    <row r="370">
      <c r="A370" s="5" t="s">
        <v>134</v>
      </c>
      <c r="B370" s="5" t="s">
        <v>163</v>
      </c>
      <c r="C370" s="5" t="s">
        <v>58</v>
      </c>
      <c r="D370" s="6">
        <v>3.0</v>
      </c>
      <c r="E370" s="6">
        <v>1.0</v>
      </c>
      <c r="F370" s="6">
        <v>8.0</v>
      </c>
      <c r="G370" s="6">
        <v>2.0</v>
      </c>
      <c r="H370" s="6">
        <v>35132.0</v>
      </c>
      <c r="I370" s="6">
        <v>0.2375</v>
      </c>
      <c r="J370" s="6">
        <v>0.0195</v>
      </c>
      <c r="K370" s="6">
        <v>0.0</v>
      </c>
      <c r="L370" s="6">
        <v>0.311</v>
      </c>
      <c r="M370" s="6">
        <v>0.2543</v>
      </c>
    </row>
    <row r="371">
      <c r="A371" s="5" t="s">
        <v>134</v>
      </c>
      <c r="B371" s="5" t="s">
        <v>163</v>
      </c>
      <c r="C371" s="5" t="s">
        <v>58</v>
      </c>
      <c r="D371" s="6">
        <v>3.0</v>
      </c>
      <c r="E371" s="6">
        <v>2.0</v>
      </c>
      <c r="F371" s="6">
        <v>8.0</v>
      </c>
      <c r="G371" s="6">
        <v>2.0</v>
      </c>
      <c r="H371" s="6">
        <v>35132.0</v>
      </c>
      <c r="I371" s="6">
        <v>0.3834</v>
      </c>
      <c r="J371" s="6">
        <v>0.2173</v>
      </c>
      <c r="K371" s="6">
        <v>1.0E-4</v>
      </c>
      <c r="L371" s="6">
        <v>0.9003</v>
      </c>
      <c r="M371" s="6">
        <v>0.4041</v>
      </c>
    </row>
    <row r="372">
      <c r="A372" s="5" t="s">
        <v>134</v>
      </c>
      <c r="B372" s="5" t="s">
        <v>163</v>
      </c>
      <c r="C372" s="5" t="s">
        <v>58</v>
      </c>
      <c r="D372" s="6">
        <v>3.0</v>
      </c>
      <c r="E372" s="6">
        <v>3.0</v>
      </c>
      <c r="F372" s="6">
        <v>8.0</v>
      </c>
      <c r="G372" s="6">
        <v>2.0</v>
      </c>
      <c r="H372" s="6">
        <v>35132.0</v>
      </c>
      <c r="I372" s="6">
        <v>0.5104</v>
      </c>
      <c r="J372" s="6">
        <v>0.4577</v>
      </c>
      <c r="K372" s="6">
        <v>0.0611</v>
      </c>
      <c r="L372" s="6">
        <v>1.0</v>
      </c>
      <c r="M372" s="6">
        <v>0.5315</v>
      </c>
    </row>
    <row r="373">
      <c r="A373" s="5" t="s">
        <v>134</v>
      </c>
      <c r="B373" s="5" t="s">
        <v>163</v>
      </c>
      <c r="C373" s="5" t="s">
        <v>58</v>
      </c>
      <c r="D373" s="6">
        <v>3.0</v>
      </c>
      <c r="E373" s="6">
        <v>4.0</v>
      </c>
      <c r="F373" s="6">
        <v>8.0</v>
      </c>
      <c r="G373" s="6">
        <v>2.0</v>
      </c>
      <c r="H373" s="6">
        <v>35132.0</v>
      </c>
      <c r="I373" s="6">
        <v>0.6376</v>
      </c>
      <c r="J373" s="6">
        <v>0.7528</v>
      </c>
      <c r="K373" s="6">
        <v>0.3203</v>
      </c>
      <c r="L373" s="6">
        <v>1.0</v>
      </c>
      <c r="M373" s="6">
        <v>0.6569</v>
      </c>
    </row>
    <row r="374">
      <c r="A374" s="5" t="s">
        <v>134</v>
      </c>
      <c r="B374" s="5" t="s">
        <v>163</v>
      </c>
      <c r="C374" s="5" t="s">
        <v>58</v>
      </c>
      <c r="D374" s="6">
        <v>3.0</v>
      </c>
      <c r="E374" s="6">
        <v>5.0</v>
      </c>
      <c r="F374" s="6">
        <v>8.0</v>
      </c>
      <c r="G374" s="6">
        <v>2.0</v>
      </c>
      <c r="H374" s="6">
        <v>35132.0</v>
      </c>
      <c r="I374" s="6">
        <v>0.7503</v>
      </c>
      <c r="J374" s="6">
        <v>0.971</v>
      </c>
      <c r="K374" s="6">
        <v>0.5734</v>
      </c>
      <c r="L374" s="6">
        <v>1.0</v>
      </c>
      <c r="M374" s="6">
        <v>0.7662</v>
      </c>
    </row>
    <row r="375">
      <c r="A375" s="5" t="s">
        <v>134</v>
      </c>
      <c r="B375" s="5" t="s">
        <v>163</v>
      </c>
      <c r="C375" s="5" t="s">
        <v>58</v>
      </c>
      <c r="D375" s="6">
        <v>3.0</v>
      </c>
      <c r="E375" s="6">
        <v>6.0</v>
      </c>
      <c r="F375" s="6">
        <v>8.0</v>
      </c>
      <c r="G375" s="6">
        <v>2.0</v>
      </c>
      <c r="H375" s="6">
        <v>35132.0</v>
      </c>
      <c r="I375" s="6">
        <v>0.8728</v>
      </c>
      <c r="J375" s="6">
        <v>1.0</v>
      </c>
      <c r="K375" s="6">
        <v>0.8583</v>
      </c>
      <c r="L375" s="6">
        <v>1.0</v>
      </c>
      <c r="M375" s="6">
        <v>0.8818</v>
      </c>
    </row>
    <row r="376">
      <c r="A376" s="5" t="s">
        <v>134</v>
      </c>
      <c r="B376" s="5" t="s">
        <v>163</v>
      </c>
      <c r="C376" s="5" t="s">
        <v>58</v>
      </c>
      <c r="D376" s="6">
        <v>3.0</v>
      </c>
      <c r="E376" s="6">
        <v>7.0</v>
      </c>
      <c r="F376" s="6">
        <v>8.0</v>
      </c>
      <c r="G376" s="6">
        <v>2.0</v>
      </c>
      <c r="H376" s="6">
        <v>35132.0</v>
      </c>
      <c r="I376" s="6">
        <v>0.9936</v>
      </c>
      <c r="J376" s="6">
        <v>1.0</v>
      </c>
      <c r="K376" s="6">
        <v>1.0</v>
      </c>
      <c r="L376" s="6">
        <v>1.0</v>
      </c>
      <c r="M376" s="6">
        <v>0.9944</v>
      </c>
    </row>
    <row r="377">
      <c r="A377" s="5" t="s">
        <v>134</v>
      </c>
      <c r="B377" s="5" t="s">
        <v>163</v>
      </c>
      <c r="C377" s="5" t="s">
        <v>58</v>
      </c>
      <c r="D377" s="6">
        <v>3.0</v>
      </c>
      <c r="E377" s="6">
        <v>8.0</v>
      </c>
      <c r="F377" s="6">
        <v>8.0</v>
      </c>
      <c r="G377" s="6">
        <v>2.0</v>
      </c>
      <c r="H377" s="6">
        <v>35132.0</v>
      </c>
      <c r="I377" s="6">
        <v>1.0</v>
      </c>
      <c r="J377" s="6">
        <v>1.0</v>
      </c>
      <c r="K377" s="6">
        <v>1.0</v>
      </c>
      <c r="L377" s="6">
        <v>1.0</v>
      </c>
      <c r="M377" s="6">
        <v>1.0</v>
      </c>
    </row>
    <row r="378">
      <c r="A378" s="5" t="s">
        <v>134</v>
      </c>
      <c r="B378" s="5" t="s">
        <v>1857</v>
      </c>
      <c r="C378" s="5" t="s">
        <v>58</v>
      </c>
      <c r="D378" s="6">
        <v>3.0</v>
      </c>
      <c r="E378" s="6">
        <v>1.0</v>
      </c>
      <c r="F378" s="6">
        <v>8.0</v>
      </c>
      <c r="G378" s="6">
        <v>2.0</v>
      </c>
      <c r="H378" s="6">
        <v>20358.0</v>
      </c>
      <c r="I378" s="6">
        <v>0.2077</v>
      </c>
      <c r="J378" s="6">
        <v>0.0037</v>
      </c>
      <c r="K378" s="6">
        <v>0.0</v>
      </c>
      <c r="L378" s="6">
        <v>0.2442</v>
      </c>
      <c r="M378" s="6">
        <v>0.2213</v>
      </c>
    </row>
    <row r="379">
      <c r="A379" s="5" t="s">
        <v>134</v>
      </c>
      <c r="B379" s="5" t="s">
        <v>1857</v>
      </c>
      <c r="C379" s="5" t="s">
        <v>58</v>
      </c>
      <c r="D379" s="6">
        <v>3.0</v>
      </c>
      <c r="E379" s="6">
        <v>2.0</v>
      </c>
      <c r="F379" s="6">
        <v>8.0</v>
      </c>
      <c r="G379" s="6">
        <v>2.0</v>
      </c>
      <c r="H379" s="6">
        <v>20358.0</v>
      </c>
      <c r="I379" s="6">
        <v>0.3532</v>
      </c>
      <c r="J379" s="6">
        <v>0.1746</v>
      </c>
      <c r="K379" s="6">
        <v>0.0</v>
      </c>
      <c r="L379" s="6">
        <v>0.7499</v>
      </c>
      <c r="M379" s="6">
        <v>0.3707</v>
      </c>
    </row>
    <row r="380">
      <c r="A380" s="5" t="s">
        <v>134</v>
      </c>
      <c r="B380" s="5" t="s">
        <v>1857</v>
      </c>
      <c r="C380" s="5" t="s">
        <v>58</v>
      </c>
      <c r="D380" s="6">
        <v>3.0</v>
      </c>
      <c r="E380" s="6">
        <v>3.0</v>
      </c>
      <c r="F380" s="6">
        <v>8.0</v>
      </c>
      <c r="G380" s="6">
        <v>2.0</v>
      </c>
      <c r="H380" s="6">
        <v>20358.0</v>
      </c>
      <c r="I380" s="6">
        <v>0.4863</v>
      </c>
      <c r="J380" s="6">
        <v>0.4329</v>
      </c>
      <c r="K380" s="6">
        <v>0.0129</v>
      </c>
      <c r="L380" s="6">
        <v>0.9974</v>
      </c>
      <c r="M380" s="6">
        <v>0.5041</v>
      </c>
    </row>
    <row r="381">
      <c r="A381" s="5" t="s">
        <v>134</v>
      </c>
      <c r="B381" s="5" t="s">
        <v>1857</v>
      </c>
      <c r="C381" s="5" t="s">
        <v>58</v>
      </c>
      <c r="D381" s="6">
        <v>3.0</v>
      </c>
      <c r="E381" s="6">
        <v>4.0</v>
      </c>
      <c r="F381" s="6">
        <v>8.0</v>
      </c>
      <c r="G381" s="6">
        <v>2.0</v>
      </c>
      <c r="H381" s="6">
        <v>20358.0</v>
      </c>
      <c r="I381" s="6">
        <v>0.6184</v>
      </c>
      <c r="J381" s="6">
        <v>0.7267</v>
      </c>
      <c r="K381" s="6">
        <v>0.2488</v>
      </c>
      <c r="L381" s="6">
        <v>1.0</v>
      </c>
      <c r="M381" s="6">
        <v>0.6348</v>
      </c>
    </row>
    <row r="382">
      <c r="A382" s="5" t="s">
        <v>134</v>
      </c>
      <c r="B382" s="5" t="s">
        <v>1857</v>
      </c>
      <c r="C382" s="5" t="s">
        <v>58</v>
      </c>
      <c r="D382" s="6">
        <v>3.0</v>
      </c>
      <c r="E382" s="6">
        <v>5.0</v>
      </c>
      <c r="F382" s="6">
        <v>8.0</v>
      </c>
      <c r="G382" s="6">
        <v>2.0</v>
      </c>
      <c r="H382" s="6">
        <v>20358.0</v>
      </c>
      <c r="I382" s="6">
        <v>0.7381</v>
      </c>
      <c r="J382" s="6">
        <v>0.9717</v>
      </c>
      <c r="K382" s="6">
        <v>0.5458</v>
      </c>
      <c r="L382" s="6">
        <v>1.0</v>
      </c>
      <c r="M382" s="6">
        <v>0.7519</v>
      </c>
    </row>
    <row r="383">
      <c r="A383" s="5" t="s">
        <v>134</v>
      </c>
      <c r="B383" s="5" t="s">
        <v>1857</v>
      </c>
      <c r="C383" s="5" t="s">
        <v>58</v>
      </c>
      <c r="D383" s="6">
        <v>3.0</v>
      </c>
      <c r="E383" s="6">
        <v>6.0</v>
      </c>
      <c r="F383" s="6">
        <v>8.0</v>
      </c>
      <c r="G383" s="6">
        <v>2.0</v>
      </c>
      <c r="H383" s="6">
        <v>20358.0</v>
      </c>
      <c r="I383" s="6">
        <v>0.8668</v>
      </c>
      <c r="J383" s="6">
        <v>1.0</v>
      </c>
      <c r="K383" s="6">
        <v>0.8725</v>
      </c>
      <c r="L383" s="6">
        <v>1.0</v>
      </c>
      <c r="M383" s="6">
        <v>0.8748</v>
      </c>
    </row>
    <row r="384">
      <c r="A384" s="5" t="s">
        <v>134</v>
      </c>
      <c r="B384" s="5" t="s">
        <v>1857</v>
      </c>
      <c r="C384" s="5" t="s">
        <v>58</v>
      </c>
      <c r="D384" s="6">
        <v>3.0</v>
      </c>
      <c r="E384" s="6">
        <v>7.0</v>
      </c>
      <c r="F384" s="6">
        <v>8.0</v>
      </c>
      <c r="G384" s="6">
        <v>2.0</v>
      </c>
      <c r="H384" s="6">
        <v>20358.0</v>
      </c>
      <c r="I384" s="6">
        <v>0.9923</v>
      </c>
      <c r="J384" s="6">
        <v>1.0</v>
      </c>
      <c r="K384" s="6">
        <v>1.0</v>
      </c>
      <c r="L384" s="6">
        <v>1.0</v>
      </c>
      <c r="M384" s="6">
        <v>0.9932</v>
      </c>
    </row>
    <row r="385">
      <c r="A385" s="5" t="s">
        <v>134</v>
      </c>
      <c r="B385" s="5" t="s">
        <v>1857</v>
      </c>
      <c r="C385" s="5" t="s">
        <v>58</v>
      </c>
      <c r="D385" s="6">
        <v>3.0</v>
      </c>
      <c r="E385" s="6">
        <v>8.0</v>
      </c>
      <c r="F385" s="6">
        <v>8.0</v>
      </c>
      <c r="G385" s="6">
        <v>2.0</v>
      </c>
      <c r="H385" s="6">
        <v>20358.0</v>
      </c>
      <c r="I385" s="6">
        <v>1.0</v>
      </c>
      <c r="J385" s="6">
        <v>1.0</v>
      </c>
      <c r="K385" s="6">
        <v>1.0</v>
      </c>
      <c r="L385" s="6">
        <v>1.0</v>
      </c>
      <c r="M385" s="6">
        <v>1.0</v>
      </c>
    </row>
    <row r="386">
      <c r="A386" s="5" t="s">
        <v>134</v>
      </c>
      <c r="B386" s="5" t="s">
        <v>163</v>
      </c>
      <c r="C386" s="5" t="s">
        <v>59</v>
      </c>
      <c r="D386" s="6">
        <v>4.0</v>
      </c>
      <c r="E386" s="6">
        <v>1.0</v>
      </c>
      <c r="F386" s="6">
        <v>8.0</v>
      </c>
      <c r="G386" s="6">
        <v>2.0</v>
      </c>
      <c r="H386" s="6">
        <v>15563.0</v>
      </c>
      <c r="I386" s="6">
        <v>0.2136</v>
      </c>
      <c r="J386" s="6">
        <v>0.0401</v>
      </c>
      <c r="K386" s="6">
        <v>0.0</v>
      </c>
      <c r="L386" s="6">
        <v>0.242</v>
      </c>
      <c r="M386" s="6">
        <v>0.2316</v>
      </c>
    </row>
    <row r="387">
      <c r="A387" s="5" t="s">
        <v>134</v>
      </c>
      <c r="B387" s="5" t="s">
        <v>163</v>
      </c>
      <c r="C387" s="5" t="s">
        <v>59</v>
      </c>
      <c r="D387" s="6">
        <v>4.0</v>
      </c>
      <c r="E387" s="6">
        <v>2.0</v>
      </c>
      <c r="F387" s="6">
        <v>8.0</v>
      </c>
      <c r="G387" s="6">
        <v>2.0</v>
      </c>
      <c r="H387" s="6">
        <v>15563.0</v>
      </c>
      <c r="I387" s="6">
        <v>0.3401</v>
      </c>
      <c r="J387" s="6">
        <v>0.2057</v>
      </c>
      <c r="K387" s="6">
        <v>0.0</v>
      </c>
      <c r="L387" s="6">
        <v>0.5941</v>
      </c>
      <c r="M387" s="6">
        <v>0.3624</v>
      </c>
    </row>
    <row r="388">
      <c r="A388" s="5" t="s">
        <v>134</v>
      </c>
      <c r="B388" s="5" t="s">
        <v>163</v>
      </c>
      <c r="C388" s="5" t="s">
        <v>59</v>
      </c>
      <c r="D388" s="6">
        <v>4.0</v>
      </c>
      <c r="E388" s="6">
        <v>3.0</v>
      </c>
      <c r="F388" s="6">
        <v>8.0</v>
      </c>
      <c r="G388" s="6">
        <v>2.0</v>
      </c>
      <c r="H388" s="6">
        <v>15563.0</v>
      </c>
      <c r="I388" s="6">
        <v>0.4699</v>
      </c>
      <c r="J388" s="6">
        <v>0.408</v>
      </c>
      <c r="K388" s="6">
        <v>0.0528</v>
      </c>
      <c r="L388" s="6">
        <v>0.9636</v>
      </c>
      <c r="M388" s="6">
        <v>0.4922</v>
      </c>
    </row>
    <row r="389">
      <c r="A389" s="5" t="s">
        <v>134</v>
      </c>
      <c r="B389" s="5" t="s">
        <v>163</v>
      </c>
      <c r="C389" s="5" t="s">
        <v>59</v>
      </c>
      <c r="D389" s="6">
        <v>4.0</v>
      </c>
      <c r="E389" s="6">
        <v>4.0</v>
      </c>
      <c r="F389" s="6">
        <v>8.0</v>
      </c>
      <c r="G389" s="6">
        <v>2.0</v>
      </c>
      <c r="H389" s="6">
        <v>15563.0</v>
      </c>
      <c r="I389" s="6">
        <v>0.6027</v>
      </c>
      <c r="J389" s="6">
        <v>0.6346</v>
      </c>
      <c r="K389" s="6">
        <v>0.3121</v>
      </c>
      <c r="L389" s="6">
        <v>1.0</v>
      </c>
      <c r="M389" s="6">
        <v>0.6236</v>
      </c>
    </row>
    <row r="390">
      <c r="A390" s="5" t="s">
        <v>134</v>
      </c>
      <c r="B390" s="5" t="s">
        <v>163</v>
      </c>
      <c r="C390" s="5" t="s">
        <v>59</v>
      </c>
      <c r="D390" s="6">
        <v>4.0</v>
      </c>
      <c r="E390" s="6">
        <v>5.0</v>
      </c>
      <c r="F390" s="6">
        <v>8.0</v>
      </c>
      <c r="G390" s="6">
        <v>2.0</v>
      </c>
      <c r="H390" s="6">
        <v>15563.0</v>
      </c>
      <c r="I390" s="6">
        <v>0.7286</v>
      </c>
      <c r="J390" s="6">
        <v>0.854</v>
      </c>
      <c r="K390" s="6">
        <v>0.5721</v>
      </c>
      <c r="L390" s="6">
        <v>1.0</v>
      </c>
      <c r="M390" s="6">
        <v>0.7446</v>
      </c>
    </row>
    <row r="391">
      <c r="A391" s="5" t="s">
        <v>134</v>
      </c>
      <c r="B391" s="5" t="s">
        <v>163</v>
      </c>
      <c r="C391" s="5" t="s">
        <v>59</v>
      </c>
      <c r="D391" s="6">
        <v>4.0</v>
      </c>
      <c r="E391" s="6">
        <v>6.0</v>
      </c>
      <c r="F391" s="6">
        <v>8.0</v>
      </c>
      <c r="G391" s="6">
        <v>2.0</v>
      </c>
      <c r="H391" s="6">
        <v>15563.0</v>
      </c>
      <c r="I391" s="6">
        <v>0.8602</v>
      </c>
      <c r="J391" s="6">
        <v>0.9989</v>
      </c>
      <c r="K391" s="6">
        <v>0.8232</v>
      </c>
      <c r="L391" s="6">
        <v>1.0</v>
      </c>
      <c r="M391" s="6">
        <v>0.869</v>
      </c>
    </row>
    <row r="392">
      <c r="A392" s="5" t="s">
        <v>134</v>
      </c>
      <c r="B392" s="5" t="s">
        <v>163</v>
      </c>
      <c r="C392" s="5" t="s">
        <v>59</v>
      </c>
      <c r="D392" s="6">
        <v>4.0</v>
      </c>
      <c r="E392" s="6">
        <v>7.0</v>
      </c>
      <c r="F392" s="6">
        <v>8.0</v>
      </c>
      <c r="G392" s="6">
        <v>2.0</v>
      </c>
      <c r="H392" s="6">
        <v>15563.0</v>
      </c>
      <c r="I392" s="6">
        <v>0.9936</v>
      </c>
      <c r="J392" s="6">
        <v>1.0</v>
      </c>
      <c r="K392" s="6">
        <v>1.0</v>
      </c>
      <c r="L392" s="6">
        <v>1.0</v>
      </c>
      <c r="M392" s="6">
        <v>0.9942</v>
      </c>
    </row>
    <row r="393">
      <c r="A393" s="5" t="s">
        <v>134</v>
      </c>
      <c r="B393" s="5" t="s">
        <v>163</v>
      </c>
      <c r="C393" s="5" t="s">
        <v>59</v>
      </c>
      <c r="D393" s="6">
        <v>4.0</v>
      </c>
      <c r="E393" s="6">
        <v>8.0</v>
      </c>
      <c r="F393" s="6">
        <v>8.0</v>
      </c>
      <c r="G393" s="6">
        <v>2.0</v>
      </c>
      <c r="H393" s="6">
        <v>15563.0</v>
      </c>
      <c r="I393" s="6">
        <v>1.0</v>
      </c>
      <c r="J393" s="6">
        <v>1.0</v>
      </c>
      <c r="K393" s="6">
        <v>1.0</v>
      </c>
      <c r="L393" s="6">
        <v>1.0</v>
      </c>
      <c r="M393" s="6">
        <v>1.0</v>
      </c>
    </row>
    <row r="394">
      <c r="A394" s="5" t="s">
        <v>134</v>
      </c>
      <c r="B394" s="5" t="s">
        <v>1857</v>
      </c>
      <c r="C394" s="5" t="s">
        <v>59</v>
      </c>
      <c r="D394" s="6">
        <v>4.0</v>
      </c>
      <c r="E394" s="6">
        <v>1.0</v>
      </c>
      <c r="F394" s="6">
        <v>8.0</v>
      </c>
      <c r="G394" s="6">
        <v>2.0</v>
      </c>
      <c r="H394" s="6">
        <v>9630.0</v>
      </c>
      <c r="I394" s="6">
        <v>0.184</v>
      </c>
      <c r="J394" s="6">
        <v>0.0012</v>
      </c>
      <c r="K394" s="6">
        <v>0.0</v>
      </c>
      <c r="L394" s="6">
        <v>0.1982</v>
      </c>
      <c r="M394" s="6">
        <v>0.198</v>
      </c>
    </row>
    <row r="395">
      <c r="A395" s="5" t="s">
        <v>134</v>
      </c>
      <c r="B395" s="5" t="s">
        <v>1857</v>
      </c>
      <c r="C395" s="5" t="s">
        <v>59</v>
      </c>
      <c r="D395" s="6">
        <v>4.0</v>
      </c>
      <c r="E395" s="6">
        <v>2.0</v>
      </c>
      <c r="F395" s="6">
        <v>8.0</v>
      </c>
      <c r="G395" s="6">
        <v>2.0</v>
      </c>
      <c r="H395" s="6">
        <v>9630.0</v>
      </c>
      <c r="I395" s="6">
        <v>0.3174</v>
      </c>
      <c r="J395" s="6">
        <v>0.146</v>
      </c>
      <c r="K395" s="6">
        <v>0.0</v>
      </c>
      <c r="L395" s="6">
        <v>0.5807</v>
      </c>
      <c r="M395" s="6">
        <v>0.335</v>
      </c>
    </row>
    <row r="396">
      <c r="A396" s="5" t="s">
        <v>134</v>
      </c>
      <c r="B396" s="5" t="s">
        <v>1857</v>
      </c>
      <c r="C396" s="5" t="s">
        <v>59</v>
      </c>
      <c r="D396" s="6">
        <v>4.0</v>
      </c>
      <c r="E396" s="6">
        <v>3.0</v>
      </c>
      <c r="F396" s="6">
        <v>8.0</v>
      </c>
      <c r="G396" s="6">
        <v>2.0</v>
      </c>
      <c r="H396" s="6">
        <v>9630.0</v>
      </c>
      <c r="I396" s="6">
        <v>0.4507</v>
      </c>
      <c r="J396" s="6">
        <v>0.3894</v>
      </c>
      <c r="K396" s="6">
        <v>9.0E-4</v>
      </c>
      <c r="L396" s="6">
        <v>0.9403</v>
      </c>
      <c r="M396" s="6">
        <v>0.4687</v>
      </c>
    </row>
    <row r="397">
      <c r="A397" s="5" t="s">
        <v>134</v>
      </c>
      <c r="B397" s="5" t="s">
        <v>1857</v>
      </c>
      <c r="C397" s="5" t="s">
        <v>59</v>
      </c>
      <c r="D397" s="6">
        <v>4.0</v>
      </c>
      <c r="E397" s="6">
        <v>4.0</v>
      </c>
      <c r="F397" s="6">
        <v>8.0</v>
      </c>
      <c r="G397" s="6">
        <v>2.0</v>
      </c>
      <c r="H397" s="6">
        <v>9630.0</v>
      </c>
      <c r="I397" s="6">
        <v>0.5883</v>
      </c>
      <c r="J397" s="6">
        <v>0.6451</v>
      </c>
      <c r="K397" s="6">
        <v>0.2078</v>
      </c>
      <c r="L397" s="6">
        <v>1.0</v>
      </c>
      <c r="M397" s="6">
        <v>0.6055</v>
      </c>
    </row>
    <row r="398">
      <c r="A398" s="5" t="s">
        <v>134</v>
      </c>
      <c r="B398" s="5" t="s">
        <v>1857</v>
      </c>
      <c r="C398" s="5" t="s">
        <v>59</v>
      </c>
      <c r="D398" s="6">
        <v>4.0</v>
      </c>
      <c r="E398" s="6">
        <v>5.0</v>
      </c>
      <c r="F398" s="6">
        <v>8.0</v>
      </c>
      <c r="G398" s="6">
        <v>2.0</v>
      </c>
      <c r="H398" s="6">
        <v>9630.0</v>
      </c>
      <c r="I398" s="6">
        <v>0.716</v>
      </c>
      <c r="J398" s="6">
        <v>0.8944</v>
      </c>
      <c r="K398" s="6">
        <v>0.5267</v>
      </c>
      <c r="L398" s="6">
        <v>1.0</v>
      </c>
      <c r="M398" s="6">
        <v>0.7297</v>
      </c>
    </row>
    <row r="399">
      <c r="A399" s="5" t="s">
        <v>134</v>
      </c>
      <c r="B399" s="5" t="s">
        <v>1857</v>
      </c>
      <c r="C399" s="5" t="s">
        <v>59</v>
      </c>
      <c r="D399" s="6">
        <v>4.0</v>
      </c>
      <c r="E399" s="6">
        <v>6.0</v>
      </c>
      <c r="F399" s="6">
        <v>8.0</v>
      </c>
      <c r="G399" s="6">
        <v>2.0</v>
      </c>
      <c r="H399" s="6">
        <v>9630.0</v>
      </c>
      <c r="I399" s="6">
        <v>0.8555</v>
      </c>
      <c r="J399" s="6">
        <v>1.0</v>
      </c>
      <c r="K399" s="6">
        <v>0.8349</v>
      </c>
      <c r="L399" s="6">
        <v>1.0</v>
      </c>
      <c r="M399" s="6">
        <v>0.8628</v>
      </c>
    </row>
    <row r="400">
      <c r="A400" s="5" t="s">
        <v>134</v>
      </c>
      <c r="B400" s="5" t="s">
        <v>1857</v>
      </c>
      <c r="C400" s="5" t="s">
        <v>59</v>
      </c>
      <c r="D400" s="6">
        <v>4.0</v>
      </c>
      <c r="E400" s="6">
        <v>7.0</v>
      </c>
      <c r="F400" s="6">
        <v>8.0</v>
      </c>
      <c r="G400" s="6">
        <v>2.0</v>
      </c>
      <c r="H400" s="6">
        <v>9630.0</v>
      </c>
      <c r="I400" s="6">
        <v>0.9925</v>
      </c>
      <c r="J400" s="6">
        <v>1.0</v>
      </c>
      <c r="K400" s="6">
        <v>1.0</v>
      </c>
      <c r="L400" s="6">
        <v>1.0</v>
      </c>
      <c r="M400" s="6">
        <v>0.9931</v>
      </c>
    </row>
    <row r="401">
      <c r="A401" s="5" t="s">
        <v>134</v>
      </c>
      <c r="B401" s="5" t="s">
        <v>1857</v>
      </c>
      <c r="C401" s="5" t="s">
        <v>59</v>
      </c>
      <c r="D401" s="6">
        <v>4.0</v>
      </c>
      <c r="E401" s="6">
        <v>8.0</v>
      </c>
      <c r="F401" s="6">
        <v>8.0</v>
      </c>
      <c r="G401" s="6">
        <v>2.0</v>
      </c>
      <c r="H401" s="6">
        <v>9630.0</v>
      </c>
      <c r="I401" s="6">
        <v>1.0</v>
      </c>
      <c r="J401" s="6">
        <v>1.0</v>
      </c>
      <c r="K401" s="6">
        <v>1.0</v>
      </c>
      <c r="L401" s="6">
        <v>1.0</v>
      </c>
      <c r="M401" s="6">
        <v>1.0</v>
      </c>
    </row>
    <row r="402">
      <c r="A402" s="5" t="s">
        <v>134</v>
      </c>
      <c r="B402" s="5" t="s">
        <v>163</v>
      </c>
      <c r="C402" s="5" t="s">
        <v>60</v>
      </c>
      <c r="D402" s="6">
        <v>5.0</v>
      </c>
      <c r="E402" s="6">
        <v>1.0</v>
      </c>
      <c r="F402" s="6">
        <v>8.0</v>
      </c>
      <c r="G402" s="6">
        <v>2.0</v>
      </c>
      <c r="H402" s="6">
        <v>1532.0</v>
      </c>
      <c r="I402" s="6">
        <v>0.1801</v>
      </c>
      <c r="J402" s="6">
        <v>0.0616</v>
      </c>
      <c r="K402" s="6">
        <v>0.0</v>
      </c>
      <c r="L402" s="6">
        <v>0.2028</v>
      </c>
      <c r="M402" s="6">
        <v>0.1992</v>
      </c>
    </row>
    <row r="403">
      <c r="A403" s="5" t="s">
        <v>134</v>
      </c>
      <c r="B403" s="5" t="s">
        <v>163</v>
      </c>
      <c r="C403" s="5" t="s">
        <v>60</v>
      </c>
      <c r="D403" s="6">
        <v>5.0</v>
      </c>
      <c r="E403" s="6">
        <v>2.0</v>
      </c>
      <c r="F403" s="6">
        <v>8.0</v>
      </c>
      <c r="G403" s="6">
        <v>2.0</v>
      </c>
      <c r="H403" s="6">
        <v>1532.0</v>
      </c>
      <c r="I403" s="6">
        <v>0.3059</v>
      </c>
      <c r="J403" s="6">
        <v>0.2224</v>
      </c>
      <c r="K403" s="6">
        <v>0.0</v>
      </c>
      <c r="L403" s="6">
        <v>0.4534</v>
      </c>
      <c r="M403" s="6">
        <v>0.3256</v>
      </c>
    </row>
    <row r="404">
      <c r="A404" s="5" t="s">
        <v>134</v>
      </c>
      <c r="B404" s="5" t="s">
        <v>163</v>
      </c>
      <c r="C404" s="5" t="s">
        <v>60</v>
      </c>
      <c r="D404" s="6">
        <v>5.0</v>
      </c>
      <c r="E404" s="6">
        <v>3.0</v>
      </c>
      <c r="F404" s="6">
        <v>8.0</v>
      </c>
      <c r="G404" s="6">
        <v>2.0</v>
      </c>
      <c r="H404" s="6">
        <v>1532.0</v>
      </c>
      <c r="I404" s="6">
        <v>0.4434</v>
      </c>
      <c r="J404" s="6">
        <v>0.4084</v>
      </c>
      <c r="K404" s="6">
        <v>0.0084</v>
      </c>
      <c r="L404" s="6">
        <v>0.7767</v>
      </c>
      <c r="M404" s="6">
        <v>0.4614</v>
      </c>
    </row>
    <row r="405">
      <c r="A405" s="5" t="s">
        <v>134</v>
      </c>
      <c r="B405" s="5" t="s">
        <v>163</v>
      </c>
      <c r="C405" s="5" t="s">
        <v>60</v>
      </c>
      <c r="D405" s="6">
        <v>5.0</v>
      </c>
      <c r="E405" s="6">
        <v>4.0</v>
      </c>
      <c r="F405" s="6">
        <v>8.0</v>
      </c>
      <c r="G405" s="6">
        <v>2.0</v>
      </c>
      <c r="H405" s="6">
        <v>1532.0</v>
      </c>
      <c r="I405" s="6">
        <v>0.5761</v>
      </c>
      <c r="J405" s="6">
        <v>0.6018</v>
      </c>
      <c r="K405" s="6">
        <v>0.3133</v>
      </c>
      <c r="L405" s="6">
        <v>0.9983</v>
      </c>
      <c r="M405" s="6">
        <v>0.5917</v>
      </c>
    </row>
    <row r="406">
      <c r="A406" s="5" t="s">
        <v>134</v>
      </c>
      <c r="B406" s="5" t="s">
        <v>163</v>
      </c>
      <c r="C406" s="5" t="s">
        <v>60</v>
      </c>
      <c r="D406" s="6">
        <v>5.0</v>
      </c>
      <c r="E406" s="6">
        <v>5.0</v>
      </c>
      <c r="F406" s="6">
        <v>8.0</v>
      </c>
      <c r="G406" s="6">
        <v>2.0</v>
      </c>
      <c r="H406" s="6">
        <v>1532.0</v>
      </c>
      <c r="I406" s="6">
        <v>0.6994</v>
      </c>
      <c r="J406" s="6">
        <v>0.7755</v>
      </c>
      <c r="K406" s="6">
        <v>0.5712</v>
      </c>
      <c r="L406" s="6">
        <v>1.0</v>
      </c>
      <c r="M406" s="6">
        <v>0.7118</v>
      </c>
    </row>
    <row r="407">
      <c r="A407" s="5" t="s">
        <v>134</v>
      </c>
      <c r="B407" s="5" t="s">
        <v>163</v>
      </c>
      <c r="C407" s="5" t="s">
        <v>60</v>
      </c>
      <c r="D407" s="6">
        <v>5.0</v>
      </c>
      <c r="E407" s="6">
        <v>6.0</v>
      </c>
      <c r="F407" s="6">
        <v>8.0</v>
      </c>
      <c r="G407" s="6">
        <v>2.0</v>
      </c>
      <c r="H407" s="6">
        <v>1532.0</v>
      </c>
      <c r="I407" s="6">
        <v>0.8445</v>
      </c>
      <c r="J407" s="6">
        <v>0.9681</v>
      </c>
      <c r="K407" s="6">
        <v>0.8158</v>
      </c>
      <c r="L407" s="6">
        <v>1.0</v>
      </c>
      <c r="M407" s="6">
        <v>0.8514</v>
      </c>
    </row>
    <row r="408">
      <c r="A408" s="5" t="s">
        <v>134</v>
      </c>
      <c r="B408" s="5" t="s">
        <v>163</v>
      </c>
      <c r="C408" s="5" t="s">
        <v>60</v>
      </c>
      <c r="D408" s="6">
        <v>5.0</v>
      </c>
      <c r="E408" s="6">
        <v>7.0</v>
      </c>
      <c r="F408" s="6">
        <v>8.0</v>
      </c>
      <c r="G408" s="6">
        <v>2.0</v>
      </c>
      <c r="H408" s="6">
        <v>1532.0</v>
      </c>
      <c r="I408" s="6">
        <v>0.9923</v>
      </c>
      <c r="J408" s="6">
        <v>1.0</v>
      </c>
      <c r="K408" s="6">
        <v>1.0</v>
      </c>
      <c r="L408" s="6">
        <v>1.0</v>
      </c>
      <c r="M408" s="6">
        <v>0.9927</v>
      </c>
    </row>
    <row r="409">
      <c r="A409" s="5" t="s">
        <v>134</v>
      </c>
      <c r="B409" s="5" t="s">
        <v>163</v>
      </c>
      <c r="C409" s="5" t="s">
        <v>60</v>
      </c>
      <c r="D409" s="6">
        <v>5.0</v>
      </c>
      <c r="E409" s="6">
        <v>8.0</v>
      </c>
      <c r="F409" s="6">
        <v>8.0</v>
      </c>
      <c r="G409" s="6">
        <v>2.0</v>
      </c>
      <c r="H409" s="6">
        <v>1532.0</v>
      </c>
      <c r="I409" s="6">
        <v>1.0</v>
      </c>
      <c r="J409" s="6">
        <v>1.0</v>
      </c>
      <c r="K409" s="6">
        <v>1.0</v>
      </c>
      <c r="L409" s="6">
        <v>1.0</v>
      </c>
      <c r="M409" s="6">
        <v>1.0</v>
      </c>
    </row>
    <row r="410">
      <c r="A410" s="5" t="s">
        <v>134</v>
      </c>
      <c r="B410" s="5" t="s">
        <v>1857</v>
      </c>
      <c r="C410" s="5" t="s">
        <v>60</v>
      </c>
      <c r="D410" s="6">
        <v>5.0</v>
      </c>
      <c r="E410" s="6">
        <v>1.0</v>
      </c>
      <c r="F410" s="6">
        <v>8.0</v>
      </c>
      <c r="G410" s="6">
        <v>2.0</v>
      </c>
      <c r="H410" s="6">
        <v>1095.0</v>
      </c>
      <c r="I410" s="6">
        <v>0.163</v>
      </c>
      <c r="J410" s="6">
        <v>0.0</v>
      </c>
      <c r="K410" s="6">
        <v>0.0</v>
      </c>
      <c r="L410" s="6">
        <v>0.1631</v>
      </c>
      <c r="M410" s="6">
        <v>0.1732</v>
      </c>
    </row>
    <row r="411">
      <c r="A411" s="5" t="s">
        <v>134</v>
      </c>
      <c r="B411" s="5" t="s">
        <v>1857</v>
      </c>
      <c r="C411" s="5" t="s">
        <v>60</v>
      </c>
      <c r="D411" s="6">
        <v>5.0</v>
      </c>
      <c r="E411" s="6">
        <v>2.0</v>
      </c>
      <c r="F411" s="6">
        <v>8.0</v>
      </c>
      <c r="G411" s="6">
        <v>2.0</v>
      </c>
      <c r="H411" s="6">
        <v>1095.0</v>
      </c>
      <c r="I411" s="6">
        <v>0.2861</v>
      </c>
      <c r="J411" s="6">
        <v>0.0334</v>
      </c>
      <c r="K411" s="6">
        <v>0.0</v>
      </c>
      <c r="L411" s="6">
        <v>0.4874</v>
      </c>
      <c r="M411" s="6">
        <v>0.2969</v>
      </c>
    </row>
    <row r="412">
      <c r="A412" s="5" t="s">
        <v>134</v>
      </c>
      <c r="B412" s="5" t="s">
        <v>1857</v>
      </c>
      <c r="C412" s="5" t="s">
        <v>60</v>
      </c>
      <c r="D412" s="6">
        <v>5.0</v>
      </c>
      <c r="E412" s="6">
        <v>3.0</v>
      </c>
      <c r="F412" s="6">
        <v>8.0</v>
      </c>
      <c r="G412" s="6">
        <v>2.0</v>
      </c>
      <c r="H412" s="6">
        <v>1095.0</v>
      </c>
      <c r="I412" s="6">
        <v>0.4119</v>
      </c>
      <c r="J412" s="6">
        <v>0.3302</v>
      </c>
      <c r="K412" s="6">
        <v>0.0</v>
      </c>
      <c r="L412" s="6">
        <v>0.8782</v>
      </c>
      <c r="M412" s="6">
        <v>0.4233</v>
      </c>
    </row>
    <row r="413">
      <c r="A413" s="5" t="s">
        <v>134</v>
      </c>
      <c r="B413" s="5" t="s">
        <v>1857</v>
      </c>
      <c r="C413" s="5" t="s">
        <v>60</v>
      </c>
      <c r="D413" s="6">
        <v>5.0</v>
      </c>
      <c r="E413" s="6">
        <v>4.0</v>
      </c>
      <c r="F413" s="6">
        <v>8.0</v>
      </c>
      <c r="G413" s="6">
        <v>2.0</v>
      </c>
      <c r="H413" s="6">
        <v>1095.0</v>
      </c>
      <c r="I413" s="6">
        <v>0.5511</v>
      </c>
      <c r="J413" s="6">
        <v>0.6107</v>
      </c>
      <c r="K413" s="6">
        <v>0.0111</v>
      </c>
      <c r="L413" s="6">
        <v>1.0</v>
      </c>
      <c r="M413" s="6">
        <v>0.5628</v>
      </c>
    </row>
    <row r="414">
      <c r="A414" s="5" t="s">
        <v>134</v>
      </c>
      <c r="B414" s="5" t="s">
        <v>1857</v>
      </c>
      <c r="C414" s="5" t="s">
        <v>60</v>
      </c>
      <c r="D414" s="6">
        <v>5.0</v>
      </c>
      <c r="E414" s="6">
        <v>5.0</v>
      </c>
      <c r="F414" s="6">
        <v>8.0</v>
      </c>
      <c r="G414" s="6">
        <v>2.0</v>
      </c>
      <c r="H414" s="6">
        <v>1095.0</v>
      </c>
      <c r="I414" s="6">
        <v>0.6797</v>
      </c>
      <c r="J414" s="6">
        <v>0.8441</v>
      </c>
      <c r="K414" s="6">
        <v>0.4384</v>
      </c>
      <c r="L414" s="6">
        <v>1.0</v>
      </c>
      <c r="M414" s="6">
        <v>0.6894</v>
      </c>
    </row>
    <row r="415">
      <c r="A415" s="5" t="s">
        <v>134</v>
      </c>
      <c r="B415" s="5" t="s">
        <v>1857</v>
      </c>
      <c r="C415" s="5" t="s">
        <v>60</v>
      </c>
      <c r="D415" s="6">
        <v>5.0</v>
      </c>
      <c r="E415" s="6">
        <v>6.0</v>
      </c>
      <c r="F415" s="6">
        <v>8.0</v>
      </c>
      <c r="G415" s="6">
        <v>2.0</v>
      </c>
      <c r="H415" s="6">
        <v>1095.0</v>
      </c>
      <c r="I415" s="6">
        <v>0.8267</v>
      </c>
      <c r="J415" s="6">
        <v>0.9996</v>
      </c>
      <c r="K415" s="6">
        <v>0.8106</v>
      </c>
      <c r="L415" s="6">
        <v>1.0</v>
      </c>
      <c r="M415" s="6">
        <v>0.8322</v>
      </c>
    </row>
    <row r="416">
      <c r="A416" s="5" t="s">
        <v>134</v>
      </c>
      <c r="B416" s="5" t="s">
        <v>1857</v>
      </c>
      <c r="C416" s="5" t="s">
        <v>60</v>
      </c>
      <c r="D416" s="6">
        <v>5.0</v>
      </c>
      <c r="E416" s="6">
        <v>7.0</v>
      </c>
      <c r="F416" s="6">
        <v>8.0</v>
      </c>
      <c r="G416" s="6">
        <v>2.0</v>
      </c>
      <c r="H416" s="6">
        <v>1095.0</v>
      </c>
      <c r="I416" s="6">
        <v>0.9902</v>
      </c>
      <c r="J416" s="6">
        <v>1.0</v>
      </c>
      <c r="K416" s="6">
        <v>1.0</v>
      </c>
      <c r="L416" s="6">
        <v>1.0</v>
      </c>
      <c r="M416" s="6">
        <v>0.9912</v>
      </c>
    </row>
    <row r="417">
      <c r="A417" s="5" t="s">
        <v>134</v>
      </c>
      <c r="B417" s="5" t="s">
        <v>1857</v>
      </c>
      <c r="C417" s="5" t="s">
        <v>60</v>
      </c>
      <c r="D417" s="6">
        <v>5.0</v>
      </c>
      <c r="E417" s="6">
        <v>8.0</v>
      </c>
      <c r="F417" s="6">
        <v>8.0</v>
      </c>
      <c r="G417" s="6">
        <v>2.0</v>
      </c>
      <c r="H417" s="6">
        <v>1095.0</v>
      </c>
      <c r="I417" s="6">
        <v>1.0</v>
      </c>
      <c r="J417" s="6">
        <v>1.0</v>
      </c>
      <c r="K417" s="6">
        <v>1.0</v>
      </c>
      <c r="L417" s="6">
        <v>1.0</v>
      </c>
      <c r="M417" s="6">
        <v>1.0</v>
      </c>
    </row>
    <row r="418">
      <c r="A418" s="5" t="s">
        <v>32</v>
      </c>
      <c r="B418" s="5" t="s">
        <v>163</v>
      </c>
      <c r="C418" s="5" t="s">
        <v>56</v>
      </c>
      <c r="D418" s="6">
        <v>1.0</v>
      </c>
      <c r="E418" s="6">
        <v>1.0</v>
      </c>
      <c r="F418" s="6">
        <v>2.0</v>
      </c>
      <c r="G418" s="6">
        <v>4.0</v>
      </c>
      <c r="H418" s="6">
        <v>77372.0</v>
      </c>
      <c r="I418" s="6">
        <v>0.918</v>
      </c>
      <c r="J418" s="6">
        <v>1.0</v>
      </c>
      <c r="K418" s="6">
        <v>1.0</v>
      </c>
      <c r="L418" s="6">
        <v>1.0</v>
      </c>
      <c r="M418" s="6">
        <v>0.918</v>
      </c>
    </row>
    <row r="419">
      <c r="A419" s="5" t="s">
        <v>32</v>
      </c>
      <c r="B419" s="5" t="s">
        <v>163</v>
      </c>
      <c r="C419" s="5" t="s">
        <v>56</v>
      </c>
      <c r="D419" s="6">
        <v>1.0</v>
      </c>
      <c r="E419" s="6">
        <v>2.0</v>
      </c>
      <c r="F419" s="6">
        <v>2.0</v>
      </c>
      <c r="G419" s="6">
        <v>4.0</v>
      </c>
      <c r="H419" s="6">
        <v>77372.0</v>
      </c>
      <c r="I419" s="6">
        <v>1.0</v>
      </c>
      <c r="J419" s="6">
        <v>1.0</v>
      </c>
      <c r="K419" s="6">
        <v>1.0</v>
      </c>
      <c r="L419" s="6">
        <v>1.0</v>
      </c>
      <c r="M419" s="6">
        <v>1.0</v>
      </c>
    </row>
    <row r="420">
      <c r="A420" s="5" t="s">
        <v>32</v>
      </c>
      <c r="B420" s="5" t="s">
        <v>1857</v>
      </c>
      <c r="C420" s="5" t="s">
        <v>56</v>
      </c>
      <c r="D420" s="6">
        <v>1.0</v>
      </c>
      <c r="E420" s="6">
        <v>1.0</v>
      </c>
      <c r="F420" s="6">
        <v>2.0</v>
      </c>
      <c r="G420" s="6">
        <v>4.0</v>
      </c>
      <c r="H420" s="6">
        <v>56848.0</v>
      </c>
      <c r="I420" s="6">
        <v>0.9155</v>
      </c>
      <c r="J420" s="6">
        <v>1.0</v>
      </c>
      <c r="K420" s="6">
        <v>1.0</v>
      </c>
      <c r="L420" s="6">
        <v>1.0</v>
      </c>
      <c r="M420" s="6">
        <v>0.9155</v>
      </c>
    </row>
    <row r="421">
      <c r="A421" s="5" t="s">
        <v>32</v>
      </c>
      <c r="B421" s="5" t="s">
        <v>1857</v>
      </c>
      <c r="C421" s="5" t="s">
        <v>56</v>
      </c>
      <c r="D421" s="6">
        <v>1.0</v>
      </c>
      <c r="E421" s="6">
        <v>2.0</v>
      </c>
      <c r="F421" s="6">
        <v>2.0</v>
      </c>
      <c r="G421" s="6">
        <v>4.0</v>
      </c>
      <c r="H421" s="6">
        <v>56848.0</v>
      </c>
      <c r="I421" s="6">
        <v>1.0</v>
      </c>
      <c r="J421" s="6">
        <v>1.0</v>
      </c>
      <c r="K421" s="6">
        <v>1.0</v>
      </c>
      <c r="L421" s="6">
        <v>1.0</v>
      </c>
      <c r="M421" s="6">
        <v>1.0</v>
      </c>
    </row>
    <row r="422">
      <c r="A422" s="5" t="s">
        <v>32</v>
      </c>
      <c r="B422" s="5" t="s">
        <v>163</v>
      </c>
      <c r="C422" s="5" t="s">
        <v>57</v>
      </c>
      <c r="D422" s="6">
        <v>2.0</v>
      </c>
      <c r="E422" s="6">
        <v>1.0</v>
      </c>
      <c r="F422" s="6">
        <v>2.0</v>
      </c>
      <c r="G422" s="6">
        <v>4.0</v>
      </c>
      <c r="H422" s="6">
        <v>64967.0</v>
      </c>
      <c r="I422" s="6">
        <v>0.9259</v>
      </c>
      <c r="J422" s="6">
        <v>1.0</v>
      </c>
      <c r="K422" s="6">
        <v>0.9994</v>
      </c>
      <c r="L422" s="6">
        <v>1.0</v>
      </c>
      <c r="M422" s="6">
        <v>0.9259</v>
      </c>
    </row>
    <row r="423">
      <c r="A423" s="5" t="s">
        <v>32</v>
      </c>
      <c r="B423" s="5" t="s">
        <v>163</v>
      </c>
      <c r="C423" s="5" t="s">
        <v>57</v>
      </c>
      <c r="D423" s="6">
        <v>2.0</v>
      </c>
      <c r="E423" s="6">
        <v>2.0</v>
      </c>
      <c r="F423" s="6">
        <v>2.0</v>
      </c>
      <c r="G423" s="6">
        <v>4.0</v>
      </c>
      <c r="H423" s="6">
        <v>64967.0</v>
      </c>
      <c r="I423" s="6">
        <v>1.0</v>
      </c>
      <c r="J423" s="6">
        <v>1.0</v>
      </c>
      <c r="K423" s="6">
        <v>1.0</v>
      </c>
      <c r="L423" s="6">
        <v>1.0</v>
      </c>
      <c r="M423" s="6">
        <v>1.0</v>
      </c>
    </row>
    <row r="424">
      <c r="A424" s="5" t="s">
        <v>32</v>
      </c>
      <c r="B424" s="5" t="s">
        <v>1857</v>
      </c>
      <c r="C424" s="5" t="s">
        <v>57</v>
      </c>
      <c r="D424" s="6">
        <v>2.0</v>
      </c>
      <c r="E424" s="6">
        <v>1.0</v>
      </c>
      <c r="F424" s="6">
        <v>2.0</v>
      </c>
      <c r="G424" s="6">
        <v>4.0</v>
      </c>
      <c r="H424" s="6">
        <v>38091.0</v>
      </c>
      <c r="I424" s="6">
        <v>0.9152</v>
      </c>
      <c r="J424" s="6">
        <v>1.0</v>
      </c>
      <c r="K424" s="6">
        <v>0.9997</v>
      </c>
      <c r="L424" s="6">
        <v>1.0</v>
      </c>
      <c r="M424" s="6">
        <v>0.9152</v>
      </c>
    </row>
    <row r="425">
      <c r="A425" s="5" t="s">
        <v>32</v>
      </c>
      <c r="B425" s="5" t="s">
        <v>1857</v>
      </c>
      <c r="C425" s="5" t="s">
        <v>57</v>
      </c>
      <c r="D425" s="6">
        <v>2.0</v>
      </c>
      <c r="E425" s="6">
        <v>2.0</v>
      </c>
      <c r="F425" s="6">
        <v>2.0</v>
      </c>
      <c r="G425" s="6">
        <v>4.0</v>
      </c>
      <c r="H425" s="6">
        <v>38091.0</v>
      </c>
      <c r="I425" s="6">
        <v>1.0</v>
      </c>
      <c r="J425" s="6">
        <v>1.0</v>
      </c>
      <c r="K425" s="6">
        <v>1.0</v>
      </c>
      <c r="L425" s="6">
        <v>1.0</v>
      </c>
      <c r="M425" s="6">
        <v>1.0</v>
      </c>
    </row>
    <row r="426">
      <c r="A426" s="5" t="s">
        <v>32</v>
      </c>
      <c r="B426" s="5" t="s">
        <v>163</v>
      </c>
      <c r="C426" s="5" t="s">
        <v>58</v>
      </c>
      <c r="D426" s="6">
        <v>3.0</v>
      </c>
      <c r="E426" s="6">
        <v>1.0</v>
      </c>
      <c r="F426" s="6">
        <v>2.0</v>
      </c>
      <c r="G426" s="6">
        <v>4.0</v>
      </c>
      <c r="H426" s="6">
        <v>39093.0</v>
      </c>
      <c r="I426" s="6">
        <v>0.9259</v>
      </c>
      <c r="J426" s="6">
        <v>1.0</v>
      </c>
      <c r="K426" s="6">
        <v>0.9916</v>
      </c>
      <c r="L426" s="6">
        <v>1.0</v>
      </c>
      <c r="M426" s="6">
        <v>0.9259</v>
      </c>
    </row>
    <row r="427">
      <c r="A427" s="5" t="s">
        <v>32</v>
      </c>
      <c r="B427" s="5" t="s">
        <v>163</v>
      </c>
      <c r="C427" s="5" t="s">
        <v>58</v>
      </c>
      <c r="D427" s="6">
        <v>3.0</v>
      </c>
      <c r="E427" s="6">
        <v>2.0</v>
      </c>
      <c r="F427" s="6">
        <v>2.0</v>
      </c>
      <c r="G427" s="6">
        <v>4.0</v>
      </c>
      <c r="H427" s="6">
        <v>39093.0</v>
      </c>
      <c r="I427" s="6">
        <v>1.0</v>
      </c>
      <c r="J427" s="6">
        <v>1.0</v>
      </c>
      <c r="K427" s="6">
        <v>1.0</v>
      </c>
      <c r="L427" s="6">
        <v>1.0</v>
      </c>
      <c r="M427" s="6">
        <v>1.0</v>
      </c>
    </row>
    <row r="428">
      <c r="A428" s="5" t="s">
        <v>32</v>
      </c>
      <c r="B428" s="5" t="s">
        <v>1857</v>
      </c>
      <c r="C428" s="5" t="s">
        <v>58</v>
      </c>
      <c r="D428" s="6">
        <v>3.0</v>
      </c>
      <c r="E428" s="6">
        <v>1.0</v>
      </c>
      <c r="F428" s="6">
        <v>2.0</v>
      </c>
      <c r="G428" s="6">
        <v>4.0</v>
      </c>
      <c r="H428" s="6">
        <v>21624.0</v>
      </c>
      <c r="I428" s="6">
        <v>0.914</v>
      </c>
      <c r="J428" s="6">
        <v>1.0</v>
      </c>
      <c r="K428" s="6">
        <v>0.989</v>
      </c>
      <c r="L428" s="6">
        <v>1.0</v>
      </c>
      <c r="M428" s="6">
        <v>0.914</v>
      </c>
    </row>
    <row r="429">
      <c r="A429" s="5" t="s">
        <v>32</v>
      </c>
      <c r="B429" s="5" t="s">
        <v>1857</v>
      </c>
      <c r="C429" s="5" t="s">
        <v>58</v>
      </c>
      <c r="D429" s="6">
        <v>3.0</v>
      </c>
      <c r="E429" s="6">
        <v>2.0</v>
      </c>
      <c r="F429" s="6">
        <v>2.0</v>
      </c>
      <c r="G429" s="6">
        <v>4.0</v>
      </c>
      <c r="H429" s="6">
        <v>21624.0</v>
      </c>
      <c r="I429" s="6">
        <v>1.0</v>
      </c>
      <c r="J429" s="6">
        <v>1.0</v>
      </c>
      <c r="K429" s="6">
        <v>1.0</v>
      </c>
      <c r="L429" s="6">
        <v>1.0</v>
      </c>
      <c r="M429" s="6">
        <v>1.0</v>
      </c>
    </row>
    <row r="430">
      <c r="A430" s="5" t="s">
        <v>32</v>
      </c>
      <c r="B430" s="5" t="s">
        <v>163</v>
      </c>
      <c r="C430" s="5" t="s">
        <v>59</v>
      </c>
      <c r="D430" s="6">
        <v>4.0</v>
      </c>
      <c r="E430" s="6">
        <v>1.0</v>
      </c>
      <c r="F430" s="6">
        <v>2.0</v>
      </c>
      <c r="G430" s="6">
        <v>4.0</v>
      </c>
      <c r="H430" s="6">
        <v>19268.0</v>
      </c>
      <c r="I430" s="6">
        <v>0.9359</v>
      </c>
      <c r="J430" s="6">
        <v>1.0</v>
      </c>
      <c r="K430" s="6">
        <v>0.98</v>
      </c>
      <c r="L430" s="6">
        <v>1.0</v>
      </c>
      <c r="M430" s="6">
        <v>0.9359</v>
      </c>
    </row>
    <row r="431">
      <c r="A431" s="5" t="s">
        <v>32</v>
      </c>
      <c r="B431" s="5" t="s">
        <v>163</v>
      </c>
      <c r="C431" s="5" t="s">
        <v>59</v>
      </c>
      <c r="D431" s="6">
        <v>4.0</v>
      </c>
      <c r="E431" s="6">
        <v>2.0</v>
      </c>
      <c r="F431" s="6">
        <v>2.0</v>
      </c>
      <c r="G431" s="6">
        <v>4.0</v>
      </c>
      <c r="H431" s="6">
        <v>19268.0</v>
      </c>
      <c r="I431" s="6">
        <v>1.0</v>
      </c>
      <c r="J431" s="6">
        <v>1.0</v>
      </c>
      <c r="K431" s="6">
        <v>1.0</v>
      </c>
      <c r="L431" s="6">
        <v>1.0</v>
      </c>
      <c r="M431" s="6">
        <v>1.0</v>
      </c>
    </row>
    <row r="432">
      <c r="A432" s="5" t="s">
        <v>32</v>
      </c>
      <c r="B432" s="5" t="s">
        <v>1857</v>
      </c>
      <c r="C432" s="5" t="s">
        <v>59</v>
      </c>
      <c r="D432" s="6">
        <v>4.0</v>
      </c>
      <c r="E432" s="6">
        <v>1.0</v>
      </c>
      <c r="F432" s="6">
        <v>2.0</v>
      </c>
      <c r="G432" s="6">
        <v>4.0</v>
      </c>
      <c r="H432" s="6">
        <v>10188.0</v>
      </c>
      <c r="I432" s="6">
        <v>0.9157</v>
      </c>
      <c r="J432" s="6">
        <v>1.0</v>
      </c>
      <c r="K432" s="6">
        <v>0.9685</v>
      </c>
      <c r="L432" s="6">
        <v>1.0</v>
      </c>
      <c r="M432" s="6">
        <v>0.9157</v>
      </c>
    </row>
    <row r="433">
      <c r="A433" s="5" t="s">
        <v>32</v>
      </c>
      <c r="B433" s="5" t="s">
        <v>1857</v>
      </c>
      <c r="C433" s="5" t="s">
        <v>59</v>
      </c>
      <c r="D433" s="6">
        <v>4.0</v>
      </c>
      <c r="E433" s="6">
        <v>2.0</v>
      </c>
      <c r="F433" s="6">
        <v>2.0</v>
      </c>
      <c r="G433" s="6">
        <v>4.0</v>
      </c>
      <c r="H433" s="6">
        <v>10188.0</v>
      </c>
      <c r="I433" s="6">
        <v>1.0</v>
      </c>
      <c r="J433" s="6">
        <v>1.0</v>
      </c>
      <c r="K433" s="6">
        <v>1.0</v>
      </c>
      <c r="L433" s="6">
        <v>1.0</v>
      </c>
      <c r="M433" s="6">
        <v>1.0</v>
      </c>
    </row>
    <row r="434">
      <c r="A434" s="5" t="s">
        <v>32</v>
      </c>
      <c r="B434" s="5" t="s">
        <v>163</v>
      </c>
      <c r="C434" s="5" t="s">
        <v>60</v>
      </c>
      <c r="D434" s="6">
        <v>5.0</v>
      </c>
      <c r="E434" s="6">
        <v>1.0</v>
      </c>
      <c r="F434" s="6">
        <v>2.0</v>
      </c>
      <c r="G434" s="6">
        <v>4.0</v>
      </c>
      <c r="H434" s="6">
        <v>3067.0</v>
      </c>
      <c r="I434" s="6">
        <v>0.9381</v>
      </c>
      <c r="J434" s="6">
        <v>1.0</v>
      </c>
      <c r="K434" s="6">
        <v>0.9537</v>
      </c>
      <c r="L434" s="6">
        <v>1.0</v>
      </c>
      <c r="M434" s="6">
        <v>0.9381</v>
      </c>
    </row>
    <row r="435">
      <c r="A435" s="5" t="s">
        <v>32</v>
      </c>
      <c r="B435" s="5" t="s">
        <v>163</v>
      </c>
      <c r="C435" s="5" t="s">
        <v>60</v>
      </c>
      <c r="D435" s="6">
        <v>5.0</v>
      </c>
      <c r="E435" s="6">
        <v>2.0</v>
      </c>
      <c r="F435" s="6">
        <v>2.0</v>
      </c>
      <c r="G435" s="6">
        <v>4.0</v>
      </c>
      <c r="H435" s="6">
        <v>3067.0</v>
      </c>
      <c r="I435" s="6">
        <v>1.0</v>
      </c>
      <c r="J435" s="6">
        <v>1.0</v>
      </c>
      <c r="K435" s="6">
        <v>1.0</v>
      </c>
      <c r="L435" s="6">
        <v>1.0</v>
      </c>
      <c r="M435" s="6">
        <v>1.0</v>
      </c>
    </row>
    <row r="436">
      <c r="A436" s="5" t="s">
        <v>32</v>
      </c>
      <c r="B436" s="5" t="s">
        <v>1857</v>
      </c>
      <c r="C436" s="5" t="s">
        <v>60</v>
      </c>
      <c r="D436" s="6">
        <v>5.0</v>
      </c>
      <c r="E436" s="6">
        <v>1.0</v>
      </c>
      <c r="F436" s="6">
        <v>2.0</v>
      </c>
      <c r="G436" s="6">
        <v>4.0</v>
      </c>
      <c r="H436" s="6">
        <v>1565.0</v>
      </c>
      <c r="I436" s="6">
        <v>0.9255</v>
      </c>
      <c r="J436" s="6">
        <v>1.0</v>
      </c>
      <c r="K436" s="6">
        <v>0.944</v>
      </c>
      <c r="L436" s="6">
        <v>1.0</v>
      </c>
      <c r="M436" s="6">
        <v>0.9255</v>
      </c>
    </row>
    <row r="437">
      <c r="A437" s="5" t="s">
        <v>32</v>
      </c>
      <c r="B437" s="5" t="s">
        <v>1857</v>
      </c>
      <c r="C437" s="5" t="s">
        <v>60</v>
      </c>
      <c r="D437" s="6">
        <v>5.0</v>
      </c>
      <c r="E437" s="6">
        <v>2.0</v>
      </c>
      <c r="F437" s="6">
        <v>2.0</v>
      </c>
      <c r="G437" s="6">
        <v>4.0</v>
      </c>
      <c r="H437" s="6">
        <v>1565.0</v>
      </c>
      <c r="I437" s="6">
        <v>1.0</v>
      </c>
      <c r="J437" s="6">
        <v>1.0</v>
      </c>
      <c r="K437" s="6">
        <v>1.0</v>
      </c>
      <c r="L437" s="6">
        <v>1.0</v>
      </c>
      <c r="M437" s="6">
        <v>1.0</v>
      </c>
    </row>
  </sheetData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489" t="s">
        <v>2059</v>
      </c>
      <c r="B1" s="489" t="s">
        <v>2005</v>
      </c>
      <c r="C1" s="489" t="s">
        <v>2024</v>
      </c>
      <c r="D1" s="489" t="s">
        <v>2025</v>
      </c>
      <c r="E1" s="489" t="s">
        <v>2077</v>
      </c>
      <c r="F1" s="489" t="s">
        <v>2078</v>
      </c>
      <c r="G1" s="489" t="s">
        <v>2060</v>
      </c>
      <c r="H1" s="489" t="s">
        <v>2079</v>
      </c>
      <c r="I1" s="489" t="s">
        <v>2080</v>
      </c>
      <c r="J1" s="489" t="s">
        <v>2081</v>
      </c>
      <c r="K1" s="489" t="s">
        <v>2082</v>
      </c>
      <c r="L1" s="489" t="s">
        <v>2083</v>
      </c>
      <c r="M1" s="489" t="s">
        <v>2084</v>
      </c>
      <c r="N1" s="490"/>
      <c r="O1" s="490"/>
      <c r="P1" s="490"/>
      <c r="Q1" s="490"/>
      <c r="R1" s="490"/>
      <c r="S1" s="490"/>
      <c r="T1" s="490"/>
      <c r="U1" s="490"/>
      <c r="V1" s="490"/>
      <c r="W1" s="490"/>
      <c r="X1" s="490"/>
      <c r="Y1" s="490"/>
      <c r="Z1" s="490"/>
    </row>
    <row r="2">
      <c r="A2" s="5" t="s">
        <v>43</v>
      </c>
      <c r="B2" s="5" t="s">
        <v>163</v>
      </c>
      <c r="C2" s="5" t="s">
        <v>56</v>
      </c>
      <c r="D2" s="6">
        <v>1.0</v>
      </c>
      <c r="E2" s="6">
        <v>1.0</v>
      </c>
      <c r="F2" s="6">
        <v>8.0</v>
      </c>
      <c r="G2" s="6">
        <v>5.0</v>
      </c>
      <c r="H2" s="6">
        <v>35851.0</v>
      </c>
      <c r="I2" s="6">
        <v>0.1632</v>
      </c>
      <c r="J2" s="6">
        <v>0.0</v>
      </c>
      <c r="K2" s="6">
        <v>0.0</v>
      </c>
      <c r="L2" s="6">
        <v>0.0076</v>
      </c>
      <c r="M2" s="5" t="s">
        <v>1986</v>
      </c>
    </row>
    <row r="3">
      <c r="A3" s="5" t="s">
        <v>43</v>
      </c>
      <c r="B3" s="5" t="s">
        <v>163</v>
      </c>
      <c r="C3" s="5" t="s">
        <v>56</v>
      </c>
      <c r="D3" s="6">
        <v>1.0</v>
      </c>
      <c r="E3" s="6">
        <v>2.0</v>
      </c>
      <c r="F3" s="6">
        <v>8.0</v>
      </c>
      <c r="G3" s="6">
        <v>5.0</v>
      </c>
      <c r="H3" s="6">
        <v>35851.0</v>
      </c>
      <c r="I3" s="6">
        <v>0.3075</v>
      </c>
      <c r="J3" s="6">
        <v>5.0E-4</v>
      </c>
      <c r="K3" s="6">
        <v>0.0</v>
      </c>
      <c r="L3" s="6">
        <v>0.8727</v>
      </c>
      <c r="M3" s="5" t="s">
        <v>1986</v>
      </c>
    </row>
    <row r="4">
      <c r="A4" s="5" t="s">
        <v>43</v>
      </c>
      <c r="B4" s="5" t="s">
        <v>163</v>
      </c>
      <c r="C4" s="5" t="s">
        <v>56</v>
      </c>
      <c r="D4" s="6">
        <v>1.0</v>
      </c>
      <c r="E4" s="6">
        <v>3.0</v>
      </c>
      <c r="F4" s="6">
        <v>8.0</v>
      </c>
      <c r="G4" s="6">
        <v>5.0</v>
      </c>
      <c r="H4" s="6">
        <v>35851.0</v>
      </c>
      <c r="I4" s="6">
        <v>0.4411</v>
      </c>
      <c r="J4" s="6">
        <v>0.206</v>
      </c>
      <c r="K4" s="6">
        <v>0.0</v>
      </c>
      <c r="L4" s="6">
        <v>1.0</v>
      </c>
      <c r="M4" s="5" t="s">
        <v>1986</v>
      </c>
    </row>
    <row r="5">
      <c r="A5" s="5" t="s">
        <v>43</v>
      </c>
      <c r="B5" s="5" t="s">
        <v>163</v>
      </c>
      <c r="C5" s="5" t="s">
        <v>56</v>
      </c>
      <c r="D5" s="6">
        <v>1.0</v>
      </c>
      <c r="E5" s="6">
        <v>4.0</v>
      </c>
      <c r="F5" s="6">
        <v>8.0</v>
      </c>
      <c r="G5" s="6">
        <v>5.0</v>
      </c>
      <c r="H5" s="6">
        <v>35851.0</v>
      </c>
      <c r="I5" s="6">
        <v>0.5771</v>
      </c>
      <c r="J5" s="6">
        <v>0.8495</v>
      </c>
      <c r="K5" s="6">
        <v>4.0E-4</v>
      </c>
      <c r="L5" s="6">
        <v>1.0</v>
      </c>
      <c r="M5" s="5" t="s">
        <v>1986</v>
      </c>
    </row>
    <row r="6">
      <c r="A6" s="5" t="s">
        <v>43</v>
      </c>
      <c r="B6" s="5" t="s">
        <v>163</v>
      </c>
      <c r="C6" s="5" t="s">
        <v>56</v>
      </c>
      <c r="D6" s="6">
        <v>1.0</v>
      </c>
      <c r="E6" s="6">
        <v>5.0</v>
      </c>
      <c r="F6" s="6">
        <v>8.0</v>
      </c>
      <c r="G6" s="6">
        <v>5.0</v>
      </c>
      <c r="H6" s="6">
        <v>35851.0</v>
      </c>
      <c r="I6" s="6">
        <v>0.7078</v>
      </c>
      <c r="J6" s="6">
        <v>1.0</v>
      </c>
      <c r="K6" s="6">
        <v>0.2754</v>
      </c>
      <c r="L6" s="6">
        <v>1.0</v>
      </c>
      <c r="M6" s="5" t="s">
        <v>1986</v>
      </c>
    </row>
    <row r="7">
      <c r="A7" s="5" t="s">
        <v>43</v>
      </c>
      <c r="B7" s="5" t="s">
        <v>163</v>
      </c>
      <c r="C7" s="5" t="s">
        <v>56</v>
      </c>
      <c r="D7" s="6">
        <v>1.0</v>
      </c>
      <c r="E7" s="6">
        <v>6.0</v>
      </c>
      <c r="F7" s="6">
        <v>8.0</v>
      </c>
      <c r="G7" s="6">
        <v>5.0</v>
      </c>
      <c r="H7" s="6">
        <v>35851.0</v>
      </c>
      <c r="I7" s="6">
        <v>0.8346</v>
      </c>
      <c r="J7" s="6">
        <v>1.0</v>
      </c>
      <c r="K7" s="6">
        <v>0.9729</v>
      </c>
      <c r="L7" s="6">
        <v>1.0</v>
      </c>
      <c r="M7" s="5" t="s">
        <v>1986</v>
      </c>
    </row>
    <row r="8">
      <c r="A8" s="5" t="s">
        <v>43</v>
      </c>
      <c r="B8" s="5" t="s">
        <v>163</v>
      </c>
      <c r="C8" s="5" t="s">
        <v>56</v>
      </c>
      <c r="D8" s="6">
        <v>1.0</v>
      </c>
      <c r="E8" s="6">
        <v>7.0</v>
      </c>
      <c r="F8" s="6">
        <v>8.0</v>
      </c>
      <c r="G8" s="6">
        <v>5.0</v>
      </c>
      <c r="H8" s="6">
        <v>35851.0</v>
      </c>
      <c r="I8" s="6">
        <v>0.9878</v>
      </c>
      <c r="J8" s="6">
        <v>1.0</v>
      </c>
      <c r="K8" s="6">
        <v>1.0</v>
      </c>
      <c r="L8" s="6">
        <v>1.0</v>
      </c>
      <c r="M8" s="5" t="s">
        <v>1986</v>
      </c>
    </row>
    <row r="9">
      <c r="A9" s="5" t="s">
        <v>43</v>
      </c>
      <c r="B9" s="5" t="s">
        <v>163</v>
      </c>
      <c r="C9" s="5" t="s">
        <v>56</v>
      </c>
      <c r="D9" s="6">
        <v>1.0</v>
      </c>
      <c r="E9" s="6">
        <v>8.0</v>
      </c>
      <c r="F9" s="6">
        <v>8.0</v>
      </c>
      <c r="G9" s="6">
        <v>5.0</v>
      </c>
      <c r="H9" s="6">
        <v>35851.0</v>
      </c>
      <c r="I9" s="6">
        <v>0.998</v>
      </c>
      <c r="J9" s="6">
        <v>1.0</v>
      </c>
      <c r="K9" s="6">
        <v>1.0</v>
      </c>
      <c r="L9" s="6">
        <v>1.0</v>
      </c>
      <c r="M9" s="5" t="s">
        <v>1986</v>
      </c>
    </row>
    <row r="10">
      <c r="A10" s="5" t="s">
        <v>43</v>
      </c>
      <c r="B10" s="5" t="s">
        <v>1857</v>
      </c>
      <c r="C10" s="5" t="s">
        <v>56</v>
      </c>
      <c r="D10" s="6">
        <v>1.0</v>
      </c>
      <c r="E10" s="6">
        <v>1.0</v>
      </c>
      <c r="F10" s="6">
        <v>8.0</v>
      </c>
      <c r="G10" s="6">
        <v>2.0</v>
      </c>
      <c r="H10" s="6">
        <v>28088.0</v>
      </c>
      <c r="I10" s="6">
        <v>0.1536</v>
      </c>
      <c r="J10" s="6">
        <v>0.0</v>
      </c>
      <c r="K10" s="6">
        <v>0.0</v>
      </c>
      <c r="L10" s="6">
        <v>0.0011</v>
      </c>
      <c r="M10" s="5" t="s">
        <v>1986</v>
      </c>
    </row>
    <row r="11">
      <c r="A11" s="5" t="s">
        <v>43</v>
      </c>
      <c r="B11" s="5" t="s">
        <v>1857</v>
      </c>
      <c r="C11" s="5" t="s">
        <v>56</v>
      </c>
      <c r="D11" s="6">
        <v>1.0</v>
      </c>
      <c r="E11" s="6">
        <v>2.0</v>
      </c>
      <c r="F11" s="6">
        <v>8.0</v>
      </c>
      <c r="G11" s="6">
        <v>2.0</v>
      </c>
      <c r="H11" s="6">
        <v>28088.0</v>
      </c>
      <c r="I11" s="6">
        <v>0.3041</v>
      </c>
      <c r="J11" s="6">
        <v>0.0</v>
      </c>
      <c r="K11" s="6">
        <v>0.0</v>
      </c>
      <c r="L11" s="6">
        <v>0.8677</v>
      </c>
      <c r="M11" s="5" t="s">
        <v>1986</v>
      </c>
    </row>
    <row r="12">
      <c r="A12" s="5" t="s">
        <v>43</v>
      </c>
      <c r="B12" s="5" t="s">
        <v>1857</v>
      </c>
      <c r="C12" s="5" t="s">
        <v>56</v>
      </c>
      <c r="D12" s="6">
        <v>1.0</v>
      </c>
      <c r="E12" s="6">
        <v>3.0</v>
      </c>
      <c r="F12" s="6">
        <v>8.0</v>
      </c>
      <c r="G12" s="6">
        <v>2.0</v>
      </c>
      <c r="H12" s="6">
        <v>28088.0</v>
      </c>
      <c r="I12" s="6">
        <v>0.4418</v>
      </c>
      <c r="J12" s="6">
        <v>0.1865</v>
      </c>
      <c r="K12" s="6">
        <v>0.0</v>
      </c>
      <c r="L12" s="6">
        <v>1.0</v>
      </c>
      <c r="M12" s="5" t="s">
        <v>1986</v>
      </c>
    </row>
    <row r="13">
      <c r="A13" s="5" t="s">
        <v>43</v>
      </c>
      <c r="B13" s="5" t="s">
        <v>1857</v>
      </c>
      <c r="C13" s="5" t="s">
        <v>56</v>
      </c>
      <c r="D13" s="6">
        <v>1.0</v>
      </c>
      <c r="E13" s="6">
        <v>4.0</v>
      </c>
      <c r="F13" s="6">
        <v>8.0</v>
      </c>
      <c r="G13" s="6">
        <v>2.0</v>
      </c>
      <c r="H13" s="6">
        <v>28088.0</v>
      </c>
      <c r="I13" s="6">
        <v>0.5752</v>
      </c>
      <c r="J13" s="6">
        <v>0.8824</v>
      </c>
      <c r="K13" s="6">
        <v>2.0E-4</v>
      </c>
      <c r="L13" s="6">
        <v>1.0</v>
      </c>
      <c r="M13" s="5" t="s">
        <v>1986</v>
      </c>
    </row>
    <row r="14">
      <c r="A14" s="5" t="s">
        <v>43</v>
      </c>
      <c r="B14" s="5" t="s">
        <v>1857</v>
      </c>
      <c r="C14" s="5" t="s">
        <v>56</v>
      </c>
      <c r="D14" s="6">
        <v>1.0</v>
      </c>
      <c r="E14" s="6">
        <v>5.0</v>
      </c>
      <c r="F14" s="6">
        <v>8.0</v>
      </c>
      <c r="G14" s="6">
        <v>2.0</v>
      </c>
      <c r="H14" s="6">
        <v>28088.0</v>
      </c>
      <c r="I14" s="6">
        <v>0.7102</v>
      </c>
      <c r="J14" s="6">
        <v>1.0</v>
      </c>
      <c r="K14" s="6">
        <v>0.2521</v>
      </c>
      <c r="L14" s="6">
        <v>1.0</v>
      </c>
      <c r="M14" s="5" t="s">
        <v>1986</v>
      </c>
    </row>
    <row r="15">
      <c r="A15" s="5" t="s">
        <v>43</v>
      </c>
      <c r="B15" s="5" t="s">
        <v>1857</v>
      </c>
      <c r="C15" s="5" t="s">
        <v>56</v>
      </c>
      <c r="D15" s="6">
        <v>1.0</v>
      </c>
      <c r="E15" s="6">
        <v>6.0</v>
      </c>
      <c r="F15" s="6">
        <v>8.0</v>
      </c>
      <c r="G15" s="6">
        <v>2.0</v>
      </c>
      <c r="H15" s="6">
        <v>28088.0</v>
      </c>
      <c r="I15" s="6">
        <v>0.8392</v>
      </c>
      <c r="J15" s="6">
        <v>1.0</v>
      </c>
      <c r="K15" s="6">
        <v>0.994</v>
      </c>
      <c r="L15" s="6">
        <v>1.0</v>
      </c>
      <c r="M15" s="5" t="s">
        <v>1986</v>
      </c>
    </row>
    <row r="16">
      <c r="A16" s="5" t="s">
        <v>43</v>
      </c>
      <c r="B16" s="5" t="s">
        <v>1857</v>
      </c>
      <c r="C16" s="5" t="s">
        <v>56</v>
      </c>
      <c r="D16" s="6">
        <v>1.0</v>
      </c>
      <c r="E16" s="6">
        <v>7.0</v>
      </c>
      <c r="F16" s="6">
        <v>8.0</v>
      </c>
      <c r="G16" s="6">
        <v>2.0</v>
      </c>
      <c r="H16" s="6">
        <v>28088.0</v>
      </c>
      <c r="I16" s="6">
        <v>0.9875</v>
      </c>
      <c r="J16" s="6">
        <v>1.0</v>
      </c>
      <c r="K16" s="6">
        <v>1.0</v>
      </c>
      <c r="L16" s="6">
        <v>1.0</v>
      </c>
      <c r="M16" s="5" t="s">
        <v>1986</v>
      </c>
    </row>
    <row r="17">
      <c r="A17" s="5" t="s">
        <v>43</v>
      </c>
      <c r="B17" s="5" t="s">
        <v>1857</v>
      </c>
      <c r="C17" s="5" t="s">
        <v>56</v>
      </c>
      <c r="D17" s="6">
        <v>1.0</v>
      </c>
      <c r="E17" s="6">
        <v>8.0</v>
      </c>
      <c r="F17" s="6">
        <v>8.0</v>
      </c>
      <c r="G17" s="6">
        <v>2.0</v>
      </c>
      <c r="H17" s="6">
        <v>28088.0</v>
      </c>
      <c r="I17" s="6">
        <v>0.9986</v>
      </c>
      <c r="J17" s="6">
        <v>1.0</v>
      </c>
      <c r="K17" s="6">
        <v>1.0</v>
      </c>
      <c r="L17" s="6">
        <v>1.0</v>
      </c>
      <c r="M17" s="5" t="s">
        <v>1986</v>
      </c>
    </row>
    <row r="18">
      <c r="A18" s="5" t="s">
        <v>43</v>
      </c>
      <c r="B18" s="5" t="s">
        <v>163</v>
      </c>
      <c r="C18" s="5" t="s">
        <v>57</v>
      </c>
      <c r="D18" s="6">
        <v>2.0</v>
      </c>
      <c r="E18" s="6">
        <v>1.0</v>
      </c>
      <c r="F18" s="6">
        <v>8.0</v>
      </c>
      <c r="G18" s="6">
        <v>17.0</v>
      </c>
      <c r="H18" s="6">
        <v>41222.0</v>
      </c>
      <c r="I18" s="6">
        <v>0.1592</v>
      </c>
      <c r="J18" s="6">
        <v>0.0</v>
      </c>
      <c r="K18" s="6">
        <v>0.0</v>
      </c>
      <c r="L18" s="6">
        <v>0.077</v>
      </c>
      <c r="M18" s="5" t="s">
        <v>1986</v>
      </c>
    </row>
    <row r="19">
      <c r="A19" s="5" t="s">
        <v>43</v>
      </c>
      <c r="B19" s="5" t="s">
        <v>163</v>
      </c>
      <c r="C19" s="5" t="s">
        <v>57</v>
      </c>
      <c r="D19" s="6">
        <v>2.0</v>
      </c>
      <c r="E19" s="6">
        <v>2.0</v>
      </c>
      <c r="F19" s="6">
        <v>8.0</v>
      </c>
      <c r="G19" s="6">
        <v>17.0</v>
      </c>
      <c r="H19" s="6">
        <v>41222.0</v>
      </c>
      <c r="I19" s="6">
        <v>0.3047</v>
      </c>
      <c r="J19" s="6">
        <v>0.0242</v>
      </c>
      <c r="K19" s="6">
        <v>0.0</v>
      </c>
      <c r="L19" s="6">
        <v>0.6482</v>
      </c>
      <c r="M19" s="5" t="s">
        <v>1986</v>
      </c>
    </row>
    <row r="20">
      <c r="A20" s="5" t="s">
        <v>43</v>
      </c>
      <c r="B20" s="5" t="s">
        <v>163</v>
      </c>
      <c r="C20" s="5" t="s">
        <v>57</v>
      </c>
      <c r="D20" s="6">
        <v>2.0</v>
      </c>
      <c r="E20" s="6">
        <v>3.0</v>
      </c>
      <c r="F20" s="6">
        <v>8.0</v>
      </c>
      <c r="G20" s="6">
        <v>17.0</v>
      </c>
      <c r="H20" s="6">
        <v>41222.0</v>
      </c>
      <c r="I20" s="6">
        <v>0.4431</v>
      </c>
      <c r="J20" s="6">
        <v>0.3261</v>
      </c>
      <c r="K20" s="6">
        <v>0.0</v>
      </c>
      <c r="L20" s="6">
        <v>0.996</v>
      </c>
      <c r="M20" s="5" t="s">
        <v>1986</v>
      </c>
    </row>
    <row r="21">
      <c r="A21" s="5" t="s">
        <v>43</v>
      </c>
      <c r="B21" s="5" t="s">
        <v>163</v>
      </c>
      <c r="C21" s="5" t="s">
        <v>57</v>
      </c>
      <c r="D21" s="6">
        <v>2.0</v>
      </c>
      <c r="E21" s="6">
        <v>4.0</v>
      </c>
      <c r="F21" s="6">
        <v>8.0</v>
      </c>
      <c r="G21" s="6">
        <v>17.0</v>
      </c>
      <c r="H21" s="6">
        <v>41222.0</v>
      </c>
      <c r="I21" s="6">
        <v>0.5801</v>
      </c>
      <c r="J21" s="6">
        <v>0.7237</v>
      </c>
      <c r="K21" s="6">
        <v>0.0361</v>
      </c>
      <c r="L21" s="6">
        <v>1.0</v>
      </c>
      <c r="M21" s="5" t="s">
        <v>1986</v>
      </c>
    </row>
    <row r="22">
      <c r="A22" s="5" t="s">
        <v>43</v>
      </c>
      <c r="B22" s="5" t="s">
        <v>163</v>
      </c>
      <c r="C22" s="5" t="s">
        <v>57</v>
      </c>
      <c r="D22" s="6">
        <v>2.0</v>
      </c>
      <c r="E22" s="6">
        <v>5.0</v>
      </c>
      <c r="F22" s="6">
        <v>8.0</v>
      </c>
      <c r="G22" s="6">
        <v>17.0</v>
      </c>
      <c r="H22" s="6">
        <v>41222.0</v>
      </c>
      <c r="I22" s="6">
        <v>0.7125</v>
      </c>
      <c r="J22" s="6">
        <v>0.9932</v>
      </c>
      <c r="K22" s="6">
        <v>0.421</v>
      </c>
      <c r="L22" s="6">
        <v>1.0</v>
      </c>
      <c r="M22" s="5" t="s">
        <v>1986</v>
      </c>
    </row>
    <row r="23">
      <c r="A23" s="5" t="s">
        <v>43</v>
      </c>
      <c r="B23" s="5" t="s">
        <v>163</v>
      </c>
      <c r="C23" s="5" t="s">
        <v>57</v>
      </c>
      <c r="D23" s="6">
        <v>2.0</v>
      </c>
      <c r="E23" s="6">
        <v>6.0</v>
      </c>
      <c r="F23" s="6">
        <v>8.0</v>
      </c>
      <c r="G23" s="6">
        <v>17.0</v>
      </c>
      <c r="H23" s="6">
        <v>41222.0</v>
      </c>
      <c r="I23" s="6">
        <v>0.8375</v>
      </c>
      <c r="J23" s="6">
        <v>1.0</v>
      </c>
      <c r="K23" s="6">
        <v>0.8795</v>
      </c>
      <c r="L23" s="6">
        <v>1.0</v>
      </c>
      <c r="M23" s="5" t="s">
        <v>1986</v>
      </c>
    </row>
    <row r="24">
      <c r="A24" s="5" t="s">
        <v>43</v>
      </c>
      <c r="B24" s="5" t="s">
        <v>163</v>
      </c>
      <c r="C24" s="5" t="s">
        <v>57</v>
      </c>
      <c r="D24" s="6">
        <v>2.0</v>
      </c>
      <c r="E24" s="6">
        <v>7.0</v>
      </c>
      <c r="F24" s="6">
        <v>8.0</v>
      </c>
      <c r="G24" s="6">
        <v>17.0</v>
      </c>
      <c r="H24" s="6">
        <v>41222.0</v>
      </c>
      <c r="I24" s="6">
        <v>0.986</v>
      </c>
      <c r="J24" s="6">
        <v>1.0</v>
      </c>
      <c r="K24" s="6">
        <v>1.0</v>
      </c>
      <c r="L24" s="6">
        <v>1.0</v>
      </c>
      <c r="M24" s="5" t="s">
        <v>1986</v>
      </c>
    </row>
    <row r="25">
      <c r="A25" s="5" t="s">
        <v>43</v>
      </c>
      <c r="B25" s="5" t="s">
        <v>163</v>
      </c>
      <c r="C25" s="5" t="s">
        <v>57</v>
      </c>
      <c r="D25" s="6">
        <v>2.0</v>
      </c>
      <c r="E25" s="6">
        <v>8.0</v>
      </c>
      <c r="F25" s="6">
        <v>8.0</v>
      </c>
      <c r="G25" s="6">
        <v>17.0</v>
      </c>
      <c r="H25" s="6">
        <v>41222.0</v>
      </c>
      <c r="I25" s="6">
        <v>0.9978</v>
      </c>
      <c r="J25" s="6">
        <v>1.0</v>
      </c>
      <c r="K25" s="6">
        <v>1.0</v>
      </c>
      <c r="L25" s="6">
        <v>1.0</v>
      </c>
      <c r="M25" s="5" t="s">
        <v>1986</v>
      </c>
    </row>
    <row r="26">
      <c r="A26" s="5" t="s">
        <v>43</v>
      </c>
      <c r="B26" s="5" t="s">
        <v>1857</v>
      </c>
      <c r="C26" s="5" t="s">
        <v>57</v>
      </c>
      <c r="D26" s="6">
        <v>2.0</v>
      </c>
      <c r="E26" s="6">
        <v>1.0</v>
      </c>
      <c r="F26" s="6">
        <v>8.0</v>
      </c>
      <c r="G26" s="6">
        <v>2.0</v>
      </c>
      <c r="H26" s="6">
        <v>26863.0</v>
      </c>
      <c r="I26" s="6">
        <v>0.1491</v>
      </c>
      <c r="J26" s="6">
        <v>0.0</v>
      </c>
      <c r="K26" s="6">
        <v>0.0</v>
      </c>
      <c r="L26" s="6">
        <v>0.0348</v>
      </c>
      <c r="M26" s="5" t="s">
        <v>1986</v>
      </c>
    </row>
    <row r="27">
      <c r="A27" s="5" t="s">
        <v>43</v>
      </c>
      <c r="B27" s="5" t="s">
        <v>1857</v>
      </c>
      <c r="C27" s="5" t="s">
        <v>57</v>
      </c>
      <c r="D27" s="6">
        <v>2.0</v>
      </c>
      <c r="E27" s="6">
        <v>2.0</v>
      </c>
      <c r="F27" s="6">
        <v>8.0</v>
      </c>
      <c r="G27" s="6">
        <v>2.0</v>
      </c>
      <c r="H27" s="6">
        <v>26863.0</v>
      </c>
      <c r="I27" s="6">
        <v>0.2994</v>
      </c>
      <c r="J27" s="6">
        <v>0.0093</v>
      </c>
      <c r="K27" s="6">
        <v>0.0</v>
      </c>
      <c r="L27" s="6">
        <v>0.6449</v>
      </c>
      <c r="M27" s="5" t="s">
        <v>1986</v>
      </c>
    </row>
    <row r="28">
      <c r="A28" s="5" t="s">
        <v>43</v>
      </c>
      <c r="B28" s="5" t="s">
        <v>1857</v>
      </c>
      <c r="C28" s="5" t="s">
        <v>57</v>
      </c>
      <c r="D28" s="6">
        <v>2.0</v>
      </c>
      <c r="E28" s="6">
        <v>3.0</v>
      </c>
      <c r="F28" s="6">
        <v>8.0</v>
      </c>
      <c r="G28" s="6">
        <v>2.0</v>
      </c>
      <c r="H28" s="6">
        <v>26863.0</v>
      </c>
      <c r="I28" s="6">
        <v>0.4429</v>
      </c>
      <c r="J28" s="6">
        <v>0.311</v>
      </c>
      <c r="K28" s="6">
        <v>0.0</v>
      </c>
      <c r="L28" s="6">
        <v>0.9991</v>
      </c>
      <c r="M28" s="5" t="s">
        <v>1986</v>
      </c>
    </row>
    <row r="29">
      <c r="A29" s="5" t="s">
        <v>43</v>
      </c>
      <c r="B29" s="5" t="s">
        <v>1857</v>
      </c>
      <c r="C29" s="5" t="s">
        <v>57</v>
      </c>
      <c r="D29" s="6">
        <v>2.0</v>
      </c>
      <c r="E29" s="6">
        <v>4.0</v>
      </c>
      <c r="F29" s="6">
        <v>8.0</v>
      </c>
      <c r="G29" s="6">
        <v>2.0</v>
      </c>
      <c r="H29" s="6">
        <v>26863.0</v>
      </c>
      <c r="I29" s="6">
        <v>0.58</v>
      </c>
      <c r="J29" s="6">
        <v>0.7413</v>
      </c>
      <c r="K29" s="6">
        <v>0.0212</v>
      </c>
      <c r="L29" s="6">
        <v>1.0</v>
      </c>
      <c r="M29" s="5" t="s">
        <v>1986</v>
      </c>
    </row>
    <row r="30">
      <c r="A30" s="5" t="s">
        <v>43</v>
      </c>
      <c r="B30" s="5" t="s">
        <v>1857</v>
      </c>
      <c r="C30" s="5" t="s">
        <v>57</v>
      </c>
      <c r="D30" s="6">
        <v>2.0</v>
      </c>
      <c r="E30" s="6">
        <v>5.0</v>
      </c>
      <c r="F30" s="6">
        <v>8.0</v>
      </c>
      <c r="G30" s="6">
        <v>2.0</v>
      </c>
      <c r="H30" s="6">
        <v>26863.0</v>
      </c>
      <c r="I30" s="6">
        <v>0.7159</v>
      </c>
      <c r="J30" s="6">
        <v>0.9995</v>
      </c>
      <c r="K30" s="6">
        <v>0.4193</v>
      </c>
      <c r="L30" s="6">
        <v>1.0</v>
      </c>
      <c r="M30" s="5" t="s">
        <v>1986</v>
      </c>
    </row>
    <row r="31">
      <c r="A31" s="5" t="s">
        <v>43</v>
      </c>
      <c r="B31" s="5" t="s">
        <v>1857</v>
      </c>
      <c r="C31" s="5" t="s">
        <v>57</v>
      </c>
      <c r="D31" s="6">
        <v>2.0</v>
      </c>
      <c r="E31" s="6">
        <v>6.0</v>
      </c>
      <c r="F31" s="6">
        <v>8.0</v>
      </c>
      <c r="G31" s="6">
        <v>2.0</v>
      </c>
      <c r="H31" s="6">
        <v>26863.0</v>
      </c>
      <c r="I31" s="6">
        <v>0.8445</v>
      </c>
      <c r="J31" s="6">
        <v>1.0</v>
      </c>
      <c r="K31" s="6">
        <v>0.9311</v>
      </c>
      <c r="L31" s="6">
        <v>1.0</v>
      </c>
      <c r="M31" s="5" t="s">
        <v>1986</v>
      </c>
    </row>
    <row r="32">
      <c r="A32" s="5" t="s">
        <v>43</v>
      </c>
      <c r="B32" s="5" t="s">
        <v>1857</v>
      </c>
      <c r="C32" s="5" t="s">
        <v>57</v>
      </c>
      <c r="D32" s="6">
        <v>2.0</v>
      </c>
      <c r="E32" s="6">
        <v>7.0</v>
      </c>
      <c r="F32" s="6">
        <v>8.0</v>
      </c>
      <c r="G32" s="6">
        <v>2.0</v>
      </c>
      <c r="H32" s="6">
        <v>26863.0</v>
      </c>
      <c r="I32" s="6">
        <v>0.9865</v>
      </c>
      <c r="J32" s="6">
        <v>1.0</v>
      </c>
      <c r="K32" s="6">
        <v>1.0</v>
      </c>
      <c r="L32" s="6">
        <v>1.0</v>
      </c>
      <c r="M32" s="5" t="s">
        <v>1986</v>
      </c>
    </row>
    <row r="33">
      <c r="A33" s="5" t="s">
        <v>43</v>
      </c>
      <c r="B33" s="5" t="s">
        <v>1857</v>
      </c>
      <c r="C33" s="5" t="s">
        <v>57</v>
      </c>
      <c r="D33" s="6">
        <v>2.0</v>
      </c>
      <c r="E33" s="6">
        <v>8.0</v>
      </c>
      <c r="F33" s="6">
        <v>8.0</v>
      </c>
      <c r="G33" s="6">
        <v>2.0</v>
      </c>
      <c r="H33" s="6">
        <v>26863.0</v>
      </c>
      <c r="I33" s="6">
        <v>0.9987</v>
      </c>
      <c r="J33" s="6">
        <v>1.0</v>
      </c>
      <c r="K33" s="6">
        <v>1.0</v>
      </c>
      <c r="L33" s="6">
        <v>1.0</v>
      </c>
      <c r="M33" s="5" t="s">
        <v>1986</v>
      </c>
    </row>
    <row r="34">
      <c r="A34" s="5" t="s">
        <v>43</v>
      </c>
      <c r="B34" s="5" t="s">
        <v>163</v>
      </c>
      <c r="C34" s="5" t="s">
        <v>58</v>
      </c>
      <c r="D34" s="6">
        <v>3.0</v>
      </c>
      <c r="E34" s="6">
        <v>1.0</v>
      </c>
      <c r="F34" s="6">
        <v>8.0</v>
      </c>
      <c r="G34" s="6">
        <v>56.0</v>
      </c>
      <c r="H34" s="6">
        <v>31919.0</v>
      </c>
      <c r="I34" s="6">
        <v>0.1542</v>
      </c>
      <c r="J34" s="6">
        <v>0.0</v>
      </c>
      <c r="K34" s="6">
        <v>0.0</v>
      </c>
      <c r="L34" s="6">
        <v>0.1206</v>
      </c>
      <c r="M34" s="5" t="s">
        <v>1986</v>
      </c>
    </row>
    <row r="35">
      <c r="A35" s="5" t="s">
        <v>43</v>
      </c>
      <c r="B35" s="5" t="s">
        <v>163</v>
      </c>
      <c r="C35" s="5" t="s">
        <v>58</v>
      </c>
      <c r="D35" s="6">
        <v>3.0</v>
      </c>
      <c r="E35" s="6">
        <v>2.0</v>
      </c>
      <c r="F35" s="6">
        <v>8.0</v>
      </c>
      <c r="G35" s="6">
        <v>56.0</v>
      </c>
      <c r="H35" s="6">
        <v>31919.0</v>
      </c>
      <c r="I35" s="6">
        <v>0.2932</v>
      </c>
      <c r="J35" s="6">
        <v>0.0648</v>
      </c>
      <c r="K35" s="6">
        <v>0.0</v>
      </c>
      <c r="L35" s="6">
        <v>0.5249</v>
      </c>
      <c r="M35" s="5" t="s">
        <v>1986</v>
      </c>
    </row>
    <row r="36">
      <c r="A36" s="5" t="s">
        <v>43</v>
      </c>
      <c r="B36" s="5" t="s">
        <v>163</v>
      </c>
      <c r="C36" s="5" t="s">
        <v>58</v>
      </c>
      <c r="D36" s="6">
        <v>3.0</v>
      </c>
      <c r="E36" s="6">
        <v>3.0</v>
      </c>
      <c r="F36" s="6">
        <v>8.0</v>
      </c>
      <c r="G36" s="6">
        <v>56.0</v>
      </c>
      <c r="H36" s="6">
        <v>31919.0</v>
      </c>
      <c r="I36" s="6">
        <v>0.4265</v>
      </c>
      <c r="J36" s="6">
        <v>0.3315</v>
      </c>
      <c r="K36" s="6">
        <v>1.0E-4</v>
      </c>
      <c r="L36" s="6">
        <v>0.9357</v>
      </c>
      <c r="M36" s="5" t="s">
        <v>1986</v>
      </c>
    </row>
    <row r="37">
      <c r="A37" s="5" t="s">
        <v>43</v>
      </c>
      <c r="B37" s="5" t="s">
        <v>163</v>
      </c>
      <c r="C37" s="5" t="s">
        <v>58</v>
      </c>
      <c r="D37" s="6">
        <v>3.0</v>
      </c>
      <c r="E37" s="6">
        <v>4.0</v>
      </c>
      <c r="F37" s="6">
        <v>8.0</v>
      </c>
      <c r="G37" s="6">
        <v>56.0</v>
      </c>
      <c r="H37" s="6">
        <v>31919.0</v>
      </c>
      <c r="I37" s="6">
        <v>0.5631</v>
      </c>
      <c r="J37" s="6">
        <v>0.6228</v>
      </c>
      <c r="K37" s="6">
        <v>0.0861</v>
      </c>
      <c r="L37" s="6">
        <v>1.0</v>
      </c>
      <c r="M37" s="5" t="s">
        <v>1986</v>
      </c>
    </row>
    <row r="38">
      <c r="A38" s="5" t="s">
        <v>43</v>
      </c>
      <c r="B38" s="5" t="s">
        <v>163</v>
      </c>
      <c r="C38" s="5" t="s">
        <v>58</v>
      </c>
      <c r="D38" s="6">
        <v>3.0</v>
      </c>
      <c r="E38" s="6">
        <v>5.0</v>
      </c>
      <c r="F38" s="6">
        <v>8.0</v>
      </c>
      <c r="G38" s="6">
        <v>56.0</v>
      </c>
      <c r="H38" s="6">
        <v>31919.0</v>
      </c>
      <c r="I38" s="6">
        <v>0.6989</v>
      </c>
      <c r="J38" s="6">
        <v>0.9196</v>
      </c>
      <c r="K38" s="6">
        <v>0.445</v>
      </c>
      <c r="L38" s="6">
        <v>1.0</v>
      </c>
      <c r="M38" s="5" t="s">
        <v>1986</v>
      </c>
    </row>
    <row r="39">
      <c r="A39" s="5" t="s">
        <v>43</v>
      </c>
      <c r="B39" s="5" t="s">
        <v>163</v>
      </c>
      <c r="C39" s="5" t="s">
        <v>58</v>
      </c>
      <c r="D39" s="6">
        <v>3.0</v>
      </c>
      <c r="E39" s="6">
        <v>6.0</v>
      </c>
      <c r="F39" s="6">
        <v>8.0</v>
      </c>
      <c r="G39" s="6">
        <v>56.0</v>
      </c>
      <c r="H39" s="6">
        <v>31919.0</v>
      </c>
      <c r="I39" s="6">
        <v>0.8323</v>
      </c>
      <c r="J39" s="6">
        <v>1.0</v>
      </c>
      <c r="K39" s="6">
        <v>0.8095</v>
      </c>
      <c r="L39" s="6">
        <v>1.0</v>
      </c>
      <c r="M39" s="5" t="s">
        <v>1986</v>
      </c>
    </row>
    <row r="40">
      <c r="A40" s="5" t="s">
        <v>43</v>
      </c>
      <c r="B40" s="5" t="s">
        <v>163</v>
      </c>
      <c r="C40" s="5" t="s">
        <v>58</v>
      </c>
      <c r="D40" s="6">
        <v>3.0</v>
      </c>
      <c r="E40" s="6">
        <v>7.0</v>
      </c>
      <c r="F40" s="6">
        <v>8.0</v>
      </c>
      <c r="G40" s="6">
        <v>56.0</v>
      </c>
      <c r="H40" s="6">
        <v>31919.0</v>
      </c>
      <c r="I40" s="6">
        <v>0.9813</v>
      </c>
      <c r="J40" s="6">
        <v>1.0</v>
      </c>
      <c r="K40" s="6">
        <v>1.0</v>
      </c>
      <c r="L40" s="6">
        <v>1.0</v>
      </c>
      <c r="M40" s="5" t="s">
        <v>1986</v>
      </c>
    </row>
    <row r="41">
      <c r="A41" s="5" t="s">
        <v>43</v>
      </c>
      <c r="B41" s="5" t="s">
        <v>163</v>
      </c>
      <c r="C41" s="5" t="s">
        <v>58</v>
      </c>
      <c r="D41" s="6">
        <v>3.0</v>
      </c>
      <c r="E41" s="6">
        <v>8.0</v>
      </c>
      <c r="F41" s="6">
        <v>8.0</v>
      </c>
      <c r="G41" s="6">
        <v>56.0</v>
      </c>
      <c r="H41" s="6">
        <v>31919.0</v>
      </c>
      <c r="I41" s="6">
        <v>0.9967</v>
      </c>
      <c r="J41" s="6">
        <v>1.0</v>
      </c>
      <c r="K41" s="6">
        <v>1.0</v>
      </c>
      <c r="L41" s="6">
        <v>1.0</v>
      </c>
      <c r="M41" s="5" t="s">
        <v>1986</v>
      </c>
    </row>
    <row r="42">
      <c r="A42" s="5" t="s">
        <v>43</v>
      </c>
      <c r="B42" s="5" t="s">
        <v>1857</v>
      </c>
      <c r="C42" s="5" t="s">
        <v>58</v>
      </c>
      <c r="D42" s="6">
        <v>3.0</v>
      </c>
      <c r="E42" s="6">
        <v>1.0</v>
      </c>
      <c r="F42" s="6">
        <v>8.0</v>
      </c>
      <c r="G42" s="6">
        <v>53.0</v>
      </c>
      <c r="H42" s="6">
        <v>19733.0</v>
      </c>
      <c r="I42" s="6">
        <v>0.1464</v>
      </c>
      <c r="J42" s="6">
        <v>0.0</v>
      </c>
      <c r="K42" s="6">
        <v>0.0</v>
      </c>
      <c r="L42" s="6">
        <v>0.0943</v>
      </c>
      <c r="M42" s="5" t="s">
        <v>1986</v>
      </c>
    </row>
    <row r="43">
      <c r="A43" s="5" t="s">
        <v>43</v>
      </c>
      <c r="B43" s="5" t="s">
        <v>1857</v>
      </c>
      <c r="C43" s="5" t="s">
        <v>58</v>
      </c>
      <c r="D43" s="6">
        <v>3.0</v>
      </c>
      <c r="E43" s="6">
        <v>2.0</v>
      </c>
      <c r="F43" s="6">
        <v>8.0</v>
      </c>
      <c r="G43" s="6">
        <v>53.0</v>
      </c>
      <c r="H43" s="6">
        <v>19733.0</v>
      </c>
      <c r="I43" s="6">
        <v>0.2869</v>
      </c>
      <c r="J43" s="6">
        <v>0.0405</v>
      </c>
      <c r="K43" s="6">
        <v>0.0</v>
      </c>
      <c r="L43" s="6">
        <v>0.5264</v>
      </c>
      <c r="M43" s="5" t="s">
        <v>1986</v>
      </c>
    </row>
    <row r="44">
      <c r="A44" s="5" t="s">
        <v>43</v>
      </c>
      <c r="B44" s="5" t="s">
        <v>1857</v>
      </c>
      <c r="C44" s="5" t="s">
        <v>58</v>
      </c>
      <c r="D44" s="6">
        <v>3.0</v>
      </c>
      <c r="E44" s="6">
        <v>3.0</v>
      </c>
      <c r="F44" s="6">
        <v>8.0</v>
      </c>
      <c r="G44" s="6">
        <v>53.0</v>
      </c>
      <c r="H44" s="6">
        <v>19733.0</v>
      </c>
      <c r="I44" s="6">
        <v>0.4297</v>
      </c>
      <c r="J44" s="6">
        <v>0.3338</v>
      </c>
      <c r="K44" s="6">
        <v>0.0</v>
      </c>
      <c r="L44" s="6">
        <v>0.9574</v>
      </c>
      <c r="M44" s="5" t="s">
        <v>1986</v>
      </c>
    </row>
    <row r="45">
      <c r="A45" s="5" t="s">
        <v>43</v>
      </c>
      <c r="B45" s="5" t="s">
        <v>1857</v>
      </c>
      <c r="C45" s="5" t="s">
        <v>58</v>
      </c>
      <c r="D45" s="6">
        <v>3.0</v>
      </c>
      <c r="E45" s="6">
        <v>4.0</v>
      </c>
      <c r="F45" s="6">
        <v>8.0</v>
      </c>
      <c r="G45" s="6">
        <v>53.0</v>
      </c>
      <c r="H45" s="6">
        <v>19733.0</v>
      </c>
      <c r="I45" s="6">
        <v>0.5679</v>
      </c>
      <c r="J45" s="6">
        <v>0.644</v>
      </c>
      <c r="K45" s="6">
        <v>0.0675</v>
      </c>
      <c r="L45" s="6">
        <v>1.0</v>
      </c>
      <c r="M45" s="5" t="s">
        <v>1986</v>
      </c>
    </row>
    <row r="46">
      <c r="A46" s="5" t="s">
        <v>43</v>
      </c>
      <c r="B46" s="5" t="s">
        <v>1857</v>
      </c>
      <c r="C46" s="5" t="s">
        <v>58</v>
      </c>
      <c r="D46" s="6">
        <v>3.0</v>
      </c>
      <c r="E46" s="6">
        <v>5.0</v>
      </c>
      <c r="F46" s="6">
        <v>8.0</v>
      </c>
      <c r="G46" s="6">
        <v>53.0</v>
      </c>
      <c r="H46" s="6">
        <v>19733.0</v>
      </c>
      <c r="I46" s="6">
        <v>0.7049</v>
      </c>
      <c r="J46" s="6">
        <v>0.9639</v>
      </c>
      <c r="K46" s="6">
        <v>0.4417</v>
      </c>
      <c r="L46" s="6">
        <v>1.0</v>
      </c>
      <c r="M46" s="5" t="s">
        <v>1986</v>
      </c>
    </row>
    <row r="47">
      <c r="A47" s="5" t="s">
        <v>43</v>
      </c>
      <c r="B47" s="5" t="s">
        <v>1857</v>
      </c>
      <c r="C47" s="5" t="s">
        <v>58</v>
      </c>
      <c r="D47" s="6">
        <v>3.0</v>
      </c>
      <c r="E47" s="6">
        <v>6.0</v>
      </c>
      <c r="F47" s="6">
        <v>8.0</v>
      </c>
      <c r="G47" s="6">
        <v>53.0</v>
      </c>
      <c r="H47" s="6">
        <v>19733.0</v>
      </c>
      <c r="I47" s="6">
        <v>0.8394</v>
      </c>
      <c r="J47" s="6">
        <v>1.0</v>
      </c>
      <c r="K47" s="6">
        <v>0.836</v>
      </c>
      <c r="L47" s="6">
        <v>1.0</v>
      </c>
      <c r="M47" s="5" t="s">
        <v>1986</v>
      </c>
    </row>
    <row r="48">
      <c r="A48" s="5" t="s">
        <v>43</v>
      </c>
      <c r="B48" s="5" t="s">
        <v>1857</v>
      </c>
      <c r="C48" s="5" t="s">
        <v>58</v>
      </c>
      <c r="D48" s="6">
        <v>3.0</v>
      </c>
      <c r="E48" s="6">
        <v>7.0</v>
      </c>
      <c r="F48" s="6">
        <v>8.0</v>
      </c>
      <c r="G48" s="6">
        <v>53.0</v>
      </c>
      <c r="H48" s="6">
        <v>19733.0</v>
      </c>
      <c r="I48" s="6">
        <v>0.9827</v>
      </c>
      <c r="J48" s="6">
        <v>1.0</v>
      </c>
      <c r="K48" s="6">
        <v>1.0</v>
      </c>
      <c r="L48" s="6">
        <v>1.0</v>
      </c>
      <c r="M48" s="5" t="s">
        <v>1986</v>
      </c>
    </row>
    <row r="49">
      <c r="A49" s="5" t="s">
        <v>43</v>
      </c>
      <c r="B49" s="5" t="s">
        <v>1857</v>
      </c>
      <c r="C49" s="5" t="s">
        <v>58</v>
      </c>
      <c r="D49" s="6">
        <v>3.0</v>
      </c>
      <c r="E49" s="6">
        <v>8.0</v>
      </c>
      <c r="F49" s="6">
        <v>8.0</v>
      </c>
      <c r="G49" s="6">
        <v>53.0</v>
      </c>
      <c r="H49" s="6">
        <v>19733.0</v>
      </c>
      <c r="I49" s="6">
        <v>0.9975</v>
      </c>
      <c r="J49" s="6">
        <v>1.0</v>
      </c>
      <c r="K49" s="6">
        <v>1.0</v>
      </c>
      <c r="L49" s="6">
        <v>1.0</v>
      </c>
      <c r="M49" s="5" t="s">
        <v>1986</v>
      </c>
    </row>
    <row r="50">
      <c r="A50" s="5" t="s">
        <v>43</v>
      </c>
      <c r="B50" s="5" t="s">
        <v>163</v>
      </c>
      <c r="C50" s="5" t="s">
        <v>59</v>
      </c>
      <c r="D50" s="6">
        <v>4.0</v>
      </c>
      <c r="E50" s="6">
        <v>1.0</v>
      </c>
      <c r="F50" s="6">
        <v>8.0</v>
      </c>
      <c r="G50" s="6">
        <v>56.0</v>
      </c>
      <c r="H50" s="6">
        <v>18460.0</v>
      </c>
      <c r="I50" s="6">
        <v>0.1279</v>
      </c>
      <c r="J50" s="6">
        <v>0.0</v>
      </c>
      <c r="K50" s="6">
        <v>0.0</v>
      </c>
      <c r="L50" s="6">
        <v>0.1167</v>
      </c>
      <c r="M50" s="5" t="s">
        <v>1986</v>
      </c>
    </row>
    <row r="51">
      <c r="A51" s="5" t="s">
        <v>43</v>
      </c>
      <c r="B51" s="5" t="s">
        <v>163</v>
      </c>
      <c r="C51" s="5" t="s">
        <v>59</v>
      </c>
      <c r="D51" s="6">
        <v>4.0</v>
      </c>
      <c r="E51" s="6">
        <v>2.0</v>
      </c>
      <c r="F51" s="6">
        <v>8.0</v>
      </c>
      <c r="G51" s="6">
        <v>56.0</v>
      </c>
      <c r="H51" s="6">
        <v>18460.0</v>
      </c>
      <c r="I51" s="6">
        <v>0.2661</v>
      </c>
      <c r="J51" s="6">
        <v>0.1049</v>
      </c>
      <c r="K51" s="6">
        <v>0.0</v>
      </c>
      <c r="L51" s="6">
        <v>0.429</v>
      </c>
      <c r="M51" s="5" t="s">
        <v>1986</v>
      </c>
    </row>
    <row r="52">
      <c r="A52" s="5" t="s">
        <v>43</v>
      </c>
      <c r="B52" s="5" t="s">
        <v>163</v>
      </c>
      <c r="C52" s="5" t="s">
        <v>59</v>
      </c>
      <c r="D52" s="6">
        <v>4.0</v>
      </c>
      <c r="E52" s="6">
        <v>3.0</v>
      </c>
      <c r="F52" s="6">
        <v>8.0</v>
      </c>
      <c r="G52" s="6">
        <v>56.0</v>
      </c>
      <c r="H52" s="6">
        <v>18460.0</v>
      </c>
      <c r="I52" s="6">
        <v>0.4066</v>
      </c>
      <c r="J52" s="6">
        <v>0.3409</v>
      </c>
      <c r="K52" s="6">
        <v>9.0E-4</v>
      </c>
      <c r="L52" s="6">
        <v>0.7423</v>
      </c>
      <c r="M52" s="5" t="s">
        <v>1986</v>
      </c>
    </row>
    <row r="53">
      <c r="A53" s="5" t="s">
        <v>43</v>
      </c>
      <c r="B53" s="5" t="s">
        <v>163</v>
      </c>
      <c r="C53" s="5" t="s">
        <v>59</v>
      </c>
      <c r="D53" s="6">
        <v>4.0</v>
      </c>
      <c r="E53" s="6">
        <v>4.0</v>
      </c>
      <c r="F53" s="6">
        <v>8.0</v>
      </c>
      <c r="G53" s="6">
        <v>56.0</v>
      </c>
      <c r="H53" s="6">
        <v>18460.0</v>
      </c>
      <c r="I53" s="6">
        <v>0.5479</v>
      </c>
      <c r="J53" s="6">
        <v>0.579</v>
      </c>
      <c r="K53" s="6">
        <v>0.1504</v>
      </c>
      <c r="L53" s="6">
        <v>0.9921</v>
      </c>
      <c r="M53" s="5" t="s">
        <v>1986</v>
      </c>
    </row>
    <row r="54">
      <c r="A54" s="5" t="s">
        <v>43</v>
      </c>
      <c r="B54" s="5" t="s">
        <v>163</v>
      </c>
      <c r="C54" s="5" t="s">
        <v>59</v>
      </c>
      <c r="D54" s="6">
        <v>4.0</v>
      </c>
      <c r="E54" s="6">
        <v>5.0</v>
      </c>
      <c r="F54" s="6">
        <v>8.0</v>
      </c>
      <c r="G54" s="6">
        <v>56.0</v>
      </c>
      <c r="H54" s="6">
        <v>18460.0</v>
      </c>
      <c r="I54" s="6">
        <v>0.6837</v>
      </c>
      <c r="J54" s="6">
        <v>0.8159</v>
      </c>
      <c r="K54" s="6">
        <v>0.4559</v>
      </c>
      <c r="L54" s="6">
        <v>1.0</v>
      </c>
      <c r="M54" s="5" t="s">
        <v>1986</v>
      </c>
    </row>
    <row r="55">
      <c r="A55" s="5" t="s">
        <v>43</v>
      </c>
      <c r="B55" s="5" t="s">
        <v>163</v>
      </c>
      <c r="C55" s="5" t="s">
        <v>59</v>
      </c>
      <c r="D55" s="6">
        <v>4.0</v>
      </c>
      <c r="E55" s="6">
        <v>6.0</v>
      </c>
      <c r="F55" s="6">
        <v>8.0</v>
      </c>
      <c r="G55" s="6">
        <v>56.0</v>
      </c>
      <c r="H55" s="6">
        <v>18460.0</v>
      </c>
      <c r="I55" s="6">
        <v>0.8181</v>
      </c>
      <c r="J55" s="6">
        <v>0.9986</v>
      </c>
      <c r="K55" s="6">
        <v>0.7604</v>
      </c>
      <c r="L55" s="6">
        <v>1.0</v>
      </c>
      <c r="M55" s="5" t="s">
        <v>1986</v>
      </c>
    </row>
    <row r="56">
      <c r="A56" s="5" t="s">
        <v>43</v>
      </c>
      <c r="B56" s="5" t="s">
        <v>163</v>
      </c>
      <c r="C56" s="5" t="s">
        <v>59</v>
      </c>
      <c r="D56" s="6">
        <v>4.0</v>
      </c>
      <c r="E56" s="6">
        <v>7.0</v>
      </c>
      <c r="F56" s="6">
        <v>8.0</v>
      </c>
      <c r="G56" s="6">
        <v>56.0</v>
      </c>
      <c r="H56" s="6">
        <v>18460.0</v>
      </c>
      <c r="I56" s="6">
        <v>0.9728</v>
      </c>
      <c r="J56" s="6">
        <v>1.0</v>
      </c>
      <c r="K56" s="6">
        <v>1.0</v>
      </c>
      <c r="L56" s="6">
        <v>1.0</v>
      </c>
      <c r="M56" s="5" t="s">
        <v>1986</v>
      </c>
    </row>
    <row r="57">
      <c r="A57" s="5" t="s">
        <v>43</v>
      </c>
      <c r="B57" s="5" t="s">
        <v>163</v>
      </c>
      <c r="C57" s="5" t="s">
        <v>59</v>
      </c>
      <c r="D57" s="6">
        <v>4.0</v>
      </c>
      <c r="E57" s="6">
        <v>8.0</v>
      </c>
      <c r="F57" s="6">
        <v>8.0</v>
      </c>
      <c r="G57" s="6">
        <v>56.0</v>
      </c>
      <c r="H57" s="6">
        <v>18460.0</v>
      </c>
      <c r="I57" s="6">
        <v>0.9968</v>
      </c>
      <c r="J57" s="6">
        <v>1.0</v>
      </c>
      <c r="K57" s="6">
        <v>1.0</v>
      </c>
      <c r="L57" s="6">
        <v>1.0</v>
      </c>
      <c r="M57" s="5" t="s">
        <v>1986</v>
      </c>
    </row>
    <row r="58">
      <c r="A58" s="5" t="s">
        <v>43</v>
      </c>
      <c r="B58" s="5" t="s">
        <v>1857</v>
      </c>
      <c r="C58" s="5" t="s">
        <v>59</v>
      </c>
      <c r="D58" s="6">
        <v>4.0</v>
      </c>
      <c r="E58" s="6">
        <v>1.0</v>
      </c>
      <c r="F58" s="6">
        <v>8.0</v>
      </c>
      <c r="G58" s="6">
        <v>56.0</v>
      </c>
      <c r="H58" s="6">
        <v>10588.0</v>
      </c>
      <c r="I58" s="6">
        <v>0.1342</v>
      </c>
      <c r="J58" s="6">
        <v>0.0</v>
      </c>
      <c r="K58" s="6">
        <v>0.0</v>
      </c>
      <c r="L58" s="6">
        <v>0.1124</v>
      </c>
      <c r="M58" s="5" t="s">
        <v>1986</v>
      </c>
    </row>
    <row r="59">
      <c r="A59" s="5" t="s">
        <v>43</v>
      </c>
      <c r="B59" s="5" t="s">
        <v>1857</v>
      </c>
      <c r="C59" s="5" t="s">
        <v>59</v>
      </c>
      <c r="D59" s="6">
        <v>4.0</v>
      </c>
      <c r="E59" s="6">
        <v>2.0</v>
      </c>
      <c r="F59" s="6">
        <v>8.0</v>
      </c>
      <c r="G59" s="6">
        <v>56.0</v>
      </c>
      <c r="H59" s="6">
        <v>10588.0</v>
      </c>
      <c r="I59" s="6">
        <v>0.2726</v>
      </c>
      <c r="J59" s="6">
        <v>0.0832</v>
      </c>
      <c r="K59" s="6">
        <v>0.0</v>
      </c>
      <c r="L59" s="6">
        <v>0.4568</v>
      </c>
      <c r="M59" s="5" t="s">
        <v>1986</v>
      </c>
    </row>
    <row r="60">
      <c r="A60" s="5" t="s">
        <v>43</v>
      </c>
      <c r="B60" s="5" t="s">
        <v>1857</v>
      </c>
      <c r="C60" s="5" t="s">
        <v>59</v>
      </c>
      <c r="D60" s="6">
        <v>4.0</v>
      </c>
      <c r="E60" s="6">
        <v>3.0</v>
      </c>
      <c r="F60" s="6">
        <v>8.0</v>
      </c>
      <c r="G60" s="6">
        <v>56.0</v>
      </c>
      <c r="H60" s="6">
        <v>10588.0</v>
      </c>
      <c r="I60" s="6">
        <v>0.416</v>
      </c>
      <c r="J60" s="6">
        <v>0.3451</v>
      </c>
      <c r="K60" s="6">
        <v>2.0E-4</v>
      </c>
      <c r="L60" s="6">
        <v>0.8036</v>
      </c>
      <c r="M60" s="5" t="s">
        <v>1986</v>
      </c>
    </row>
    <row r="61">
      <c r="A61" s="5" t="s">
        <v>43</v>
      </c>
      <c r="B61" s="5" t="s">
        <v>1857</v>
      </c>
      <c r="C61" s="5" t="s">
        <v>59</v>
      </c>
      <c r="D61" s="6">
        <v>4.0</v>
      </c>
      <c r="E61" s="6">
        <v>4.0</v>
      </c>
      <c r="F61" s="6">
        <v>8.0</v>
      </c>
      <c r="G61" s="6">
        <v>56.0</v>
      </c>
      <c r="H61" s="6">
        <v>10588.0</v>
      </c>
      <c r="I61" s="6">
        <v>0.5578</v>
      </c>
      <c r="J61" s="6">
        <v>0.6064</v>
      </c>
      <c r="K61" s="6">
        <v>0.1338</v>
      </c>
      <c r="L61" s="6">
        <v>0.9992</v>
      </c>
      <c r="M61" s="5" t="s">
        <v>1986</v>
      </c>
    </row>
    <row r="62">
      <c r="A62" s="5" t="s">
        <v>43</v>
      </c>
      <c r="B62" s="5" t="s">
        <v>1857</v>
      </c>
      <c r="C62" s="5" t="s">
        <v>59</v>
      </c>
      <c r="D62" s="6">
        <v>4.0</v>
      </c>
      <c r="E62" s="6">
        <v>5.0</v>
      </c>
      <c r="F62" s="6">
        <v>8.0</v>
      </c>
      <c r="G62" s="6">
        <v>56.0</v>
      </c>
      <c r="H62" s="6">
        <v>10588.0</v>
      </c>
      <c r="I62" s="6">
        <v>0.6939</v>
      </c>
      <c r="J62" s="6">
        <v>0.8502</v>
      </c>
      <c r="K62" s="6">
        <v>0.4689</v>
      </c>
      <c r="L62" s="6">
        <v>1.0</v>
      </c>
      <c r="M62" s="5" t="s">
        <v>1986</v>
      </c>
    </row>
    <row r="63">
      <c r="A63" s="5" t="s">
        <v>43</v>
      </c>
      <c r="B63" s="5" t="s">
        <v>1857</v>
      </c>
      <c r="C63" s="5" t="s">
        <v>59</v>
      </c>
      <c r="D63" s="6">
        <v>4.0</v>
      </c>
      <c r="E63" s="6">
        <v>6.0</v>
      </c>
      <c r="F63" s="6">
        <v>8.0</v>
      </c>
      <c r="G63" s="6">
        <v>56.0</v>
      </c>
      <c r="H63" s="6">
        <v>10588.0</v>
      </c>
      <c r="I63" s="6">
        <v>0.8285</v>
      </c>
      <c r="J63" s="6">
        <v>1.0</v>
      </c>
      <c r="K63" s="6">
        <v>0.7827</v>
      </c>
      <c r="L63" s="6">
        <v>1.0</v>
      </c>
      <c r="M63" s="5" t="s">
        <v>1986</v>
      </c>
    </row>
    <row r="64">
      <c r="A64" s="5" t="s">
        <v>43</v>
      </c>
      <c r="B64" s="5" t="s">
        <v>1857</v>
      </c>
      <c r="C64" s="5" t="s">
        <v>59</v>
      </c>
      <c r="D64" s="6">
        <v>4.0</v>
      </c>
      <c r="E64" s="6">
        <v>7.0</v>
      </c>
      <c r="F64" s="6">
        <v>8.0</v>
      </c>
      <c r="G64" s="6">
        <v>56.0</v>
      </c>
      <c r="H64" s="6">
        <v>10588.0</v>
      </c>
      <c r="I64" s="6">
        <v>0.9762</v>
      </c>
      <c r="J64" s="6">
        <v>1.0</v>
      </c>
      <c r="K64" s="6">
        <v>1.0</v>
      </c>
      <c r="L64" s="6">
        <v>1.0</v>
      </c>
      <c r="M64" s="5" t="s">
        <v>1986</v>
      </c>
    </row>
    <row r="65">
      <c r="A65" s="5" t="s">
        <v>43</v>
      </c>
      <c r="B65" s="5" t="s">
        <v>1857</v>
      </c>
      <c r="C65" s="5" t="s">
        <v>59</v>
      </c>
      <c r="D65" s="6">
        <v>4.0</v>
      </c>
      <c r="E65" s="6">
        <v>8.0</v>
      </c>
      <c r="F65" s="6">
        <v>8.0</v>
      </c>
      <c r="G65" s="6">
        <v>56.0</v>
      </c>
      <c r="H65" s="6">
        <v>10588.0</v>
      </c>
      <c r="I65" s="6">
        <v>0.9966</v>
      </c>
      <c r="J65" s="6">
        <v>1.0</v>
      </c>
      <c r="K65" s="6">
        <v>1.0</v>
      </c>
      <c r="L65" s="6">
        <v>1.0</v>
      </c>
      <c r="M65" s="5" t="s">
        <v>1986</v>
      </c>
    </row>
    <row r="66">
      <c r="A66" s="5" t="s">
        <v>43</v>
      </c>
      <c r="B66" s="5" t="s">
        <v>163</v>
      </c>
      <c r="C66" s="5" t="s">
        <v>60</v>
      </c>
      <c r="D66" s="6">
        <v>5.0</v>
      </c>
      <c r="E66" s="6">
        <v>1.0</v>
      </c>
      <c r="F66" s="6">
        <v>8.0</v>
      </c>
      <c r="G66" s="6">
        <v>56.0</v>
      </c>
      <c r="H66" s="6">
        <v>3826.0</v>
      </c>
      <c r="I66" s="6">
        <v>0.1645</v>
      </c>
      <c r="J66" s="6">
        <v>1.0E-4</v>
      </c>
      <c r="K66" s="6">
        <v>0.0</v>
      </c>
      <c r="L66" s="6">
        <v>0.2008</v>
      </c>
      <c r="M66" s="5" t="s">
        <v>1986</v>
      </c>
    </row>
    <row r="67">
      <c r="A67" s="5" t="s">
        <v>43</v>
      </c>
      <c r="B67" s="5" t="s">
        <v>163</v>
      </c>
      <c r="C67" s="5" t="s">
        <v>60</v>
      </c>
      <c r="D67" s="6">
        <v>5.0</v>
      </c>
      <c r="E67" s="6">
        <v>2.0</v>
      </c>
      <c r="F67" s="6">
        <v>8.0</v>
      </c>
      <c r="G67" s="6">
        <v>56.0</v>
      </c>
      <c r="H67" s="6">
        <v>3826.0</v>
      </c>
      <c r="I67" s="6">
        <v>0.4483</v>
      </c>
      <c r="J67" s="6">
        <v>0.351</v>
      </c>
      <c r="K67" s="6">
        <v>0.0026</v>
      </c>
      <c r="L67" s="6">
        <v>0.9565</v>
      </c>
      <c r="M67" s="5" t="s">
        <v>1986</v>
      </c>
    </row>
    <row r="68">
      <c r="A68" s="5" t="s">
        <v>43</v>
      </c>
      <c r="B68" s="5" t="s">
        <v>163</v>
      </c>
      <c r="C68" s="5" t="s">
        <v>60</v>
      </c>
      <c r="D68" s="6">
        <v>5.0</v>
      </c>
      <c r="E68" s="6">
        <v>3.0</v>
      </c>
      <c r="F68" s="6">
        <v>8.0</v>
      </c>
      <c r="G68" s="6">
        <v>56.0</v>
      </c>
      <c r="H68" s="6">
        <v>3826.0</v>
      </c>
      <c r="I68" s="6">
        <v>0.6029</v>
      </c>
      <c r="J68" s="6">
        <v>0.6921</v>
      </c>
      <c r="K68" s="6">
        <v>0.2328</v>
      </c>
      <c r="L68" s="6">
        <v>1.0</v>
      </c>
      <c r="M68" s="5" t="s">
        <v>1986</v>
      </c>
    </row>
    <row r="69">
      <c r="A69" s="5" t="s">
        <v>43</v>
      </c>
      <c r="B69" s="5" t="s">
        <v>163</v>
      </c>
      <c r="C69" s="5" t="s">
        <v>60</v>
      </c>
      <c r="D69" s="6">
        <v>5.0</v>
      </c>
      <c r="E69" s="6">
        <v>4.0</v>
      </c>
      <c r="F69" s="6">
        <v>8.0</v>
      </c>
      <c r="G69" s="6">
        <v>56.0</v>
      </c>
      <c r="H69" s="6">
        <v>3826.0</v>
      </c>
      <c r="I69" s="6">
        <v>0.7064</v>
      </c>
      <c r="J69" s="6">
        <v>0.9185</v>
      </c>
      <c r="K69" s="6">
        <v>0.4719</v>
      </c>
      <c r="L69" s="6">
        <v>1.0</v>
      </c>
      <c r="M69" s="5" t="s">
        <v>1986</v>
      </c>
    </row>
    <row r="70">
      <c r="A70" s="5" t="s">
        <v>43</v>
      </c>
      <c r="B70" s="5" t="s">
        <v>163</v>
      </c>
      <c r="C70" s="5" t="s">
        <v>60</v>
      </c>
      <c r="D70" s="6">
        <v>5.0</v>
      </c>
      <c r="E70" s="6">
        <v>5.0</v>
      </c>
      <c r="F70" s="6">
        <v>8.0</v>
      </c>
      <c r="G70" s="6">
        <v>56.0</v>
      </c>
      <c r="H70" s="6">
        <v>3826.0</v>
      </c>
      <c r="I70" s="6">
        <v>0.7802</v>
      </c>
      <c r="J70" s="6">
        <v>0.9943</v>
      </c>
      <c r="K70" s="6">
        <v>0.6488</v>
      </c>
      <c r="L70" s="6">
        <v>1.0</v>
      </c>
      <c r="M70" s="5" t="s">
        <v>1986</v>
      </c>
    </row>
    <row r="71">
      <c r="A71" s="5" t="s">
        <v>43</v>
      </c>
      <c r="B71" s="5" t="s">
        <v>163</v>
      </c>
      <c r="C71" s="5" t="s">
        <v>60</v>
      </c>
      <c r="D71" s="6">
        <v>5.0</v>
      </c>
      <c r="E71" s="6">
        <v>6.0</v>
      </c>
      <c r="F71" s="6">
        <v>8.0</v>
      </c>
      <c r="G71" s="6">
        <v>56.0</v>
      </c>
      <c r="H71" s="6">
        <v>3826.0</v>
      </c>
      <c r="I71" s="6">
        <v>0.866</v>
      </c>
      <c r="J71" s="6">
        <v>1.0</v>
      </c>
      <c r="K71" s="6">
        <v>0.8452</v>
      </c>
      <c r="L71" s="6">
        <v>1.0</v>
      </c>
      <c r="M71" s="5" t="s">
        <v>1986</v>
      </c>
    </row>
    <row r="72">
      <c r="A72" s="5" t="s">
        <v>43</v>
      </c>
      <c r="B72" s="5" t="s">
        <v>163</v>
      </c>
      <c r="C72" s="5" t="s">
        <v>60</v>
      </c>
      <c r="D72" s="6">
        <v>5.0</v>
      </c>
      <c r="E72" s="6">
        <v>7.0</v>
      </c>
      <c r="F72" s="6">
        <v>8.0</v>
      </c>
      <c r="G72" s="6">
        <v>56.0</v>
      </c>
      <c r="H72" s="6">
        <v>3826.0</v>
      </c>
      <c r="I72" s="6">
        <v>0.9762</v>
      </c>
      <c r="J72" s="6">
        <v>1.0</v>
      </c>
      <c r="K72" s="6">
        <v>1.0</v>
      </c>
      <c r="L72" s="6">
        <v>1.0</v>
      </c>
      <c r="M72" s="5" t="s">
        <v>1986</v>
      </c>
    </row>
    <row r="73">
      <c r="A73" s="5" t="s">
        <v>43</v>
      </c>
      <c r="B73" s="5" t="s">
        <v>163</v>
      </c>
      <c r="C73" s="5" t="s">
        <v>60</v>
      </c>
      <c r="D73" s="6">
        <v>5.0</v>
      </c>
      <c r="E73" s="6">
        <v>8.0</v>
      </c>
      <c r="F73" s="6">
        <v>8.0</v>
      </c>
      <c r="G73" s="6">
        <v>56.0</v>
      </c>
      <c r="H73" s="6">
        <v>3826.0</v>
      </c>
      <c r="I73" s="6">
        <v>0.9982</v>
      </c>
      <c r="J73" s="6">
        <v>1.0</v>
      </c>
      <c r="K73" s="6">
        <v>1.0</v>
      </c>
      <c r="L73" s="6">
        <v>1.0</v>
      </c>
      <c r="M73" s="5" t="s">
        <v>1986</v>
      </c>
    </row>
    <row r="74">
      <c r="A74" s="5" t="s">
        <v>43</v>
      </c>
      <c r="B74" s="5" t="s">
        <v>1857</v>
      </c>
      <c r="C74" s="5" t="s">
        <v>60</v>
      </c>
      <c r="D74" s="6">
        <v>5.0</v>
      </c>
      <c r="E74" s="6">
        <v>1.0</v>
      </c>
      <c r="F74" s="6">
        <v>8.0</v>
      </c>
      <c r="G74" s="6">
        <v>56.0</v>
      </c>
      <c r="H74" s="6">
        <v>1981.0</v>
      </c>
      <c r="I74" s="6">
        <v>0.1461</v>
      </c>
      <c r="J74" s="6">
        <v>0.0</v>
      </c>
      <c r="K74" s="6">
        <v>0.0</v>
      </c>
      <c r="L74" s="6">
        <v>0.1589</v>
      </c>
      <c r="M74" s="5" t="s">
        <v>1986</v>
      </c>
    </row>
    <row r="75">
      <c r="A75" s="5" t="s">
        <v>43</v>
      </c>
      <c r="B75" s="5" t="s">
        <v>1857</v>
      </c>
      <c r="C75" s="5" t="s">
        <v>60</v>
      </c>
      <c r="D75" s="6">
        <v>5.0</v>
      </c>
      <c r="E75" s="6">
        <v>2.0</v>
      </c>
      <c r="F75" s="6">
        <v>8.0</v>
      </c>
      <c r="G75" s="6">
        <v>56.0</v>
      </c>
      <c r="H75" s="6">
        <v>1981.0</v>
      </c>
      <c r="I75" s="6">
        <v>0.3656</v>
      </c>
      <c r="J75" s="6">
        <v>0.237</v>
      </c>
      <c r="K75" s="6">
        <v>0.0</v>
      </c>
      <c r="L75" s="6">
        <v>0.7069</v>
      </c>
      <c r="M75" s="5" t="s">
        <v>1986</v>
      </c>
    </row>
    <row r="76">
      <c r="A76" s="5" t="s">
        <v>43</v>
      </c>
      <c r="B76" s="5" t="s">
        <v>1857</v>
      </c>
      <c r="C76" s="5" t="s">
        <v>60</v>
      </c>
      <c r="D76" s="6">
        <v>5.0</v>
      </c>
      <c r="E76" s="6">
        <v>3.0</v>
      </c>
      <c r="F76" s="6">
        <v>8.0</v>
      </c>
      <c r="G76" s="6">
        <v>56.0</v>
      </c>
      <c r="H76" s="6">
        <v>1981.0</v>
      </c>
      <c r="I76" s="6">
        <v>0.5253</v>
      </c>
      <c r="J76" s="6">
        <v>0.5485</v>
      </c>
      <c r="K76" s="6">
        <v>0.0188</v>
      </c>
      <c r="L76" s="6">
        <v>0.9968</v>
      </c>
      <c r="M76" s="5" t="s">
        <v>1986</v>
      </c>
    </row>
    <row r="77">
      <c r="A77" s="5" t="s">
        <v>43</v>
      </c>
      <c r="B77" s="5" t="s">
        <v>1857</v>
      </c>
      <c r="C77" s="5" t="s">
        <v>60</v>
      </c>
      <c r="D77" s="6">
        <v>5.0</v>
      </c>
      <c r="E77" s="6">
        <v>4.0</v>
      </c>
      <c r="F77" s="6">
        <v>8.0</v>
      </c>
      <c r="G77" s="6">
        <v>56.0</v>
      </c>
      <c r="H77" s="6">
        <v>1981.0</v>
      </c>
      <c r="I77" s="6">
        <v>0.6595</v>
      </c>
      <c r="J77" s="6">
        <v>0.8083</v>
      </c>
      <c r="K77" s="6">
        <v>0.379</v>
      </c>
      <c r="L77" s="6">
        <v>1.0</v>
      </c>
      <c r="M77" s="5" t="s">
        <v>1986</v>
      </c>
    </row>
    <row r="78">
      <c r="A78" s="5" t="s">
        <v>43</v>
      </c>
      <c r="B78" s="5" t="s">
        <v>1857</v>
      </c>
      <c r="C78" s="5" t="s">
        <v>60</v>
      </c>
      <c r="D78" s="6">
        <v>5.0</v>
      </c>
      <c r="E78" s="6">
        <v>5.0</v>
      </c>
      <c r="F78" s="6">
        <v>8.0</v>
      </c>
      <c r="G78" s="6">
        <v>56.0</v>
      </c>
      <c r="H78" s="6">
        <v>1981.0</v>
      </c>
      <c r="I78" s="6">
        <v>0.7591</v>
      </c>
      <c r="J78" s="6">
        <v>0.9728</v>
      </c>
      <c r="K78" s="6">
        <v>0.6193</v>
      </c>
      <c r="L78" s="6">
        <v>1.0</v>
      </c>
      <c r="M78" s="5" t="s">
        <v>1986</v>
      </c>
    </row>
    <row r="79">
      <c r="A79" s="5" t="s">
        <v>43</v>
      </c>
      <c r="B79" s="5" t="s">
        <v>1857</v>
      </c>
      <c r="C79" s="5" t="s">
        <v>60</v>
      </c>
      <c r="D79" s="6">
        <v>5.0</v>
      </c>
      <c r="E79" s="6">
        <v>6.0</v>
      </c>
      <c r="F79" s="6">
        <v>8.0</v>
      </c>
      <c r="G79" s="6">
        <v>56.0</v>
      </c>
      <c r="H79" s="6">
        <v>1981.0</v>
      </c>
      <c r="I79" s="6">
        <v>0.8621</v>
      </c>
      <c r="J79" s="6">
        <v>1.0</v>
      </c>
      <c r="K79" s="6">
        <v>0.8542</v>
      </c>
      <c r="L79" s="6">
        <v>1.0</v>
      </c>
      <c r="M79" s="5" t="s">
        <v>1986</v>
      </c>
    </row>
    <row r="80">
      <c r="A80" s="5" t="s">
        <v>43</v>
      </c>
      <c r="B80" s="5" t="s">
        <v>1857</v>
      </c>
      <c r="C80" s="5" t="s">
        <v>60</v>
      </c>
      <c r="D80" s="6">
        <v>5.0</v>
      </c>
      <c r="E80" s="6">
        <v>7.0</v>
      </c>
      <c r="F80" s="6">
        <v>8.0</v>
      </c>
      <c r="G80" s="6">
        <v>56.0</v>
      </c>
      <c r="H80" s="6">
        <v>1981.0</v>
      </c>
      <c r="I80" s="6">
        <v>0.9784</v>
      </c>
      <c r="J80" s="6">
        <v>1.0</v>
      </c>
      <c r="K80" s="6">
        <v>1.0</v>
      </c>
      <c r="L80" s="6">
        <v>1.0</v>
      </c>
      <c r="M80" s="5" t="s">
        <v>1986</v>
      </c>
    </row>
    <row r="81">
      <c r="A81" s="5" t="s">
        <v>43</v>
      </c>
      <c r="B81" s="5" t="s">
        <v>1857</v>
      </c>
      <c r="C81" s="5" t="s">
        <v>60</v>
      </c>
      <c r="D81" s="6">
        <v>5.0</v>
      </c>
      <c r="E81" s="6">
        <v>8.0</v>
      </c>
      <c r="F81" s="6">
        <v>8.0</v>
      </c>
      <c r="G81" s="6">
        <v>56.0</v>
      </c>
      <c r="H81" s="6">
        <v>1981.0</v>
      </c>
      <c r="I81" s="6">
        <v>0.9981</v>
      </c>
      <c r="J81" s="6">
        <v>1.0</v>
      </c>
      <c r="K81" s="6">
        <v>1.0</v>
      </c>
      <c r="L81" s="6">
        <v>1.0</v>
      </c>
      <c r="M81" s="5" t="s">
        <v>1986</v>
      </c>
    </row>
  </sheetData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496" t="s">
        <v>2024</v>
      </c>
      <c r="B1" s="496" t="s">
        <v>2005</v>
      </c>
      <c r="C1" s="496" t="s">
        <v>2085</v>
      </c>
      <c r="D1" s="496" t="s">
        <v>2086</v>
      </c>
      <c r="E1" s="496" t="s">
        <v>2087</v>
      </c>
      <c r="F1" s="496" t="s">
        <v>2088</v>
      </c>
      <c r="G1" s="496" t="s">
        <v>2089</v>
      </c>
      <c r="H1" s="496" t="s">
        <v>2090</v>
      </c>
      <c r="I1" s="490"/>
      <c r="J1" s="490"/>
      <c r="K1" s="490"/>
      <c r="L1" s="490"/>
      <c r="M1" s="490"/>
      <c r="N1" s="490"/>
      <c r="O1" s="490"/>
      <c r="P1" s="490"/>
      <c r="Q1" s="490"/>
      <c r="R1" s="490"/>
      <c r="S1" s="490"/>
      <c r="T1" s="490"/>
      <c r="U1" s="490"/>
      <c r="V1" s="490"/>
      <c r="W1" s="490"/>
      <c r="X1" s="490"/>
      <c r="Y1" s="490"/>
      <c r="Z1" s="490"/>
    </row>
    <row r="2">
      <c r="A2" s="5" t="s">
        <v>56</v>
      </c>
      <c r="B2" s="5" t="s">
        <v>163</v>
      </c>
      <c r="C2" s="5">
        <v>7906.1</v>
      </c>
      <c r="D2" s="5">
        <v>772.0</v>
      </c>
      <c r="E2" s="5">
        <v>1911.0</v>
      </c>
      <c r="F2" s="5">
        <v>4553.0</v>
      </c>
      <c r="G2" s="5">
        <v>10021.0</v>
      </c>
      <c r="H2" s="5">
        <v>17251.0</v>
      </c>
    </row>
    <row r="3">
      <c r="A3" s="5" t="s">
        <v>57</v>
      </c>
      <c r="B3" s="5" t="s">
        <v>163</v>
      </c>
      <c r="C3" s="5">
        <v>24490.1</v>
      </c>
      <c r="D3" s="5">
        <v>5536.0</v>
      </c>
      <c r="E3" s="5">
        <v>9419.0</v>
      </c>
      <c r="F3" s="5">
        <v>19134.0</v>
      </c>
      <c r="G3" s="5">
        <v>31258.0</v>
      </c>
      <c r="H3" s="5">
        <v>45422.0</v>
      </c>
    </row>
    <row r="4">
      <c r="A4" s="5" t="s">
        <v>58</v>
      </c>
      <c r="B4" s="5" t="s">
        <v>163</v>
      </c>
      <c r="C4" s="5">
        <v>47180.2</v>
      </c>
      <c r="D4" s="5">
        <v>11180.0</v>
      </c>
      <c r="E4" s="5">
        <v>18851.0</v>
      </c>
      <c r="F4" s="5">
        <v>38620.0</v>
      </c>
      <c r="G4" s="5">
        <v>61778.0</v>
      </c>
      <c r="H4" s="5">
        <v>88902.0</v>
      </c>
    </row>
    <row r="5">
      <c r="A5" s="5" t="s">
        <v>59</v>
      </c>
      <c r="B5" s="5" t="s">
        <v>163</v>
      </c>
      <c r="C5" s="5">
        <v>96527.0</v>
      </c>
      <c r="D5" s="5">
        <v>24408.0</v>
      </c>
      <c r="E5" s="5">
        <v>44118.0</v>
      </c>
      <c r="F5" s="5">
        <v>83292.0</v>
      </c>
      <c r="G5" s="5">
        <v>128357.0</v>
      </c>
      <c r="H5" s="5">
        <v>185129.0</v>
      </c>
    </row>
    <row r="6">
      <c r="A6" s="5" t="s">
        <v>60</v>
      </c>
      <c r="B6" s="5" t="s">
        <v>163</v>
      </c>
      <c r="C6" s="5">
        <v>173958.4</v>
      </c>
      <c r="D6" s="5">
        <v>44295.0</v>
      </c>
      <c r="E6" s="5">
        <v>82596.0</v>
      </c>
      <c r="F6" s="5">
        <v>139889.0</v>
      </c>
      <c r="G6" s="5">
        <v>246841.0</v>
      </c>
      <c r="H6" s="5">
        <v>343988.0</v>
      </c>
    </row>
    <row r="7">
      <c r="A7" s="5" t="s">
        <v>56</v>
      </c>
      <c r="B7" s="5" t="s">
        <v>1857</v>
      </c>
      <c r="C7" s="5">
        <v>8513.2</v>
      </c>
      <c r="D7" s="5">
        <v>1017.0</v>
      </c>
      <c r="E7" s="5">
        <v>2378.0</v>
      </c>
      <c r="F7" s="5">
        <v>5438.0</v>
      </c>
      <c r="G7" s="5">
        <v>11064.0</v>
      </c>
      <c r="H7" s="5">
        <v>17880.0</v>
      </c>
    </row>
    <row r="8">
      <c r="A8" s="5" t="s">
        <v>57</v>
      </c>
      <c r="B8" s="5" t="s">
        <v>1857</v>
      </c>
      <c r="C8" s="5">
        <v>24799.5</v>
      </c>
      <c r="D8" s="5">
        <v>5914.0</v>
      </c>
      <c r="E8" s="5">
        <v>10409.0</v>
      </c>
      <c r="F8" s="5">
        <v>20371.0</v>
      </c>
      <c r="G8" s="5">
        <v>32242.0</v>
      </c>
      <c r="H8" s="5">
        <v>45193.0</v>
      </c>
    </row>
    <row r="9">
      <c r="A9" s="5" t="s">
        <v>58</v>
      </c>
      <c r="B9" s="5" t="s">
        <v>1857</v>
      </c>
      <c r="C9" s="5">
        <v>46374.6</v>
      </c>
      <c r="D9" s="5">
        <v>11888.0</v>
      </c>
      <c r="E9" s="5">
        <v>19475.0</v>
      </c>
      <c r="F9" s="5">
        <v>38625.0</v>
      </c>
      <c r="G9" s="5">
        <v>61751.0</v>
      </c>
      <c r="H9" s="5">
        <v>87662.0</v>
      </c>
    </row>
    <row r="10">
      <c r="A10" s="5" t="s">
        <v>59</v>
      </c>
      <c r="B10" s="5" t="s">
        <v>1857</v>
      </c>
      <c r="C10" s="5">
        <v>96358.6</v>
      </c>
      <c r="D10" s="5">
        <v>24192.0</v>
      </c>
      <c r="E10" s="5">
        <v>41977.0</v>
      </c>
      <c r="F10" s="5">
        <v>83537.0</v>
      </c>
      <c r="G10" s="5">
        <v>126253.0</v>
      </c>
      <c r="H10" s="5">
        <v>182099.0</v>
      </c>
    </row>
    <row r="11">
      <c r="A11" s="5" t="s">
        <v>60</v>
      </c>
      <c r="B11" s="5" t="s">
        <v>1857</v>
      </c>
      <c r="C11" s="5">
        <v>186726.2</v>
      </c>
      <c r="D11" s="5">
        <v>62161.0</v>
      </c>
      <c r="E11" s="5">
        <v>92376.0</v>
      </c>
      <c r="F11" s="5">
        <v>157274.0</v>
      </c>
      <c r="G11" s="5">
        <v>254767.0</v>
      </c>
      <c r="H11" s="5">
        <v>351071.0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489" t="s">
        <v>2024</v>
      </c>
      <c r="B1" s="489" t="s">
        <v>2005</v>
      </c>
      <c r="C1" s="489" t="s">
        <v>2025</v>
      </c>
      <c r="D1" s="489" t="s">
        <v>2091</v>
      </c>
      <c r="E1" s="489" t="s">
        <v>2027</v>
      </c>
      <c r="F1" s="489" t="s">
        <v>2092</v>
      </c>
      <c r="G1" s="489" t="s">
        <v>2093</v>
      </c>
      <c r="H1" s="489" t="s">
        <v>2094</v>
      </c>
      <c r="I1" s="489" t="s">
        <v>2095</v>
      </c>
      <c r="J1" s="489" t="s">
        <v>2096</v>
      </c>
      <c r="K1" s="489" t="s">
        <v>2097</v>
      </c>
      <c r="L1" s="489" t="s">
        <v>2098</v>
      </c>
      <c r="M1" s="489" t="s">
        <v>2099</v>
      </c>
      <c r="N1" s="489" t="s">
        <v>2100</v>
      </c>
      <c r="O1" s="490"/>
      <c r="P1" s="490"/>
      <c r="Q1" s="490"/>
      <c r="R1" s="490"/>
      <c r="S1" s="490"/>
      <c r="T1" s="490"/>
      <c r="U1" s="490"/>
      <c r="V1" s="490"/>
      <c r="W1" s="490"/>
      <c r="X1" s="490"/>
      <c r="Y1" s="490"/>
      <c r="Z1" s="490"/>
    </row>
    <row r="2">
      <c r="A2" s="5" t="s">
        <v>56</v>
      </c>
      <c r="B2" s="5" t="s">
        <v>163</v>
      </c>
      <c r="C2" s="6">
        <v>1.0</v>
      </c>
      <c r="D2" s="6">
        <v>200116.0</v>
      </c>
      <c r="E2" s="6">
        <v>1280823.0</v>
      </c>
      <c r="F2" s="6">
        <v>13.7289</v>
      </c>
      <c r="G2" s="6">
        <v>5.4403</v>
      </c>
      <c r="H2" s="6">
        <v>0.3963</v>
      </c>
      <c r="I2" s="6">
        <v>1.0</v>
      </c>
      <c r="J2" s="6">
        <v>3.0</v>
      </c>
      <c r="K2" s="6">
        <v>5.0</v>
      </c>
      <c r="L2" s="6">
        <v>9.0</v>
      </c>
      <c r="M2" s="6">
        <v>2.5633</v>
      </c>
      <c r="N2" s="6">
        <v>0.6731</v>
      </c>
    </row>
    <row r="3">
      <c r="A3" s="5" t="s">
        <v>56</v>
      </c>
      <c r="B3" s="5" t="s">
        <v>1857</v>
      </c>
      <c r="C3" s="6">
        <v>1.0</v>
      </c>
      <c r="D3" s="6">
        <v>119171.0</v>
      </c>
      <c r="E3" s="6">
        <v>1001557.0</v>
      </c>
      <c r="F3" s="6">
        <v>17.5711</v>
      </c>
      <c r="G3" s="6">
        <v>5.2665</v>
      </c>
      <c r="H3" s="6">
        <v>0.2997</v>
      </c>
      <c r="I3" s="6">
        <v>1.0</v>
      </c>
      <c r="J3" s="6">
        <v>2.0</v>
      </c>
      <c r="K3" s="6">
        <v>4.0</v>
      </c>
      <c r="L3" s="6">
        <v>8.0</v>
      </c>
      <c r="M3" s="6">
        <v>2.2146</v>
      </c>
      <c r="N3" s="6">
        <v>0.5946</v>
      </c>
    </row>
    <row r="4">
      <c r="A4" s="5" t="s">
        <v>57</v>
      </c>
      <c r="B4" s="5" t="s">
        <v>163</v>
      </c>
      <c r="C4" s="6">
        <v>2.0</v>
      </c>
      <c r="D4" s="6">
        <v>152643.0</v>
      </c>
      <c r="E4" s="6">
        <v>864326.0</v>
      </c>
      <c r="F4" s="6">
        <v>26.4086</v>
      </c>
      <c r="G4" s="6">
        <v>13.7592</v>
      </c>
      <c r="H4" s="6">
        <v>0.521</v>
      </c>
      <c r="I4" s="6">
        <v>3.0</v>
      </c>
      <c r="J4" s="6">
        <v>7.0</v>
      </c>
      <c r="K4" s="6">
        <v>13.0</v>
      </c>
      <c r="L4" s="6">
        <v>20.0</v>
      </c>
      <c r="M4" s="6">
        <v>4.0682</v>
      </c>
      <c r="N4" s="6">
        <v>0.7847</v>
      </c>
    </row>
    <row r="5">
      <c r="A5" s="5" t="s">
        <v>57</v>
      </c>
      <c r="B5" s="5" t="s">
        <v>1857</v>
      </c>
      <c r="C5" s="6">
        <v>2.0</v>
      </c>
      <c r="D5" s="6">
        <v>88675.0</v>
      </c>
      <c r="E5" s="6">
        <v>496066.0</v>
      </c>
      <c r="F5" s="6">
        <v>33.1317</v>
      </c>
      <c r="G5" s="6">
        <v>13.5714</v>
      </c>
      <c r="H5" s="6">
        <v>0.4096</v>
      </c>
      <c r="I5" s="6">
        <v>3.0</v>
      </c>
      <c r="J5" s="6">
        <v>6.0</v>
      </c>
      <c r="K5" s="6">
        <v>13.0</v>
      </c>
      <c r="L5" s="6">
        <v>20.0</v>
      </c>
      <c r="M5" s="6">
        <v>3.4886</v>
      </c>
      <c r="N5" s="6">
        <v>0.7375</v>
      </c>
    </row>
    <row r="6">
      <c r="A6" s="5" t="s">
        <v>58</v>
      </c>
      <c r="B6" s="5" t="s">
        <v>163</v>
      </c>
      <c r="C6" s="6">
        <v>3.0</v>
      </c>
      <c r="D6" s="6">
        <v>100076.0</v>
      </c>
      <c r="E6" s="6">
        <v>510967.0</v>
      </c>
      <c r="F6" s="6">
        <v>40.3267</v>
      </c>
      <c r="G6" s="6">
        <v>26.5121</v>
      </c>
      <c r="H6" s="6">
        <v>0.6574</v>
      </c>
      <c r="I6" s="6">
        <v>7.0</v>
      </c>
      <c r="J6" s="6">
        <v>14.0</v>
      </c>
      <c r="K6" s="6">
        <v>25.0</v>
      </c>
      <c r="L6" s="6">
        <v>38.0</v>
      </c>
      <c r="M6" s="6">
        <v>6.2671</v>
      </c>
      <c r="N6" s="6">
        <v>0.8604</v>
      </c>
    </row>
    <row r="7">
      <c r="A7" s="5" t="s">
        <v>58</v>
      </c>
      <c r="B7" s="5" t="s">
        <v>1857</v>
      </c>
      <c r="C7" s="6">
        <v>3.0</v>
      </c>
      <c r="D7" s="6">
        <v>56332.0</v>
      </c>
      <c r="E7" s="6">
        <v>269707.0</v>
      </c>
      <c r="F7" s="6">
        <v>48.5488</v>
      </c>
      <c r="G7" s="6">
        <v>26.3409</v>
      </c>
      <c r="H7" s="6">
        <v>0.5426</v>
      </c>
      <c r="I7" s="6">
        <v>6.0</v>
      </c>
      <c r="J7" s="6">
        <v>13.0</v>
      </c>
      <c r="K7" s="6">
        <v>26.0</v>
      </c>
      <c r="L7" s="6">
        <v>39.0</v>
      </c>
      <c r="M7" s="6">
        <v>5.2475</v>
      </c>
      <c r="N7" s="6">
        <v>0.826</v>
      </c>
    </row>
    <row r="8">
      <c r="A8" s="5" t="s">
        <v>59</v>
      </c>
      <c r="B8" s="5" t="s">
        <v>163</v>
      </c>
      <c r="C8" s="6">
        <v>4.0</v>
      </c>
      <c r="D8" s="6">
        <v>46725.0</v>
      </c>
      <c r="E8" s="6">
        <v>242977.0</v>
      </c>
      <c r="F8" s="6">
        <v>69.5145</v>
      </c>
      <c r="G8" s="6">
        <v>53.0323</v>
      </c>
      <c r="H8" s="6">
        <v>0.7629</v>
      </c>
      <c r="I8" s="6">
        <v>13.0</v>
      </c>
      <c r="J8" s="6">
        <v>28.0</v>
      </c>
      <c r="K8" s="6">
        <v>50.0</v>
      </c>
      <c r="L8" s="6">
        <v>78.0</v>
      </c>
      <c r="M8" s="6">
        <v>9.7879</v>
      </c>
      <c r="N8" s="6">
        <v>0.9094</v>
      </c>
    </row>
    <row r="9">
      <c r="A9" s="5" t="s">
        <v>59</v>
      </c>
      <c r="B9" s="5" t="s">
        <v>1857</v>
      </c>
      <c r="C9" s="6">
        <v>4.0</v>
      </c>
      <c r="D9" s="6">
        <v>25352.0</v>
      </c>
      <c r="E9" s="6">
        <v>118828.0</v>
      </c>
      <c r="F9" s="6">
        <v>77.7319</v>
      </c>
      <c r="G9" s="6">
        <v>53.252</v>
      </c>
      <c r="H9" s="6">
        <v>0.6851</v>
      </c>
      <c r="I9" s="6">
        <v>12.0</v>
      </c>
      <c r="J9" s="6">
        <v>28.0</v>
      </c>
      <c r="K9" s="6">
        <v>51.0</v>
      </c>
      <c r="L9" s="6">
        <v>80.0</v>
      </c>
      <c r="M9" s="6">
        <v>8.3845</v>
      </c>
      <c r="N9" s="6">
        <v>0.8908</v>
      </c>
    </row>
    <row r="10">
      <c r="A10" s="5" t="s">
        <v>60</v>
      </c>
      <c r="B10" s="5" t="s">
        <v>163</v>
      </c>
      <c r="C10" s="6">
        <v>5.0</v>
      </c>
      <c r="D10" s="6">
        <v>9121.0</v>
      </c>
      <c r="E10" s="6">
        <v>31636.0</v>
      </c>
      <c r="F10" s="6">
        <v>153.6355</v>
      </c>
      <c r="G10" s="6">
        <v>126.7707</v>
      </c>
      <c r="H10" s="6">
        <v>0.8251</v>
      </c>
      <c r="I10" s="6">
        <v>29.0</v>
      </c>
      <c r="J10" s="6">
        <v>62.0</v>
      </c>
      <c r="K10" s="6">
        <v>115.0</v>
      </c>
      <c r="L10" s="6">
        <v>171.0</v>
      </c>
      <c r="M10" s="6">
        <v>13.9239</v>
      </c>
      <c r="N10" s="6">
        <v>0.9334</v>
      </c>
    </row>
    <row r="11">
      <c r="A11" s="5" t="s">
        <v>60</v>
      </c>
      <c r="B11" s="5" t="s">
        <v>1857</v>
      </c>
      <c r="C11" s="6">
        <v>5.0</v>
      </c>
      <c r="D11" s="6">
        <v>4466.0</v>
      </c>
      <c r="E11" s="6">
        <v>15139.0</v>
      </c>
      <c r="F11" s="6">
        <v>160.918</v>
      </c>
      <c r="G11" s="6">
        <v>126.8699</v>
      </c>
      <c r="H11" s="6">
        <v>0.7884</v>
      </c>
      <c r="I11" s="6">
        <v>28.0</v>
      </c>
      <c r="J11" s="6">
        <v>65.0</v>
      </c>
      <c r="K11" s="6">
        <v>118.0</v>
      </c>
      <c r="L11" s="6">
        <v>177.0</v>
      </c>
      <c r="M11" s="6">
        <v>12.8812</v>
      </c>
      <c r="N11" s="6">
        <v>0.9273</v>
      </c>
    </row>
  </sheetData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299" t="s">
        <v>2024</v>
      </c>
      <c r="B1" s="299" t="s">
        <v>2005</v>
      </c>
      <c r="C1" s="299" t="s">
        <v>2101</v>
      </c>
      <c r="D1" s="299" t="s">
        <v>2102</v>
      </c>
      <c r="E1" s="299" t="s">
        <v>2103</v>
      </c>
      <c r="F1" s="299" t="s">
        <v>2104</v>
      </c>
      <c r="G1" s="299" t="s">
        <v>2105</v>
      </c>
      <c r="H1" s="299" t="s">
        <v>2106</v>
      </c>
      <c r="I1" s="299" t="s">
        <v>2107</v>
      </c>
      <c r="J1" s="299" t="s">
        <v>2108</v>
      </c>
      <c r="K1" s="299" t="s">
        <v>2109</v>
      </c>
      <c r="L1" s="299" t="s">
        <v>2110</v>
      </c>
      <c r="M1" s="299" t="s">
        <v>2111</v>
      </c>
      <c r="N1" s="299" t="s">
        <v>2112</v>
      </c>
      <c r="O1" s="299" t="s">
        <v>2113</v>
      </c>
      <c r="P1" s="299" t="s">
        <v>2114</v>
      </c>
      <c r="Q1" s="299" t="s">
        <v>2115</v>
      </c>
      <c r="R1" s="299" t="s">
        <v>2116</v>
      </c>
    </row>
    <row r="2">
      <c r="A2" s="5" t="s">
        <v>56</v>
      </c>
      <c r="B2" s="5" t="s">
        <v>163</v>
      </c>
      <c r="C2" s="5" t="s">
        <v>1872</v>
      </c>
      <c r="D2" s="6">
        <v>534.8669</v>
      </c>
      <c r="E2" s="6">
        <v>548.5338</v>
      </c>
      <c r="F2" s="6">
        <v>-13.667</v>
      </c>
      <c r="G2" s="6">
        <v>57.1355</v>
      </c>
      <c r="H2" s="6">
        <v>224.8695</v>
      </c>
      <c r="I2" s="6">
        <v>788.1052</v>
      </c>
      <c r="J2" s="6">
        <v>1556.5442</v>
      </c>
      <c r="K2" s="6">
        <v>13.7853</v>
      </c>
      <c r="L2" s="6">
        <v>234.4586</v>
      </c>
      <c r="M2" s="6">
        <v>835.8894</v>
      </c>
      <c r="N2" s="6">
        <v>1604.6217</v>
      </c>
      <c r="O2" s="6">
        <v>-89.1781</v>
      </c>
      <c r="P2" s="6">
        <v>2.8879</v>
      </c>
      <c r="Q2" s="6">
        <v>62.2131</v>
      </c>
      <c r="R2" s="6">
        <v>178.2364</v>
      </c>
    </row>
    <row r="3">
      <c r="A3" s="5" t="s">
        <v>56</v>
      </c>
      <c r="B3" s="5" t="s">
        <v>163</v>
      </c>
      <c r="C3" s="5" t="s">
        <v>72</v>
      </c>
      <c r="D3" s="6">
        <v>6.3029</v>
      </c>
      <c r="E3" s="6">
        <v>6.4309</v>
      </c>
      <c r="F3" s="6">
        <v>-0.128</v>
      </c>
      <c r="G3" s="6">
        <v>0.0138</v>
      </c>
      <c r="H3" s="6">
        <v>2.2353</v>
      </c>
      <c r="I3" s="6">
        <v>9.3593</v>
      </c>
      <c r="J3" s="6">
        <v>19.2414</v>
      </c>
      <c r="K3" s="6">
        <v>0.0</v>
      </c>
      <c r="L3" s="6">
        <v>2.1367</v>
      </c>
      <c r="M3" s="6">
        <v>9.8235</v>
      </c>
      <c r="N3" s="6">
        <v>20.0256</v>
      </c>
      <c r="O3" s="6">
        <v>-1.0424</v>
      </c>
      <c r="P3" s="6">
        <v>0.0</v>
      </c>
      <c r="Q3" s="6">
        <v>0.9667</v>
      </c>
      <c r="R3" s="6">
        <v>2.8394</v>
      </c>
    </row>
    <row r="4">
      <c r="A4" s="5" t="s">
        <v>56</v>
      </c>
      <c r="B4" s="5" t="s">
        <v>163</v>
      </c>
      <c r="C4" s="5" t="s">
        <v>73</v>
      </c>
      <c r="D4" s="6">
        <v>5.2773</v>
      </c>
      <c r="E4" s="6">
        <v>5.3277</v>
      </c>
      <c r="F4" s="6">
        <v>-0.0505</v>
      </c>
      <c r="G4" s="6">
        <v>6.0E-4</v>
      </c>
      <c r="H4" s="6">
        <v>1.8354</v>
      </c>
      <c r="I4" s="6">
        <v>7.8831</v>
      </c>
      <c r="J4" s="6">
        <v>15.9855</v>
      </c>
      <c r="K4" s="6">
        <v>0.0</v>
      </c>
      <c r="L4" s="6">
        <v>1.6461</v>
      </c>
      <c r="M4" s="6">
        <v>8.0047</v>
      </c>
      <c r="N4" s="6">
        <v>16.455</v>
      </c>
      <c r="O4" s="6">
        <v>-0.944</v>
      </c>
      <c r="P4" s="6">
        <v>0.0</v>
      </c>
      <c r="Q4" s="6">
        <v>0.9959</v>
      </c>
      <c r="R4" s="6">
        <v>2.5536</v>
      </c>
    </row>
    <row r="5">
      <c r="A5" s="5" t="s">
        <v>56</v>
      </c>
      <c r="B5" s="5" t="s">
        <v>163</v>
      </c>
      <c r="C5" s="5" t="s">
        <v>74</v>
      </c>
      <c r="D5" s="6">
        <v>2.712</v>
      </c>
      <c r="E5" s="6">
        <v>2.6137</v>
      </c>
      <c r="F5" s="6">
        <v>0.0982</v>
      </c>
      <c r="G5" s="6">
        <v>0.0</v>
      </c>
      <c r="H5" s="6">
        <v>1.0097</v>
      </c>
      <c r="I5" s="6">
        <v>3.8221</v>
      </c>
      <c r="J5" s="6">
        <v>8.2239</v>
      </c>
      <c r="K5" s="6">
        <v>0.0</v>
      </c>
      <c r="L5" s="6">
        <v>0.8088</v>
      </c>
      <c r="M5" s="6">
        <v>3.7014</v>
      </c>
      <c r="N5" s="6">
        <v>8.2904</v>
      </c>
      <c r="O5" s="6">
        <v>-0.0216</v>
      </c>
      <c r="P5" s="6">
        <v>0.0</v>
      </c>
      <c r="Q5" s="6">
        <v>0.6151</v>
      </c>
      <c r="R5" s="6">
        <v>1.8959</v>
      </c>
    </row>
    <row r="6">
      <c r="A6" s="5" t="s">
        <v>56</v>
      </c>
      <c r="B6" s="5" t="s">
        <v>163</v>
      </c>
      <c r="C6" s="5" t="s">
        <v>69</v>
      </c>
      <c r="D6" s="6">
        <v>8.5241</v>
      </c>
      <c r="E6" s="6">
        <v>8.3456</v>
      </c>
      <c r="F6" s="6">
        <v>0.1785</v>
      </c>
      <c r="G6" s="6">
        <v>1.0241</v>
      </c>
      <c r="H6" s="6">
        <v>4.382</v>
      </c>
      <c r="I6" s="6">
        <v>13.5212</v>
      </c>
      <c r="J6" s="6">
        <v>23.523</v>
      </c>
      <c r="K6" s="6">
        <v>0.2422</v>
      </c>
      <c r="L6" s="6">
        <v>3.2234</v>
      </c>
      <c r="M6" s="6">
        <v>12.8172</v>
      </c>
      <c r="N6" s="6">
        <v>24.9727</v>
      </c>
      <c r="O6" s="6">
        <v>-1.7203</v>
      </c>
      <c r="P6" s="6">
        <v>0.0062</v>
      </c>
      <c r="Q6" s="6">
        <v>1.7447</v>
      </c>
      <c r="R6" s="6">
        <v>5.0519</v>
      </c>
    </row>
    <row r="7">
      <c r="A7" s="5" t="s">
        <v>56</v>
      </c>
      <c r="B7" s="5" t="s">
        <v>163</v>
      </c>
      <c r="C7" s="5" t="s">
        <v>70</v>
      </c>
      <c r="D7" s="6">
        <v>8.5027</v>
      </c>
      <c r="E7" s="6">
        <v>8.0996</v>
      </c>
      <c r="F7" s="6">
        <v>0.4031</v>
      </c>
      <c r="G7" s="6">
        <v>1.2496</v>
      </c>
      <c r="H7" s="6">
        <v>4.7292</v>
      </c>
      <c r="I7" s="6">
        <v>13.0504</v>
      </c>
      <c r="J7" s="6">
        <v>23.1888</v>
      </c>
      <c r="K7" s="6">
        <v>0.2351</v>
      </c>
      <c r="L7" s="6">
        <v>3.3939</v>
      </c>
      <c r="M7" s="6">
        <v>12.4889</v>
      </c>
      <c r="N7" s="6">
        <v>24.1026</v>
      </c>
      <c r="O7" s="6">
        <v>-1.3782</v>
      </c>
      <c r="P7" s="6">
        <v>0.096</v>
      </c>
      <c r="Q7" s="6">
        <v>2.0818</v>
      </c>
      <c r="R7" s="6">
        <v>5.1791</v>
      </c>
    </row>
    <row r="8">
      <c r="A8" s="5" t="s">
        <v>56</v>
      </c>
      <c r="B8" s="5" t="s">
        <v>163</v>
      </c>
      <c r="C8" s="5" t="s">
        <v>71</v>
      </c>
      <c r="D8" s="6">
        <v>4.0902</v>
      </c>
      <c r="E8" s="6">
        <v>3.8187</v>
      </c>
      <c r="F8" s="6">
        <v>0.2715</v>
      </c>
      <c r="G8" s="6">
        <v>0.2948</v>
      </c>
      <c r="H8" s="6">
        <v>1.9993</v>
      </c>
      <c r="I8" s="6">
        <v>6.1003</v>
      </c>
      <c r="J8" s="6">
        <v>11.582</v>
      </c>
      <c r="K8" s="6">
        <v>0.0</v>
      </c>
      <c r="L8" s="6">
        <v>1.3783</v>
      </c>
      <c r="M8" s="6">
        <v>5.644</v>
      </c>
      <c r="N8" s="6">
        <v>11.5339</v>
      </c>
      <c r="O8" s="6">
        <v>-0.5671</v>
      </c>
      <c r="P8" s="6">
        <v>0.0</v>
      </c>
      <c r="Q8" s="6">
        <v>1.0019</v>
      </c>
      <c r="R8" s="6">
        <v>2.7533</v>
      </c>
    </row>
    <row r="9">
      <c r="A9" s="5" t="s">
        <v>56</v>
      </c>
      <c r="B9" s="5" t="s">
        <v>163</v>
      </c>
      <c r="C9" s="5" t="s">
        <v>1873</v>
      </c>
      <c r="D9" s="6">
        <v>12.0268</v>
      </c>
      <c r="E9" s="6">
        <v>1.8728</v>
      </c>
      <c r="F9" s="6">
        <v>10.154</v>
      </c>
      <c r="G9" s="6">
        <v>0.0</v>
      </c>
      <c r="H9" s="6">
        <v>0.0</v>
      </c>
      <c r="I9" s="6">
        <v>0.0799</v>
      </c>
      <c r="J9" s="6">
        <v>60.0</v>
      </c>
      <c r="K9" s="6">
        <v>0.0</v>
      </c>
      <c r="L9" s="6">
        <v>0.0</v>
      </c>
      <c r="M9" s="6">
        <v>3.0E-4</v>
      </c>
      <c r="N9" s="6">
        <v>7.5338</v>
      </c>
      <c r="O9" s="6">
        <v>0.0</v>
      </c>
      <c r="P9" s="6">
        <v>0.0</v>
      </c>
      <c r="Q9" s="6">
        <v>0.2786</v>
      </c>
      <c r="R9" s="6">
        <v>51.1485</v>
      </c>
    </row>
    <row r="10">
      <c r="A10" s="5" t="s">
        <v>56</v>
      </c>
      <c r="B10" s="5" t="s">
        <v>163</v>
      </c>
      <c r="C10" s="5" t="s">
        <v>1874</v>
      </c>
      <c r="D10" s="6">
        <v>55.1505</v>
      </c>
      <c r="E10" s="6">
        <v>7.521</v>
      </c>
      <c r="F10" s="6">
        <v>47.6296</v>
      </c>
      <c r="G10" s="6">
        <v>0.0067</v>
      </c>
      <c r="H10" s="6">
        <v>30.0034</v>
      </c>
      <c r="I10" s="6">
        <v>71.6913</v>
      </c>
      <c r="J10" s="6">
        <v>170.0636</v>
      </c>
      <c r="K10" s="6">
        <v>0.0</v>
      </c>
      <c r="L10" s="6">
        <v>3.4826</v>
      </c>
      <c r="M10" s="6">
        <v>10.6896</v>
      </c>
      <c r="N10" s="6">
        <v>21.1998</v>
      </c>
      <c r="O10" s="6">
        <v>0.0</v>
      </c>
      <c r="P10" s="6">
        <v>26.1814</v>
      </c>
      <c r="Q10" s="6">
        <v>61.9185</v>
      </c>
      <c r="R10" s="6">
        <v>149.6529</v>
      </c>
    </row>
    <row r="11">
      <c r="A11" s="5" t="s">
        <v>56</v>
      </c>
      <c r="B11" s="5" t="s">
        <v>163</v>
      </c>
      <c r="C11" s="5" t="s">
        <v>1875</v>
      </c>
      <c r="D11" s="6">
        <v>69.3222</v>
      </c>
      <c r="E11" s="6">
        <v>9.6681</v>
      </c>
      <c r="F11" s="6">
        <v>59.6541</v>
      </c>
      <c r="G11" s="6">
        <v>2.7843</v>
      </c>
      <c r="H11" s="6">
        <v>36.8983</v>
      </c>
      <c r="I11" s="6">
        <v>97.3258</v>
      </c>
      <c r="J11" s="6">
        <v>210.936</v>
      </c>
      <c r="K11" s="6">
        <v>0.0181</v>
      </c>
      <c r="L11" s="6">
        <v>4.5687</v>
      </c>
      <c r="M11" s="6">
        <v>13.669</v>
      </c>
      <c r="N11" s="6">
        <v>27.5451</v>
      </c>
      <c r="O11" s="6">
        <v>2.4246</v>
      </c>
      <c r="P11" s="6">
        <v>29.5268</v>
      </c>
      <c r="Q11" s="6">
        <v>82.6514</v>
      </c>
      <c r="R11" s="6">
        <v>183.5108</v>
      </c>
    </row>
    <row r="12">
      <c r="A12" s="5" t="s">
        <v>56</v>
      </c>
      <c r="B12" s="5" t="s">
        <v>163</v>
      </c>
      <c r="C12" s="5" t="s">
        <v>75</v>
      </c>
      <c r="D12" s="6">
        <v>716.8486</v>
      </c>
      <c r="E12" s="6">
        <v>0.0029</v>
      </c>
      <c r="F12" s="6">
        <v>716.8457</v>
      </c>
      <c r="G12" s="6">
        <v>86.4854</v>
      </c>
      <c r="H12" s="6">
        <v>336.9695</v>
      </c>
      <c r="I12" s="6">
        <v>1093.821</v>
      </c>
      <c r="J12" s="6">
        <v>2074.6176</v>
      </c>
      <c r="K12" s="6">
        <v>0.0</v>
      </c>
      <c r="L12" s="6">
        <v>0.0</v>
      </c>
      <c r="M12" s="6">
        <v>0.0</v>
      </c>
      <c r="N12" s="6">
        <v>0.0</v>
      </c>
      <c r="O12" s="6">
        <v>86.4712</v>
      </c>
      <c r="P12" s="6">
        <v>336.9694</v>
      </c>
      <c r="Q12" s="6">
        <v>1093.8206</v>
      </c>
      <c r="R12" s="6">
        <v>2074.6176</v>
      </c>
    </row>
    <row r="13">
      <c r="A13" s="5" t="s">
        <v>56</v>
      </c>
      <c r="B13" s="5" t="s">
        <v>1857</v>
      </c>
      <c r="C13" s="5" t="s">
        <v>1872</v>
      </c>
      <c r="D13" s="6">
        <v>1048.9853</v>
      </c>
      <c r="E13" s="6">
        <v>1082.3484</v>
      </c>
      <c r="F13" s="6">
        <v>-33.3631</v>
      </c>
      <c r="G13" s="6">
        <v>118.2298</v>
      </c>
      <c r="H13" s="6">
        <v>586.2374</v>
      </c>
      <c r="I13" s="6">
        <v>1510.7422</v>
      </c>
      <c r="J13" s="6">
        <v>2582.012</v>
      </c>
      <c r="K13" s="6">
        <v>110.2548</v>
      </c>
      <c r="L13" s="6">
        <v>654.7549</v>
      </c>
      <c r="M13" s="6">
        <v>1584.3307</v>
      </c>
      <c r="N13" s="6">
        <v>2629.1664</v>
      </c>
      <c r="O13" s="6">
        <v>-106.2597</v>
      </c>
      <c r="P13" s="6">
        <v>-11.9423</v>
      </c>
      <c r="Q13" s="6">
        <v>52.9793</v>
      </c>
      <c r="R13" s="6">
        <v>166.4162</v>
      </c>
    </row>
    <row r="14">
      <c r="A14" s="5" t="s">
        <v>56</v>
      </c>
      <c r="B14" s="5" t="s">
        <v>1857</v>
      </c>
      <c r="C14" s="5" t="s">
        <v>72</v>
      </c>
      <c r="D14" s="6">
        <v>10.0871</v>
      </c>
      <c r="E14" s="6">
        <v>10.633</v>
      </c>
      <c r="F14" s="6">
        <v>-0.5459</v>
      </c>
      <c r="G14" s="6">
        <v>0.9931</v>
      </c>
      <c r="H14" s="6">
        <v>5.7549</v>
      </c>
      <c r="I14" s="6">
        <v>15.7196</v>
      </c>
      <c r="J14" s="6">
        <v>26.7163</v>
      </c>
      <c r="K14" s="6">
        <v>0.6874</v>
      </c>
      <c r="L14" s="6">
        <v>6.4122</v>
      </c>
      <c r="M14" s="6">
        <v>17.0718</v>
      </c>
      <c r="N14" s="6">
        <v>27.6664</v>
      </c>
      <c r="O14" s="6">
        <v>-1.7456</v>
      </c>
      <c r="P14" s="6">
        <v>-4.0E-4</v>
      </c>
      <c r="Q14" s="6">
        <v>0.9626</v>
      </c>
      <c r="R14" s="6">
        <v>2.5117</v>
      </c>
    </row>
    <row r="15">
      <c r="A15" s="5" t="s">
        <v>56</v>
      </c>
      <c r="B15" s="5" t="s">
        <v>1857</v>
      </c>
      <c r="C15" s="5" t="s">
        <v>73</v>
      </c>
      <c r="D15" s="6">
        <v>8.5942</v>
      </c>
      <c r="E15" s="6">
        <v>8.946</v>
      </c>
      <c r="F15" s="6">
        <v>-0.3518</v>
      </c>
      <c r="G15" s="6">
        <v>0.8606</v>
      </c>
      <c r="H15" s="6">
        <v>4.8162</v>
      </c>
      <c r="I15" s="6">
        <v>13.2423</v>
      </c>
      <c r="J15" s="6">
        <v>22.8972</v>
      </c>
      <c r="K15" s="6">
        <v>0.6529</v>
      </c>
      <c r="L15" s="6">
        <v>5.2233</v>
      </c>
      <c r="M15" s="6">
        <v>14.0851</v>
      </c>
      <c r="N15" s="6">
        <v>23.4904</v>
      </c>
      <c r="O15" s="6">
        <v>-1.1302</v>
      </c>
      <c r="P15" s="6">
        <v>0.0</v>
      </c>
      <c r="Q15" s="6">
        <v>0.9805</v>
      </c>
      <c r="R15" s="6">
        <v>2.3887</v>
      </c>
    </row>
    <row r="16">
      <c r="A16" s="5" t="s">
        <v>56</v>
      </c>
      <c r="B16" s="5" t="s">
        <v>1857</v>
      </c>
      <c r="C16" s="5" t="s">
        <v>74</v>
      </c>
      <c r="D16" s="6">
        <v>4.9563</v>
      </c>
      <c r="E16" s="6">
        <v>5.0316</v>
      </c>
      <c r="F16" s="6">
        <v>-0.0753</v>
      </c>
      <c r="G16" s="6">
        <v>0.162</v>
      </c>
      <c r="H16" s="6">
        <v>2.6082</v>
      </c>
      <c r="I16" s="6">
        <v>7.3639</v>
      </c>
      <c r="J16" s="6">
        <v>13.1692</v>
      </c>
      <c r="K16" s="6">
        <v>0.0128</v>
      </c>
      <c r="L16" s="6">
        <v>2.7597</v>
      </c>
      <c r="M16" s="6">
        <v>7.5917</v>
      </c>
      <c r="N16" s="6">
        <v>13.3192</v>
      </c>
      <c r="O16" s="6">
        <v>-0.6713</v>
      </c>
      <c r="P16" s="6">
        <v>0.0</v>
      </c>
      <c r="Q16" s="6">
        <v>0.4319</v>
      </c>
      <c r="R16" s="6">
        <v>1.5813</v>
      </c>
    </row>
    <row r="17">
      <c r="A17" s="5" t="s">
        <v>56</v>
      </c>
      <c r="B17" s="5" t="s">
        <v>1857</v>
      </c>
      <c r="C17" s="5" t="s">
        <v>69</v>
      </c>
      <c r="D17" s="6">
        <v>12.1397</v>
      </c>
      <c r="E17" s="6">
        <v>13.3882</v>
      </c>
      <c r="F17" s="6">
        <v>-1.2485</v>
      </c>
      <c r="G17" s="6">
        <v>2.1651</v>
      </c>
      <c r="H17" s="6">
        <v>8.8099</v>
      </c>
      <c r="I17" s="6">
        <v>19.3118</v>
      </c>
      <c r="J17" s="6">
        <v>28.5224</v>
      </c>
      <c r="K17" s="6">
        <v>1.6453</v>
      </c>
      <c r="L17" s="6">
        <v>9.2608</v>
      </c>
      <c r="M17" s="6">
        <v>21.4825</v>
      </c>
      <c r="N17" s="6">
        <v>32.7003</v>
      </c>
      <c r="O17" s="6">
        <v>-3.1877</v>
      </c>
      <c r="P17" s="6">
        <v>-0.6946</v>
      </c>
      <c r="Q17" s="6">
        <v>0.9551</v>
      </c>
      <c r="R17" s="6">
        <v>3.3008</v>
      </c>
    </row>
    <row r="18">
      <c r="A18" s="5" t="s">
        <v>56</v>
      </c>
      <c r="B18" s="5" t="s">
        <v>1857</v>
      </c>
      <c r="C18" s="5" t="s">
        <v>70</v>
      </c>
      <c r="D18" s="6">
        <v>12.0565</v>
      </c>
      <c r="E18" s="6">
        <v>12.9111</v>
      </c>
      <c r="F18" s="6">
        <v>-0.8546</v>
      </c>
      <c r="G18" s="6">
        <v>2.6456</v>
      </c>
      <c r="H18" s="6">
        <v>8.9632</v>
      </c>
      <c r="I18" s="6">
        <v>18.5586</v>
      </c>
      <c r="J18" s="6">
        <v>28.0876</v>
      </c>
      <c r="K18" s="6">
        <v>1.7234</v>
      </c>
      <c r="L18" s="6">
        <v>9.0744</v>
      </c>
      <c r="M18" s="6">
        <v>20.2804</v>
      </c>
      <c r="N18" s="6">
        <v>31.3613</v>
      </c>
      <c r="O18" s="6">
        <v>-2.5659</v>
      </c>
      <c r="P18" s="6">
        <v>-0.2838</v>
      </c>
      <c r="Q18" s="6">
        <v>1.2057</v>
      </c>
      <c r="R18" s="6">
        <v>3.5994</v>
      </c>
    </row>
    <row r="19">
      <c r="A19" s="5" t="s">
        <v>56</v>
      </c>
      <c r="B19" s="5" t="s">
        <v>1857</v>
      </c>
      <c r="C19" s="5" t="s">
        <v>71</v>
      </c>
      <c r="D19" s="6">
        <v>6.732</v>
      </c>
      <c r="E19" s="6">
        <v>7.1841</v>
      </c>
      <c r="F19" s="6">
        <v>-0.4521</v>
      </c>
      <c r="G19" s="6">
        <v>1.0277</v>
      </c>
      <c r="H19" s="6">
        <v>4.3056</v>
      </c>
      <c r="I19" s="6">
        <v>9.9016</v>
      </c>
      <c r="J19" s="6">
        <v>16.4146</v>
      </c>
      <c r="K19" s="6">
        <v>0.9078</v>
      </c>
      <c r="L19" s="6">
        <v>4.3127</v>
      </c>
      <c r="M19" s="6">
        <v>10.5944</v>
      </c>
      <c r="N19" s="6">
        <v>17.9552</v>
      </c>
      <c r="O19" s="6">
        <v>-1.1166</v>
      </c>
      <c r="P19" s="6">
        <v>0.0</v>
      </c>
      <c r="Q19" s="6">
        <v>0.8656</v>
      </c>
      <c r="R19" s="6">
        <v>2.0215</v>
      </c>
    </row>
    <row r="20">
      <c r="A20" s="5" t="s">
        <v>56</v>
      </c>
      <c r="B20" s="5" t="s">
        <v>1857</v>
      </c>
      <c r="C20" s="5" t="s">
        <v>1873</v>
      </c>
      <c r="D20" s="6">
        <v>36.4432</v>
      </c>
      <c r="E20" s="6">
        <v>9.5818</v>
      </c>
      <c r="F20" s="6">
        <v>26.8614</v>
      </c>
      <c r="G20" s="6">
        <v>0.0</v>
      </c>
      <c r="H20" s="6">
        <v>0.0</v>
      </c>
      <c r="I20" s="6">
        <v>59.4687</v>
      </c>
      <c r="J20" s="6">
        <v>96.9776</v>
      </c>
      <c r="K20" s="6">
        <v>0.0</v>
      </c>
      <c r="L20" s="6">
        <v>0.0</v>
      </c>
      <c r="M20" s="6">
        <v>8.7989</v>
      </c>
      <c r="N20" s="6">
        <v>26.1897</v>
      </c>
      <c r="O20" s="6">
        <v>0.0</v>
      </c>
      <c r="P20" s="6">
        <v>4.0E-4</v>
      </c>
      <c r="Q20" s="6">
        <v>41.8753</v>
      </c>
      <c r="R20" s="6">
        <v>68.6758</v>
      </c>
    </row>
    <row r="21">
      <c r="A21" s="5" t="s">
        <v>56</v>
      </c>
      <c r="B21" s="5" t="s">
        <v>1857</v>
      </c>
      <c r="C21" s="5" t="s">
        <v>1874</v>
      </c>
      <c r="D21" s="6">
        <v>95.9414</v>
      </c>
      <c r="E21" s="6">
        <v>18.4736</v>
      </c>
      <c r="F21" s="6">
        <v>77.4678</v>
      </c>
      <c r="G21" s="6">
        <v>19.2687</v>
      </c>
      <c r="H21" s="6">
        <v>50.8589</v>
      </c>
      <c r="I21" s="6">
        <v>147.0355</v>
      </c>
      <c r="J21" s="6">
        <v>231.156</v>
      </c>
      <c r="K21" s="6">
        <v>0.4594</v>
      </c>
      <c r="L21" s="6">
        <v>7.955</v>
      </c>
      <c r="M21" s="6">
        <v>21.606</v>
      </c>
      <c r="N21" s="6">
        <v>47.8356</v>
      </c>
      <c r="O21" s="6">
        <v>12.2214</v>
      </c>
      <c r="P21" s="6">
        <v>39.6009</v>
      </c>
      <c r="Q21" s="6">
        <v>121.3427</v>
      </c>
      <c r="R21" s="6">
        <v>190.0375</v>
      </c>
    </row>
    <row r="22">
      <c r="A22" s="5" t="s">
        <v>56</v>
      </c>
      <c r="B22" s="5" t="s">
        <v>1857</v>
      </c>
      <c r="C22" s="5" t="s">
        <v>1875</v>
      </c>
      <c r="D22" s="6">
        <v>111.0824</v>
      </c>
      <c r="E22" s="6">
        <v>21.3808</v>
      </c>
      <c r="F22" s="6">
        <v>89.7016</v>
      </c>
      <c r="G22" s="6">
        <v>19.8737</v>
      </c>
      <c r="H22" s="6">
        <v>61.3192</v>
      </c>
      <c r="I22" s="6">
        <v>169.9788</v>
      </c>
      <c r="J22" s="6">
        <v>273.741</v>
      </c>
      <c r="K22" s="6">
        <v>1.6463</v>
      </c>
      <c r="L22" s="6">
        <v>9.6067</v>
      </c>
      <c r="M22" s="6">
        <v>27.2752</v>
      </c>
      <c r="N22" s="6">
        <v>54.6519</v>
      </c>
      <c r="O22" s="6">
        <v>15.9132</v>
      </c>
      <c r="P22" s="6">
        <v>48.4974</v>
      </c>
      <c r="Q22" s="6">
        <v>141.0065</v>
      </c>
      <c r="R22" s="6">
        <v>224.342</v>
      </c>
    </row>
    <row r="23">
      <c r="A23" s="5" t="s">
        <v>56</v>
      </c>
      <c r="B23" s="5" t="s">
        <v>1857</v>
      </c>
      <c r="C23" s="5" t="s">
        <v>75</v>
      </c>
      <c r="D23" s="6">
        <v>1029.0635</v>
      </c>
      <c r="E23" s="6">
        <v>0.0016</v>
      </c>
      <c r="F23" s="6">
        <v>1029.0618</v>
      </c>
      <c r="G23" s="6">
        <v>169.0901</v>
      </c>
      <c r="H23" s="6">
        <v>684.7109</v>
      </c>
      <c r="I23" s="6">
        <v>1666.0623</v>
      </c>
      <c r="J23" s="6">
        <v>2563.0308</v>
      </c>
      <c r="K23" s="6">
        <v>0.0</v>
      </c>
      <c r="L23" s="6">
        <v>0.0</v>
      </c>
      <c r="M23" s="6">
        <v>0.0</v>
      </c>
      <c r="N23" s="6">
        <v>0.0</v>
      </c>
      <c r="O23" s="6">
        <v>169.0711</v>
      </c>
      <c r="P23" s="6">
        <v>684.7109</v>
      </c>
      <c r="Q23" s="6">
        <v>1666.0623</v>
      </c>
      <c r="R23" s="6">
        <v>2563.0308</v>
      </c>
    </row>
    <row r="24">
      <c r="A24" s="5" t="s">
        <v>57</v>
      </c>
      <c r="B24" s="5" t="s">
        <v>163</v>
      </c>
      <c r="C24" s="5" t="s">
        <v>1872</v>
      </c>
      <c r="D24" s="6">
        <v>1205.8458</v>
      </c>
      <c r="E24" s="6">
        <v>1186.8229</v>
      </c>
      <c r="F24" s="6">
        <v>19.0229</v>
      </c>
      <c r="G24" s="6">
        <v>162.329</v>
      </c>
      <c r="H24" s="6">
        <v>688.0383</v>
      </c>
      <c r="I24" s="6">
        <v>2079.4435</v>
      </c>
      <c r="J24" s="6">
        <v>3025.3092</v>
      </c>
      <c r="K24" s="6">
        <v>145.3667</v>
      </c>
      <c r="L24" s="6">
        <v>693.5301</v>
      </c>
      <c r="M24" s="6">
        <v>2019.3756</v>
      </c>
      <c r="N24" s="6">
        <v>2983.553</v>
      </c>
      <c r="O24" s="6">
        <v>-89.9358</v>
      </c>
      <c r="P24" s="6">
        <v>13.399</v>
      </c>
      <c r="Q24" s="6">
        <v>116.2868</v>
      </c>
      <c r="R24" s="6">
        <v>325.5197</v>
      </c>
    </row>
    <row r="25">
      <c r="A25" s="5" t="s">
        <v>57</v>
      </c>
      <c r="B25" s="5" t="s">
        <v>163</v>
      </c>
      <c r="C25" s="5" t="s">
        <v>72</v>
      </c>
      <c r="D25" s="6">
        <v>13.6553</v>
      </c>
      <c r="E25" s="6">
        <v>13.5237</v>
      </c>
      <c r="F25" s="6">
        <v>0.1316</v>
      </c>
      <c r="G25" s="6">
        <v>1.3045</v>
      </c>
      <c r="H25" s="6">
        <v>7.468</v>
      </c>
      <c r="I25" s="6">
        <v>23.5534</v>
      </c>
      <c r="J25" s="6">
        <v>35.5403</v>
      </c>
      <c r="K25" s="6">
        <v>0.9354</v>
      </c>
      <c r="L25" s="6">
        <v>7.1682</v>
      </c>
      <c r="M25" s="6">
        <v>23.5334</v>
      </c>
      <c r="N25" s="6">
        <v>35.8099</v>
      </c>
      <c r="O25" s="6">
        <v>-1.2831</v>
      </c>
      <c r="P25" s="6">
        <v>2.0E-4</v>
      </c>
      <c r="Q25" s="6">
        <v>1.5151</v>
      </c>
      <c r="R25" s="6">
        <v>4.0556</v>
      </c>
    </row>
    <row r="26">
      <c r="A26" s="5" t="s">
        <v>57</v>
      </c>
      <c r="B26" s="5" t="s">
        <v>163</v>
      </c>
      <c r="C26" s="5" t="s">
        <v>73</v>
      </c>
      <c r="D26" s="6">
        <v>12.7215</v>
      </c>
      <c r="E26" s="6">
        <v>12.4166</v>
      </c>
      <c r="F26" s="6">
        <v>0.3048</v>
      </c>
      <c r="G26" s="6">
        <v>1.3508</v>
      </c>
      <c r="H26" s="6">
        <v>7.3061</v>
      </c>
      <c r="I26" s="6">
        <v>21.9874</v>
      </c>
      <c r="J26" s="6">
        <v>32.5062</v>
      </c>
      <c r="K26" s="6">
        <v>0.9906</v>
      </c>
      <c r="L26" s="6">
        <v>6.7253</v>
      </c>
      <c r="M26" s="6">
        <v>21.1829</v>
      </c>
      <c r="N26" s="6">
        <v>32.3876</v>
      </c>
      <c r="O26" s="6">
        <v>-1.0482</v>
      </c>
      <c r="P26" s="6">
        <v>0.0185</v>
      </c>
      <c r="Q26" s="6">
        <v>1.7009</v>
      </c>
      <c r="R26" s="6">
        <v>4.332</v>
      </c>
    </row>
    <row r="27">
      <c r="A27" s="5" t="s">
        <v>57</v>
      </c>
      <c r="B27" s="5" t="s">
        <v>163</v>
      </c>
      <c r="C27" s="5" t="s">
        <v>74</v>
      </c>
      <c r="D27" s="6">
        <v>6.5097</v>
      </c>
      <c r="E27" s="6">
        <v>6.2446</v>
      </c>
      <c r="F27" s="6">
        <v>0.2652</v>
      </c>
      <c r="G27" s="6">
        <v>0.9904</v>
      </c>
      <c r="H27" s="6">
        <v>3.7446</v>
      </c>
      <c r="I27" s="6">
        <v>10.7503</v>
      </c>
      <c r="J27" s="6">
        <v>16.8701</v>
      </c>
      <c r="K27" s="6">
        <v>0.1897</v>
      </c>
      <c r="L27" s="6">
        <v>3.29</v>
      </c>
      <c r="M27" s="6">
        <v>10.3757</v>
      </c>
      <c r="N27" s="6">
        <v>16.5943</v>
      </c>
      <c r="O27" s="6">
        <v>-0.4513</v>
      </c>
      <c r="P27" s="6">
        <v>0.0</v>
      </c>
      <c r="Q27" s="6">
        <v>1.0008</v>
      </c>
      <c r="R27" s="6">
        <v>2.6632</v>
      </c>
    </row>
    <row r="28">
      <c r="A28" s="5" t="s">
        <v>57</v>
      </c>
      <c r="B28" s="5" t="s">
        <v>163</v>
      </c>
      <c r="C28" s="5" t="s">
        <v>69</v>
      </c>
      <c r="D28" s="6">
        <v>17.2354</v>
      </c>
      <c r="E28" s="6">
        <v>17.3467</v>
      </c>
      <c r="F28" s="6">
        <v>-0.1113</v>
      </c>
      <c r="G28" s="6">
        <v>3.4967</v>
      </c>
      <c r="H28" s="6">
        <v>12.446</v>
      </c>
      <c r="I28" s="6">
        <v>28.5989</v>
      </c>
      <c r="J28" s="6">
        <v>40.0922</v>
      </c>
      <c r="K28" s="6">
        <v>1.7917</v>
      </c>
      <c r="L28" s="6">
        <v>9.6847</v>
      </c>
      <c r="M28" s="6">
        <v>29.7979</v>
      </c>
      <c r="N28" s="6">
        <v>44.2254</v>
      </c>
      <c r="O28" s="6">
        <v>-3.7481</v>
      </c>
      <c r="P28" s="6">
        <v>-0.0121</v>
      </c>
      <c r="Q28" s="6">
        <v>2.99</v>
      </c>
      <c r="R28" s="6">
        <v>8.5413</v>
      </c>
    </row>
    <row r="29">
      <c r="A29" s="5" t="s">
        <v>57</v>
      </c>
      <c r="B29" s="5" t="s">
        <v>163</v>
      </c>
      <c r="C29" s="5" t="s">
        <v>70</v>
      </c>
      <c r="D29" s="6">
        <v>17.9176</v>
      </c>
      <c r="E29" s="6">
        <v>17.3402</v>
      </c>
      <c r="F29" s="6">
        <v>0.5774</v>
      </c>
      <c r="G29" s="6">
        <v>3.9158</v>
      </c>
      <c r="H29" s="6">
        <v>13.0035</v>
      </c>
      <c r="I29" s="6">
        <v>30.014</v>
      </c>
      <c r="J29" s="6">
        <v>41.3667</v>
      </c>
      <c r="K29" s="6">
        <v>1.6941</v>
      </c>
      <c r="L29" s="6">
        <v>9.9344</v>
      </c>
      <c r="M29" s="6">
        <v>29.9439</v>
      </c>
      <c r="N29" s="6">
        <v>43.9474</v>
      </c>
      <c r="O29" s="6">
        <v>-2.6979</v>
      </c>
      <c r="P29" s="6">
        <v>0.2861</v>
      </c>
      <c r="Q29" s="6">
        <v>3.4371</v>
      </c>
      <c r="R29" s="6">
        <v>8.9678</v>
      </c>
    </row>
    <row r="30">
      <c r="A30" s="5" t="s">
        <v>57</v>
      </c>
      <c r="B30" s="5" t="s">
        <v>163</v>
      </c>
      <c r="C30" s="5" t="s">
        <v>71</v>
      </c>
      <c r="D30" s="6">
        <v>9.5576</v>
      </c>
      <c r="E30" s="6">
        <v>8.7859</v>
      </c>
      <c r="F30" s="6">
        <v>0.7717</v>
      </c>
      <c r="G30" s="6">
        <v>1.6183</v>
      </c>
      <c r="H30" s="6">
        <v>5.9979</v>
      </c>
      <c r="I30" s="6">
        <v>15.6007</v>
      </c>
      <c r="J30" s="6">
        <v>23.6991</v>
      </c>
      <c r="K30" s="6">
        <v>0.5694</v>
      </c>
      <c r="L30" s="6">
        <v>4.3631</v>
      </c>
      <c r="M30" s="6">
        <v>14.5466</v>
      </c>
      <c r="N30" s="6">
        <v>23.9006</v>
      </c>
      <c r="O30" s="6">
        <v>-1.0062</v>
      </c>
      <c r="P30" s="6">
        <v>0.1328</v>
      </c>
      <c r="Q30" s="6">
        <v>1.9735</v>
      </c>
      <c r="R30" s="6">
        <v>5.4107</v>
      </c>
    </row>
    <row r="31">
      <c r="A31" s="5" t="s">
        <v>57</v>
      </c>
      <c r="B31" s="5" t="s">
        <v>163</v>
      </c>
      <c r="C31" s="5" t="s">
        <v>1873</v>
      </c>
      <c r="D31" s="6">
        <v>26.7384</v>
      </c>
      <c r="E31" s="6">
        <v>5.8092</v>
      </c>
      <c r="F31" s="6">
        <v>20.9291</v>
      </c>
      <c r="G31" s="6">
        <v>0.0</v>
      </c>
      <c r="H31" s="6">
        <v>0.0</v>
      </c>
      <c r="I31" s="6">
        <v>51.7872</v>
      </c>
      <c r="J31" s="6">
        <v>88.4676</v>
      </c>
      <c r="K31" s="6">
        <v>0.0</v>
      </c>
      <c r="L31" s="6">
        <v>1.0E-4</v>
      </c>
      <c r="M31" s="6">
        <v>8.3731</v>
      </c>
      <c r="N31" s="6">
        <v>20.3032</v>
      </c>
      <c r="O31" s="6">
        <v>0.0</v>
      </c>
      <c r="P31" s="6">
        <v>0.0</v>
      </c>
      <c r="Q31" s="6">
        <v>38.7629</v>
      </c>
      <c r="R31" s="6">
        <v>70.3075</v>
      </c>
    </row>
    <row r="32">
      <c r="A32" s="5" t="s">
        <v>57</v>
      </c>
      <c r="B32" s="5" t="s">
        <v>163</v>
      </c>
      <c r="C32" s="5" t="s">
        <v>1874</v>
      </c>
      <c r="D32" s="6">
        <v>90.9716</v>
      </c>
      <c r="E32" s="6">
        <v>17.3617</v>
      </c>
      <c r="F32" s="6">
        <v>73.6098</v>
      </c>
      <c r="G32" s="6">
        <v>28.2146</v>
      </c>
      <c r="H32" s="6">
        <v>61.5977</v>
      </c>
      <c r="I32" s="6">
        <v>139.4284</v>
      </c>
      <c r="J32" s="6">
        <v>226.4353</v>
      </c>
      <c r="K32" s="6">
        <v>3.7148</v>
      </c>
      <c r="L32" s="6">
        <v>12.3941</v>
      </c>
      <c r="M32" s="6">
        <v>25.4066</v>
      </c>
      <c r="N32" s="6">
        <v>41.6123</v>
      </c>
      <c r="O32" s="6">
        <v>19.2377</v>
      </c>
      <c r="P32" s="6">
        <v>48.5322</v>
      </c>
      <c r="Q32" s="6">
        <v>113.0048</v>
      </c>
      <c r="R32" s="6">
        <v>187.7403</v>
      </c>
    </row>
    <row r="33">
      <c r="A33" s="5" t="s">
        <v>57</v>
      </c>
      <c r="B33" s="5" t="s">
        <v>163</v>
      </c>
      <c r="C33" s="5" t="s">
        <v>1875</v>
      </c>
      <c r="D33" s="6">
        <v>124.0757</v>
      </c>
      <c r="E33" s="6">
        <v>22.8737</v>
      </c>
      <c r="F33" s="6">
        <v>101.2021</v>
      </c>
      <c r="G33" s="6">
        <v>24.9391</v>
      </c>
      <c r="H33" s="6">
        <v>83.1728</v>
      </c>
      <c r="I33" s="6">
        <v>201.6322</v>
      </c>
      <c r="J33" s="6">
        <v>304.3782</v>
      </c>
      <c r="K33" s="6">
        <v>5.4445</v>
      </c>
      <c r="L33" s="6">
        <v>15.6445</v>
      </c>
      <c r="M33" s="6">
        <v>35.1159</v>
      </c>
      <c r="N33" s="6">
        <v>55.1958</v>
      </c>
      <c r="O33" s="6">
        <v>19.2542</v>
      </c>
      <c r="P33" s="6">
        <v>66.9577</v>
      </c>
      <c r="Q33" s="6">
        <v>163.6618</v>
      </c>
      <c r="R33" s="6">
        <v>253.216</v>
      </c>
    </row>
    <row r="34">
      <c r="A34" s="5" t="s">
        <v>57</v>
      </c>
      <c r="B34" s="5" t="s">
        <v>163</v>
      </c>
      <c r="C34" s="5" t="s">
        <v>75</v>
      </c>
      <c r="D34" s="6">
        <v>1303.1837</v>
      </c>
      <c r="E34" s="6">
        <v>0.0054</v>
      </c>
      <c r="F34" s="6">
        <v>1303.1782</v>
      </c>
      <c r="G34" s="6">
        <v>217.6923</v>
      </c>
      <c r="H34" s="6">
        <v>770.8191</v>
      </c>
      <c r="I34" s="6">
        <v>2190.0626</v>
      </c>
      <c r="J34" s="6">
        <v>3358.8143</v>
      </c>
      <c r="K34" s="6">
        <v>0.0</v>
      </c>
      <c r="L34" s="6">
        <v>0.0</v>
      </c>
      <c r="M34" s="6">
        <v>0.0</v>
      </c>
      <c r="N34" s="6">
        <v>0.0</v>
      </c>
      <c r="O34" s="6">
        <v>217.6836</v>
      </c>
      <c r="P34" s="6">
        <v>770.8191</v>
      </c>
      <c r="Q34" s="6">
        <v>2190.0626</v>
      </c>
      <c r="R34" s="6">
        <v>3358.8143</v>
      </c>
    </row>
    <row r="35">
      <c r="A35" s="5" t="s">
        <v>57</v>
      </c>
      <c r="B35" s="5" t="s">
        <v>1857</v>
      </c>
      <c r="C35" s="5" t="s">
        <v>1872</v>
      </c>
      <c r="D35" s="6">
        <v>2268.673</v>
      </c>
      <c r="E35" s="6">
        <v>2288.8023</v>
      </c>
      <c r="F35" s="6">
        <v>-20.1293</v>
      </c>
      <c r="G35" s="6">
        <v>221.8036</v>
      </c>
      <c r="H35" s="6">
        <v>1210.188</v>
      </c>
      <c r="I35" s="6">
        <v>3265.8388</v>
      </c>
      <c r="J35" s="6">
        <v>5533.6396</v>
      </c>
      <c r="K35" s="6">
        <v>220.3963</v>
      </c>
      <c r="L35" s="6">
        <v>1270.613</v>
      </c>
      <c r="M35" s="6">
        <v>3283.2633</v>
      </c>
      <c r="N35" s="6">
        <v>5590.3487</v>
      </c>
      <c r="O35" s="6">
        <v>-91.9121</v>
      </c>
      <c r="P35" s="6">
        <v>3.5825</v>
      </c>
      <c r="Q35" s="6">
        <v>96.4124</v>
      </c>
      <c r="R35" s="6">
        <v>261.1503</v>
      </c>
    </row>
    <row r="36">
      <c r="A36" s="5" t="s">
        <v>57</v>
      </c>
      <c r="B36" s="5" t="s">
        <v>1857</v>
      </c>
      <c r="C36" s="5" t="s">
        <v>72</v>
      </c>
      <c r="D36" s="6">
        <v>18.4398</v>
      </c>
      <c r="E36" s="6">
        <v>18.6514</v>
      </c>
      <c r="F36" s="6">
        <v>-0.2116</v>
      </c>
      <c r="G36" s="6">
        <v>1.9129</v>
      </c>
      <c r="H36" s="6">
        <v>10.6636</v>
      </c>
      <c r="I36" s="6">
        <v>30.7323</v>
      </c>
      <c r="J36" s="6">
        <v>45.8971</v>
      </c>
      <c r="K36" s="6">
        <v>1.635</v>
      </c>
      <c r="L36" s="6">
        <v>11.434</v>
      </c>
      <c r="M36" s="6">
        <v>31.1328</v>
      </c>
      <c r="N36" s="6">
        <v>46.2088</v>
      </c>
      <c r="O36" s="6">
        <v>-1.4396</v>
      </c>
      <c r="P36" s="6">
        <v>0.0</v>
      </c>
      <c r="Q36" s="6">
        <v>1.2398</v>
      </c>
      <c r="R36" s="6">
        <v>3.2751</v>
      </c>
    </row>
    <row r="37">
      <c r="A37" s="5" t="s">
        <v>57</v>
      </c>
      <c r="B37" s="5" t="s">
        <v>1857</v>
      </c>
      <c r="C37" s="5" t="s">
        <v>73</v>
      </c>
      <c r="D37" s="6">
        <v>17.0686</v>
      </c>
      <c r="E37" s="6">
        <v>17.07</v>
      </c>
      <c r="F37" s="6">
        <v>-0.0014</v>
      </c>
      <c r="G37" s="6">
        <v>1.8985</v>
      </c>
      <c r="H37" s="6">
        <v>10.1835</v>
      </c>
      <c r="I37" s="6">
        <v>28.3442</v>
      </c>
      <c r="J37" s="6">
        <v>42.1266</v>
      </c>
      <c r="K37" s="6">
        <v>1.5202</v>
      </c>
      <c r="L37" s="6">
        <v>10.5943</v>
      </c>
      <c r="M37" s="6">
        <v>28.4688</v>
      </c>
      <c r="N37" s="6">
        <v>42.1766</v>
      </c>
      <c r="O37" s="6">
        <v>-1.0956</v>
      </c>
      <c r="P37" s="6">
        <v>4.0E-4</v>
      </c>
      <c r="Q37" s="6">
        <v>1.2899</v>
      </c>
      <c r="R37" s="6">
        <v>3.4288</v>
      </c>
    </row>
    <row r="38">
      <c r="A38" s="5" t="s">
        <v>57</v>
      </c>
      <c r="B38" s="5" t="s">
        <v>1857</v>
      </c>
      <c r="C38" s="5" t="s">
        <v>74</v>
      </c>
      <c r="D38" s="6">
        <v>10.3279</v>
      </c>
      <c r="E38" s="6">
        <v>10.2161</v>
      </c>
      <c r="F38" s="6">
        <v>0.1118</v>
      </c>
      <c r="G38" s="6">
        <v>1.0519</v>
      </c>
      <c r="H38" s="6">
        <v>5.8663</v>
      </c>
      <c r="I38" s="6">
        <v>16.3016</v>
      </c>
      <c r="J38" s="6">
        <v>25.7846</v>
      </c>
      <c r="K38" s="6">
        <v>0.9861</v>
      </c>
      <c r="L38" s="6">
        <v>5.8142</v>
      </c>
      <c r="M38" s="6">
        <v>16.1196</v>
      </c>
      <c r="N38" s="6">
        <v>25.5989</v>
      </c>
      <c r="O38" s="6">
        <v>-0.7111</v>
      </c>
      <c r="P38" s="6">
        <v>0.0</v>
      </c>
      <c r="Q38" s="6">
        <v>0.9987</v>
      </c>
      <c r="R38" s="6">
        <v>2.0316</v>
      </c>
    </row>
    <row r="39">
      <c r="A39" s="5" t="s">
        <v>57</v>
      </c>
      <c r="B39" s="5" t="s">
        <v>1857</v>
      </c>
      <c r="C39" s="5" t="s">
        <v>69</v>
      </c>
      <c r="D39" s="6">
        <v>21.1688</v>
      </c>
      <c r="E39" s="6">
        <v>23.8809</v>
      </c>
      <c r="F39" s="6">
        <v>-2.7121</v>
      </c>
      <c r="G39" s="6">
        <v>4.3458</v>
      </c>
      <c r="H39" s="6">
        <v>16.1728</v>
      </c>
      <c r="I39" s="6">
        <v>34.1791</v>
      </c>
      <c r="J39" s="6">
        <v>47.0944</v>
      </c>
      <c r="K39" s="6">
        <v>3.2202</v>
      </c>
      <c r="L39" s="6">
        <v>17.2433</v>
      </c>
      <c r="M39" s="6">
        <v>39.5443</v>
      </c>
      <c r="N39" s="6">
        <v>56.1166</v>
      </c>
      <c r="O39" s="6">
        <v>-6.1068</v>
      </c>
      <c r="P39" s="6">
        <v>-1.5558</v>
      </c>
      <c r="Q39" s="6">
        <v>1.4834</v>
      </c>
      <c r="R39" s="6">
        <v>4.6325</v>
      </c>
    </row>
    <row r="40">
      <c r="A40" s="5" t="s">
        <v>57</v>
      </c>
      <c r="B40" s="5" t="s">
        <v>1857</v>
      </c>
      <c r="C40" s="5" t="s">
        <v>70</v>
      </c>
      <c r="D40" s="6">
        <v>22.0834</v>
      </c>
      <c r="E40" s="6">
        <v>24.0613</v>
      </c>
      <c r="F40" s="6">
        <v>-1.9779</v>
      </c>
      <c r="G40" s="6">
        <v>4.8865</v>
      </c>
      <c r="H40" s="6">
        <v>16.7947</v>
      </c>
      <c r="I40" s="6">
        <v>35.5877</v>
      </c>
      <c r="J40" s="6">
        <v>48.7732</v>
      </c>
      <c r="K40" s="6">
        <v>3.2686</v>
      </c>
      <c r="L40" s="6">
        <v>17.2206</v>
      </c>
      <c r="M40" s="6">
        <v>39.8674</v>
      </c>
      <c r="N40" s="6">
        <v>56.2463</v>
      </c>
      <c r="O40" s="6">
        <v>-4.9689</v>
      </c>
      <c r="P40" s="6">
        <v>-1.0304</v>
      </c>
      <c r="Q40" s="6">
        <v>2.02</v>
      </c>
      <c r="R40" s="6">
        <v>5.1213</v>
      </c>
    </row>
    <row r="41">
      <c r="A41" s="5" t="s">
        <v>57</v>
      </c>
      <c r="B41" s="5" t="s">
        <v>1857</v>
      </c>
      <c r="C41" s="5" t="s">
        <v>71</v>
      </c>
      <c r="D41" s="6">
        <v>13.6981</v>
      </c>
      <c r="E41" s="6">
        <v>14.9165</v>
      </c>
      <c r="F41" s="6">
        <v>-1.2184</v>
      </c>
      <c r="G41" s="6">
        <v>2.0525</v>
      </c>
      <c r="H41" s="6">
        <v>8.5969</v>
      </c>
      <c r="I41" s="6">
        <v>21.5196</v>
      </c>
      <c r="J41" s="6">
        <v>33.2981</v>
      </c>
      <c r="K41" s="6">
        <v>1.537</v>
      </c>
      <c r="L41" s="6">
        <v>8.7979</v>
      </c>
      <c r="M41" s="6">
        <v>23.7071</v>
      </c>
      <c r="N41" s="6">
        <v>38.1202</v>
      </c>
      <c r="O41" s="6">
        <v>-2.8791</v>
      </c>
      <c r="P41" s="6">
        <v>-0.1566</v>
      </c>
      <c r="Q41" s="6">
        <v>1.0044</v>
      </c>
      <c r="R41" s="6">
        <v>3.0076</v>
      </c>
    </row>
    <row r="42">
      <c r="A42" s="5" t="s">
        <v>57</v>
      </c>
      <c r="B42" s="5" t="s">
        <v>1857</v>
      </c>
      <c r="C42" s="5" t="s">
        <v>1873</v>
      </c>
      <c r="D42" s="6">
        <v>93.7334</v>
      </c>
      <c r="E42" s="6">
        <v>30.0846</v>
      </c>
      <c r="F42" s="6">
        <v>63.6487</v>
      </c>
      <c r="G42" s="6">
        <v>0.0</v>
      </c>
      <c r="H42" s="6">
        <v>18.1453</v>
      </c>
      <c r="I42" s="6">
        <v>110.6813</v>
      </c>
      <c r="J42" s="6">
        <v>260.2764</v>
      </c>
      <c r="K42" s="6">
        <v>0.0</v>
      </c>
      <c r="L42" s="6">
        <v>3.5663</v>
      </c>
      <c r="M42" s="6">
        <v>33.9263</v>
      </c>
      <c r="N42" s="6">
        <v>96.6474</v>
      </c>
      <c r="O42" s="6">
        <v>0.0</v>
      </c>
      <c r="P42" s="6">
        <v>10.1286</v>
      </c>
      <c r="Q42" s="6">
        <v>71.6321</v>
      </c>
      <c r="R42" s="6">
        <v>156.527</v>
      </c>
    </row>
    <row r="43">
      <c r="A43" s="5" t="s">
        <v>57</v>
      </c>
      <c r="B43" s="5" t="s">
        <v>1857</v>
      </c>
      <c r="C43" s="5" t="s">
        <v>1874</v>
      </c>
      <c r="D43" s="6">
        <v>176.7091</v>
      </c>
      <c r="E43" s="6">
        <v>46.9606</v>
      </c>
      <c r="F43" s="6">
        <v>129.7485</v>
      </c>
      <c r="G43" s="6">
        <v>30.3623</v>
      </c>
      <c r="H43" s="6">
        <v>91.4999</v>
      </c>
      <c r="I43" s="6">
        <v>237.9268</v>
      </c>
      <c r="J43" s="6">
        <v>441.2644</v>
      </c>
      <c r="K43" s="6">
        <v>8.061</v>
      </c>
      <c r="L43" s="6">
        <v>20.7606</v>
      </c>
      <c r="M43" s="6">
        <v>60.0425</v>
      </c>
      <c r="N43" s="6">
        <v>129.5859</v>
      </c>
      <c r="O43" s="6">
        <v>23.5955</v>
      </c>
      <c r="P43" s="6">
        <v>66.9588</v>
      </c>
      <c r="Q43" s="6">
        <v>176.6134</v>
      </c>
      <c r="R43" s="6">
        <v>313.5459</v>
      </c>
    </row>
    <row r="44">
      <c r="A44" s="5" t="s">
        <v>57</v>
      </c>
      <c r="B44" s="5" t="s">
        <v>1857</v>
      </c>
      <c r="C44" s="5" t="s">
        <v>1875</v>
      </c>
      <c r="D44" s="6">
        <v>203.9376</v>
      </c>
      <c r="E44" s="6">
        <v>52.5079</v>
      </c>
      <c r="F44" s="6">
        <v>151.4297</v>
      </c>
      <c r="G44" s="6">
        <v>39.4447</v>
      </c>
      <c r="H44" s="6">
        <v>116.9559</v>
      </c>
      <c r="I44" s="6">
        <v>295.974</v>
      </c>
      <c r="J44" s="6">
        <v>491.0554</v>
      </c>
      <c r="K44" s="6">
        <v>8.1695</v>
      </c>
      <c r="L44" s="6">
        <v>26.0712</v>
      </c>
      <c r="M44" s="6">
        <v>70.6026</v>
      </c>
      <c r="N44" s="6">
        <v>139.5043</v>
      </c>
      <c r="O44" s="6">
        <v>28.1593</v>
      </c>
      <c r="P44" s="6">
        <v>86.7467</v>
      </c>
      <c r="Q44" s="6">
        <v>219.2092</v>
      </c>
      <c r="R44" s="6">
        <v>356.3172</v>
      </c>
    </row>
    <row r="45">
      <c r="A45" s="5" t="s">
        <v>57</v>
      </c>
      <c r="B45" s="5" t="s">
        <v>1857</v>
      </c>
      <c r="C45" s="5" t="s">
        <v>75</v>
      </c>
      <c r="D45" s="6">
        <v>1582.2323</v>
      </c>
      <c r="E45" s="6">
        <v>0.0032</v>
      </c>
      <c r="F45" s="6">
        <v>1582.2292</v>
      </c>
      <c r="G45" s="6">
        <v>269.9672</v>
      </c>
      <c r="H45" s="6">
        <v>1009.2504</v>
      </c>
      <c r="I45" s="6">
        <v>2668.8732</v>
      </c>
      <c r="J45" s="6">
        <v>3861.2586</v>
      </c>
      <c r="K45" s="6">
        <v>0.0</v>
      </c>
      <c r="L45" s="6">
        <v>0.0</v>
      </c>
      <c r="M45" s="6">
        <v>0.0</v>
      </c>
      <c r="N45" s="6">
        <v>0.0</v>
      </c>
      <c r="O45" s="6">
        <v>269.9662</v>
      </c>
      <c r="P45" s="6">
        <v>1009.2504</v>
      </c>
      <c r="Q45" s="6">
        <v>2668.8732</v>
      </c>
      <c r="R45" s="6">
        <v>3861.2586</v>
      </c>
    </row>
    <row r="46">
      <c r="A46" s="5" t="s">
        <v>58</v>
      </c>
      <c r="B46" s="5" t="s">
        <v>163</v>
      </c>
      <c r="C46" s="5" t="s">
        <v>1872</v>
      </c>
      <c r="D46" s="6">
        <v>1811.3387</v>
      </c>
      <c r="E46" s="6">
        <v>1790.0965</v>
      </c>
      <c r="F46" s="6">
        <v>21.2422</v>
      </c>
      <c r="G46" s="6">
        <v>288.806</v>
      </c>
      <c r="H46" s="6">
        <v>969.1738</v>
      </c>
      <c r="I46" s="6">
        <v>2974.17</v>
      </c>
      <c r="J46" s="6">
        <v>4732.3242</v>
      </c>
      <c r="K46" s="6">
        <v>282.0253</v>
      </c>
      <c r="L46" s="6">
        <v>981.4584</v>
      </c>
      <c r="M46" s="6">
        <v>2858.7609</v>
      </c>
      <c r="N46" s="6">
        <v>4602.6869</v>
      </c>
      <c r="O46" s="6">
        <v>-120.1095</v>
      </c>
      <c r="P46" s="6">
        <v>16.4398</v>
      </c>
      <c r="Q46" s="6">
        <v>163.0911</v>
      </c>
      <c r="R46" s="6">
        <v>471.2331</v>
      </c>
    </row>
    <row r="47">
      <c r="A47" s="5" t="s">
        <v>58</v>
      </c>
      <c r="B47" s="5" t="s">
        <v>163</v>
      </c>
      <c r="C47" s="5" t="s">
        <v>72</v>
      </c>
      <c r="D47" s="6">
        <v>17.5507</v>
      </c>
      <c r="E47" s="6">
        <v>17.5136</v>
      </c>
      <c r="F47" s="6">
        <v>0.0371</v>
      </c>
      <c r="G47" s="6">
        <v>2.2803</v>
      </c>
      <c r="H47" s="6">
        <v>8.8916</v>
      </c>
      <c r="I47" s="6">
        <v>28.5694</v>
      </c>
      <c r="J47" s="6">
        <v>48.0047</v>
      </c>
      <c r="K47" s="6">
        <v>2.0764</v>
      </c>
      <c r="L47" s="6">
        <v>9.1985</v>
      </c>
      <c r="M47" s="6">
        <v>28.3319</v>
      </c>
      <c r="N47" s="6">
        <v>47.8333</v>
      </c>
      <c r="O47" s="6">
        <v>-1.7443</v>
      </c>
      <c r="P47" s="6">
        <v>0.0085</v>
      </c>
      <c r="Q47" s="6">
        <v>1.924</v>
      </c>
      <c r="R47" s="6">
        <v>4.5185</v>
      </c>
    </row>
    <row r="48">
      <c r="A48" s="5" t="s">
        <v>58</v>
      </c>
      <c r="B48" s="5" t="s">
        <v>163</v>
      </c>
      <c r="C48" s="5" t="s">
        <v>73</v>
      </c>
      <c r="D48" s="6">
        <v>18.3227</v>
      </c>
      <c r="E48" s="6">
        <v>17.9972</v>
      </c>
      <c r="F48" s="6">
        <v>0.3255</v>
      </c>
      <c r="G48" s="6">
        <v>2.7629</v>
      </c>
      <c r="H48" s="6">
        <v>9.8891</v>
      </c>
      <c r="I48" s="6">
        <v>29.7825</v>
      </c>
      <c r="J48" s="6">
        <v>49.2041</v>
      </c>
      <c r="K48" s="6">
        <v>2.1064</v>
      </c>
      <c r="L48" s="6">
        <v>9.4144</v>
      </c>
      <c r="M48" s="6">
        <v>28.5084</v>
      </c>
      <c r="N48" s="6">
        <v>48.7054</v>
      </c>
      <c r="O48" s="6">
        <v>-1.3574</v>
      </c>
      <c r="P48" s="6">
        <v>0.1841</v>
      </c>
      <c r="Q48" s="6">
        <v>2.226</v>
      </c>
      <c r="R48" s="6">
        <v>5.6844</v>
      </c>
    </row>
    <row r="49">
      <c r="A49" s="5" t="s">
        <v>58</v>
      </c>
      <c r="B49" s="5" t="s">
        <v>163</v>
      </c>
      <c r="C49" s="5" t="s">
        <v>74</v>
      </c>
      <c r="D49" s="6">
        <v>10.0765</v>
      </c>
      <c r="E49" s="6">
        <v>9.6902</v>
      </c>
      <c r="F49" s="6">
        <v>0.3862</v>
      </c>
      <c r="G49" s="6">
        <v>1.4855</v>
      </c>
      <c r="H49" s="6">
        <v>5.2859</v>
      </c>
      <c r="I49" s="6">
        <v>16.0912</v>
      </c>
      <c r="J49" s="6">
        <v>26.7547</v>
      </c>
      <c r="K49" s="6">
        <v>1.01</v>
      </c>
      <c r="L49" s="6">
        <v>4.8401</v>
      </c>
      <c r="M49" s="6">
        <v>15.2309</v>
      </c>
      <c r="N49" s="6">
        <v>26.02</v>
      </c>
      <c r="O49" s="6">
        <v>-0.8959</v>
      </c>
      <c r="P49" s="6">
        <v>4.0E-4</v>
      </c>
      <c r="Q49" s="6">
        <v>1.2984</v>
      </c>
      <c r="R49" s="6">
        <v>3.501</v>
      </c>
    </row>
    <row r="50">
      <c r="A50" s="5" t="s">
        <v>58</v>
      </c>
      <c r="B50" s="5" t="s">
        <v>163</v>
      </c>
      <c r="C50" s="5" t="s">
        <v>69</v>
      </c>
      <c r="D50" s="6">
        <v>23.3857</v>
      </c>
      <c r="E50" s="6">
        <v>23.464</v>
      </c>
      <c r="F50" s="6">
        <v>-0.0783</v>
      </c>
      <c r="G50" s="6">
        <v>5.5338</v>
      </c>
      <c r="H50" s="6">
        <v>14.8023</v>
      </c>
      <c r="I50" s="6">
        <v>38.0779</v>
      </c>
      <c r="J50" s="6">
        <v>57.6461</v>
      </c>
      <c r="K50" s="6">
        <v>2.7564</v>
      </c>
      <c r="L50" s="6">
        <v>11.5101</v>
      </c>
      <c r="M50" s="6">
        <v>37.8144</v>
      </c>
      <c r="N50" s="6">
        <v>63.9385</v>
      </c>
      <c r="O50" s="6">
        <v>-5.1967</v>
      </c>
      <c r="P50" s="6">
        <v>0.0672</v>
      </c>
      <c r="Q50" s="6">
        <v>4.4517</v>
      </c>
      <c r="R50" s="6">
        <v>12.3748</v>
      </c>
    </row>
    <row r="51">
      <c r="A51" s="5" t="s">
        <v>58</v>
      </c>
      <c r="B51" s="5" t="s">
        <v>163</v>
      </c>
      <c r="C51" s="5" t="s">
        <v>70</v>
      </c>
      <c r="D51" s="6">
        <v>23.9249</v>
      </c>
      <c r="E51" s="6">
        <v>23.2639</v>
      </c>
      <c r="F51" s="6">
        <v>0.661</v>
      </c>
      <c r="G51" s="6">
        <v>5.9568</v>
      </c>
      <c r="H51" s="6">
        <v>15.1816</v>
      </c>
      <c r="I51" s="6">
        <v>39.1024</v>
      </c>
      <c r="J51" s="6">
        <v>58.7243</v>
      </c>
      <c r="K51" s="6">
        <v>2.6858</v>
      </c>
      <c r="L51" s="6">
        <v>11.5353</v>
      </c>
      <c r="M51" s="6">
        <v>37.4031</v>
      </c>
      <c r="N51" s="6">
        <v>62.9703</v>
      </c>
      <c r="O51" s="6">
        <v>-4.0548</v>
      </c>
      <c r="P51" s="6">
        <v>0.4248</v>
      </c>
      <c r="Q51" s="6">
        <v>4.9376</v>
      </c>
      <c r="R51" s="6">
        <v>12.806</v>
      </c>
    </row>
    <row r="52">
      <c r="A52" s="5" t="s">
        <v>58</v>
      </c>
      <c r="B52" s="5" t="s">
        <v>163</v>
      </c>
      <c r="C52" s="5" t="s">
        <v>71</v>
      </c>
      <c r="D52" s="6">
        <v>13.8885</v>
      </c>
      <c r="E52" s="6">
        <v>12.7146</v>
      </c>
      <c r="F52" s="6">
        <v>1.1739</v>
      </c>
      <c r="G52" s="6">
        <v>2.5985</v>
      </c>
      <c r="H52" s="6">
        <v>7.8545</v>
      </c>
      <c r="I52" s="6">
        <v>21.4346</v>
      </c>
      <c r="J52" s="6">
        <v>35.9699</v>
      </c>
      <c r="K52" s="6">
        <v>1.0526</v>
      </c>
      <c r="L52" s="6">
        <v>5.594</v>
      </c>
      <c r="M52" s="6">
        <v>19.545</v>
      </c>
      <c r="N52" s="6">
        <v>36.0683</v>
      </c>
      <c r="O52" s="6">
        <v>-1.7022</v>
      </c>
      <c r="P52" s="6">
        <v>0.2691</v>
      </c>
      <c r="Q52" s="6">
        <v>2.8005</v>
      </c>
      <c r="R52" s="6">
        <v>8.3538</v>
      </c>
    </row>
    <row r="53">
      <c r="A53" s="5" t="s">
        <v>58</v>
      </c>
      <c r="B53" s="5" t="s">
        <v>163</v>
      </c>
      <c r="C53" s="5" t="s">
        <v>1873</v>
      </c>
      <c r="D53" s="6">
        <v>42.873</v>
      </c>
      <c r="E53" s="6">
        <v>11.0935</v>
      </c>
      <c r="F53" s="6">
        <v>31.7795</v>
      </c>
      <c r="G53" s="6">
        <v>0.0</v>
      </c>
      <c r="H53" s="6">
        <v>12.2972</v>
      </c>
      <c r="I53" s="6">
        <v>69.4272</v>
      </c>
      <c r="J53" s="6">
        <v>129.5139</v>
      </c>
      <c r="K53" s="6">
        <v>0.0</v>
      </c>
      <c r="L53" s="6">
        <v>1.2232</v>
      </c>
      <c r="M53" s="6">
        <v>16.9676</v>
      </c>
      <c r="N53" s="6">
        <v>34.6106</v>
      </c>
      <c r="O53" s="6">
        <v>0.0</v>
      </c>
      <c r="P53" s="6">
        <v>7.7267</v>
      </c>
      <c r="Q53" s="6">
        <v>51.5761</v>
      </c>
      <c r="R53" s="6">
        <v>98.9055</v>
      </c>
    </row>
    <row r="54">
      <c r="A54" s="5" t="s">
        <v>58</v>
      </c>
      <c r="B54" s="5" t="s">
        <v>163</v>
      </c>
      <c r="C54" s="5" t="s">
        <v>1874</v>
      </c>
      <c r="D54" s="6">
        <v>111.8361</v>
      </c>
      <c r="E54" s="6">
        <v>25.3322</v>
      </c>
      <c r="F54" s="6">
        <v>86.5039</v>
      </c>
      <c r="G54" s="6">
        <v>29.7722</v>
      </c>
      <c r="H54" s="6">
        <v>72.9571</v>
      </c>
      <c r="I54" s="6">
        <v>165.086</v>
      </c>
      <c r="J54" s="6">
        <v>278.5237</v>
      </c>
      <c r="K54" s="6">
        <v>6.3586</v>
      </c>
      <c r="L54" s="6">
        <v>17.0655</v>
      </c>
      <c r="M54" s="6">
        <v>35.8603</v>
      </c>
      <c r="N54" s="6">
        <v>61.6458</v>
      </c>
      <c r="O54" s="6">
        <v>20.404</v>
      </c>
      <c r="P54" s="6">
        <v>54.5661</v>
      </c>
      <c r="Q54" s="6">
        <v>127.9375</v>
      </c>
      <c r="R54" s="6">
        <v>221.3635</v>
      </c>
    </row>
    <row r="55">
      <c r="A55" s="5" t="s">
        <v>58</v>
      </c>
      <c r="B55" s="5" t="s">
        <v>163</v>
      </c>
      <c r="C55" s="5" t="s">
        <v>1875</v>
      </c>
      <c r="D55" s="6">
        <v>160.9772</v>
      </c>
      <c r="E55" s="6">
        <v>34.3466</v>
      </c>
      <c r="F55" s="6">
        <v>126.6305</v>
      </c>
      <c r="G55" s="6">
        <v>39.81</v>
      </c>
      <c r="H55" s="6">
        <v>105.0657</v>
      </c>
      <c r="I55" s="6">
        <v>250.9535</v>
      </c>
      <c r="J55" s="6">
        <v>401.0709</v>
      </c>
      <c r="K55" s="6">
        <v>8.165</v>
      </c>
      <c r="L55" s="6">
        <v>22.2718</v>
      </c>
      <c r="M55" s="6">
        <v>51.7336</v>
      </c>
      <c r="N55" s="6">
        <v>84.1834</v>
      </c>
      <c r="O55" s="6">
        <v>28.2865</v>
      </c>
      <c r="P55" s="6">
        <v>81.0758</v>
      </c>
      <c r="Q55" s="6">
        <v>196.6644</v>
      </c>
      <c r="R55" s="6">
        <v>320.6623</v>
      </c>
    </row>
    <row r="56">
      <c r="A56" s="5" t="s">
        <v>58</v>
      </c>
      <c r="B56" s="5" t="s">
        <v>163</v>
      </c>
      <c r="C56" s="5" t="s">
        <v>75</v>
      </c>
      <c r="D56" s="6">
        <v>1656.3232</v>
      </c>
      <c r="E56" s="6">
        <v>0.0076</v>
      </c>
      <c r="F56" s="6">
        <v>1656.3156</v>
      </c>
      <c r="G56" s="6">
        <v>318.0832</v>
      </c>
      <c r="H56" s="6">
        <v>903.883</v>
      </c>
      <c r="I56" s="6">
        <v>2606.3317</v>
      </c>
      <c r="J56" s="6">
        <v>4472.4367</v>
      </c>
      <c r="K56" s="6">
        <v>0.0</v>
      </c>
      <c r="L56" s="6">
        <v>0.0</v>
      </c>
      <c r="M56" s="6">
        <v>0.0</v>
      </c>
      <c r="N56" s="6">
        <v>0.0</v>
      </c>
      <c r="O56" s="6">
        <v>318.071</v>
      </c>
      <c r="P56" s="6">
        <v>903.8725</v>
      </c>
      <c r="Q56" s="6">
        <v>2606.3317</v>
      </c>
      <c r="R56" s="6">
        <v>4472.4367</v>
      </c>
    </row>
    <row r="57">
      <c r="A57" s="5" t="s">
        <v>58</v>
      </c>
      <c r="B57" s="5" t="s">
        <v>1857</v>
      </c>
      <c r="C57" s="5" t="s">
        <v>1872</v>
      </c>
      <c r="D57" s="6">
        <v>3482.0387</v>
      </c>
      <c r="E57" s="6">
        <v>3505.9955</v>
      </c>
      <c r="F57" s="6">
        <v>-23.9567</v>
      </c>
      <c r="G57" s="6">
        <v>373.0905</v>
      </c>
      <c r="H57" s="6">
        <v>1327.4079</v>
      </c>
      <c r="I57" s="6">
        <v>4618.2706</v>
      </c>
      <c r="J57" s="6">
        <v>9037.0713</v>
      </c>
      <c r="K57" s="6">
        <v>368.8179</v>
      </c>
      <c r="L57" s="6">
        <v>1347.3572</v>
      </c>
      <c r="M57" s="6">
        <v>4672.998</v>
      </c>
      <c r="N57" s="6">
        <v>9152.339</v>
      </c>
      <c r="O57" s="6">
        <v>-105.346</v>
      </c>
      <c r="P57" s="6">
        <v>5.0772</v>
      </c>
      <c r="Q57" s="6">
        <v>114.4651</v>
      </c>
      <c r="R57" s="6">
        <v>314.7702</v>
      </c>
    </row>
    <row r="58">
      <c r="A58" s="5" t="s">
        <v>58</v>
      </c>
      <c r="B58" s="5" t="s">
        <v>1857</v>
      </c>
      <c r="C58" s="5" t="s">
        <v>72</v>
      </c>
      <c r="D58" s="6">
        <v>23.3863</v>
      </c>
      <c r="E58" s="6">
        <v>23.4754</v>
      </c>
      <c r="F58" s="6">
        <v>-0.0891</v>
      </c>
      <c r="G58" s="6">
        <v>2.8398</v>
      </c>
      <c r="H58" s="6">
        <v>10.4429</v>
      </c>
      <c r="I58" s="6">
        <v>36.487</v>
      </c>
      <c r="J58" s="6">
        <v>63.3446</v>
      </c>
      <c r="K58" s="6">
        <v>2.5656</v>
      </c>
      <c r="L58" s="6">
        <v>10.7907</v>
      </c>
      <c r="M58" s="6">
        <v>36.9275</v>
      </c>
      <c r="N58" s="6">
        <v>63.7461</v>
      </c>
      <c r="O58" s="6">
        <v>-1.53</v>
      </c>
      <c r="P58" s="6">
        <v>0.0017</v>
      </c>
      <c r="Q58" s="6">
        <v>1.6833</v>
      </c>
      <c r="R58" s="6">
        <v>3.857</v>
      </c>
    </row>
    <row r="59">
      <c r="A59" s="5" t="s">
        <v>58</v>
      </c>
      <c r="B59" s="5" t="s">
        <v>1857</v>
      </c>
      <c r="C59" s="5" t="s">
        <v>73</v>
      </c>
      <c r="D59" s="6">
        <v>23.3896</v>
      </c>
      <c r="E59" s="6">
        <v>23.2334</v>
      </c>
      <c r="F59" s="6">
        <v>0.1562</v>
      </c>
      <c r="G59" s="6">
        <v>2.9535</v>
      </c>
      <c r="H59" s="6">
        <v>11.111</v>
      </c>
      <c r="I59" s="6">
        <v>36.2181</v>
      </c>
      <c r="J59" s="6">
        <v>62.6043</v>
      </c>
      <c r="K59" s="6">
        <v>2.5873</v>
      </c>
      <c r="L59" s="6">
        <v>10.8949</v>
      </c>
      <c r="M59" s="6">
        <v>36.21</v>
      </c>
      <c r="N59" s="6">
        <v>62.786</v>
      </c>
      <c r="O59" s="6">
        <v>-1.3222</v>
      </c>
      <c r="P59" s="6">
        <v>0.0197</v>
      </c>
      <c r="Q59" s="6">
        <v>1.9608</v>
      </c>
      <c r="R59" s="6">
        <v>4.4211</v>
      </c>
    </row>
    <row r="60">
      <c r="A60" s="5" t="s">
        <v>58</v>
      </c>
      <c r="B60" s="5" t="s">
        <v>1857</v>
      </c>
      <c r="C60" s="5" t="s">
        <v>74</v>
      </c>
      <c r="D60" s="6">
        <v>15.1739</v>
      </c>
      <c r="E60" s="6">
        <v>14.9837</v>
      </c>
      <c r="F60" s="6">
        <v>0.1902</v>
      </c>
      <c r="G60" s="6">
        <v>1.9794</v>
      </c>
      <c r="H60" s="6">
        <v>6.7157</v>
      </c>
      <c r="I60" s="6">
        <v>22.409</v>
      </c>
      <c r="J60" s="6">
        <v>40.3574</v>
      </c>
      <c r="K60" s="6">
        <v>1.601</v>
      </c>
      <c r="L60" s="6">
        <v>6.5527</v>
      </c>
      <c r="M60" s="6">
        <v>22.3637</v>
      </c>
      <c r="N60" s="6">
        <v>40.3924</v>
      </c>
      <c r="O60" s="6">
        <v>-0.9228</v>
      </c>
      <c r="P60" s="6">
        <v>0.0</v>
      </c>
      <c r="Q60" s="6">
        <v>1.0</v>
      </c>
      <c r="R60" s="6">
        <v>2.6332</v>
      </c>
    </row>
    <row r="61">
      <c r="A61" s="5" t="s">
        <v>58</v>
      </c>
      <c r="B61" s="5" t="s">
        <v>1857</v>
      </c>
      <c r="C61" s="5" t="s">
        <v>69</v>
      </c>
      <c r="D61" s="6">
        <v>27.9401</v>
      </c>
      <c r="E61" s="6">
        <v>31.1172</v>
      </c>
      <c r="F61" s="6">
        <v>-3.1771</v>
      </c>
      <c r="G61" s="6">
        <v>6.3138</v>
      </c>
      <c r="H61" s="6">
        <v>17.6194</v>
      </c>
      <c r="I61" s="6">
        <v>43.5171</v>
      </c>
      <c r="J61" s="6">
        <v>67.5322</v>
      </c>
      <c r="K61" s="6">
        <v>4.5695</v>
      </c>
      <c r="L61" s="6">
        <v>17.623</v>
      </c>
      <c r="M61" s="6">
        <v>50.3269</v>
      </c>
      <c r="N61" s="6">
        <v>80.1932</v>
      </c>
      <c r="O61" s="6">
        <v>-7.9068</v>
      </c>
      <c r="P61" s="6">
        <v>-1.7929</v>
      </c>
      <c r="Q61" s="6">
        <v>2.3467</v>
      </c>
      <c r="R61" s="6">
        <v>6.9145</v>
      </c>
    </row>
    <row r="62">
      <c r="A62" s="5" t="s">
        <v>58</v>
      </c>
      <c r="B62" s="5" t="s">
        <v>1857</v>
      </c>
      <c r="C62" s="5" t="s">
        <v>70</v>
      </c>
      <c r="D62" s="6">
        <v>28.705</v>
      </c>
      <c r="E62" s="6">
        <v>31.113</v>
      </c>
      <c r="F62" s="6">
        <v>-2.4079</v>
      </c>
      <c r="G62" s="6">
        <v>6.9619</v>
      </c>
      <c r="H62" s="6">
        <v>17.8496</v>
      </c>
      <c r="I62" s="6">
        <v>44.704</v>
      </c>
      <c r="J62" s="6">
        <v>69.0434</v>
      </c>
      <c r="K62" s="6">
        <v>4.7078</v>
      </c>
      <c r="L62" s="6">
        <v>17.5729</v>
      </c>
      <c r="M62" s="6">
        <v>50.492</v>
      </c>
      <c r="N62" s="6">
        <v>79.6569</v>
      </c>
      <c r="O62" s="6">
        <v>-6.5748</v>
      </c>
      <c r="P62" s="6">
        <v>-1.232</v>
      </c>
      <c r="Q62" s="6">
        <v>2.8824</v>
      </c>
      <c r="R62" s="6">
        <v>7.313</v>
      </c>
    </row>
    <row r="63">
      <c r="A63" s="5" t="s">
        <v>58</v>
      </c>
      <c r="B63" s="5" t="s">
        <v>1857</v>
      </c>
      <c r="C63" s="5" t="s">
        <v>71</v>
      </c>
      <c r="D63" s="6">
        <v>18.9934</v>
      </c>
      <c r="E63" s="6">
        <v>20.4239</v>
      </c>
      <c r="F63" s="6">
        <v>-1.4305</v>
      </c>
      <c r="G63" s="6">
        <v>2.987</v>
      </c>
      <c r="H63" s="6">
        <v>9.7185</v>
      </c>
      <c r="I63" s="6">
        <v>28.344</v>
      </c>
      <c r="J63" s="6">
        <v>49.6383</v>
      </c>
      <c r="K63" s="6">
        <v>2.0827</v>
      </c>
      <c r="L63" s="6">
        <v>9.3514</v>
      </c>
      <c r="M63" s="6">
        <v>31.4568</v>
      </c>
      <c r="N63" s="6">
        <v>56.2719</v>
      </c>
      <c r="O63" s="6">
        <v>-3.7837</v>
      </c>
      <c r="P63" s="6">
        <v>-0.522</v>
      </c>
      <c r="Q63" s="6">
        <v>1.3009</v>
      </c>
      <c r="R63" s="6">
        <v>4.1881</v>
      </c>
    </row>
    <row r="64">
      <c r="A64" s="5" t="s">
        <v>58</v>
      </c>
      <c r="B64" s="5" t="s">
        <v>1857</v>
      </c>
      <c r="C64" s="5" t="s">
        <v>1873</v>
      </c>
      <c r="D64" s="6">
        <v>128.392</v>
      </c>
      <c r="E64" s="6">
        <v>42.5648</v>
      </c>
      <c r="F64" s="6">
        <v>85.8272</v>
      </c>
      <c r="G64" s="6">
        <v>0.0</v>
      </c>
      <c r="H64" s="6">
        <v>39.2693</v>
      </c>
      <c r="I64" s="6">
        <v>146.7848</v>
      </c>
      <c r="J64" s="6">
        <v>374.3986</v>
      </c>
      <c r="K64" s="6">
        <v>0.0</v>
      </c>
      <c r="L64" s="6">
        <v>11.3712</v>
      </c>
      <c r="M64" s="6">
        <v>49.4126</v>
      </c>
      <c r="N64" s="6">
        <v>127.486</v>
      </c>
      <c r="O64" s="6">
        <v>0.0</v>
      </c>
      <c r="P64" s="6">
        <v>24.9545</v>
      </c>
      <c r="Q64" s="6">
        <v>93.2294</v>
      </c>
      <c r="R64" s="6">
        <v>223.835</v>
      </c>
    </row>
    <row r="65">
      <c r="A65" s="5" t="s">
        <v>58</v>
      </c>
      <c r="B65" s="5" t="s">
        <v>1857</v>
      </c>
      <c r="C65" s="5" t="s">
        <v>1874</v>
      </c>
      <c r="D65" s="6">
        <v>217.0429</v>
      </c>
      <c r="E65" s="6">
        <v>62.9169</v>
      </c>
      <c r="F65" s="6">
        <v>154.1261</v>
      </c>
      <c r="G65" s="6">
        <v>45.43</v>
      </c>
      <c r="H65" s="6">
        <v>102.8918</v>
      </c>
      <c r="I65" s="6">
        <v>282.4623</v>
      </c>
      <c r="J65" s="6">
        <v>566.4832</v>
      </c>
      <c r="K65" s="6">
        <v>11.472</v>
      </c>
      <c r="L65" s="6">
        <v>27.1782</v>
      </c>
      <c r="M65" s="6">
        <v>79.2958</v>
      </c>
      <c r="N65" s="6">
        <v>171.3679</v>
      </c>
      <c r="O65" s="6">
        <v>29.9656</v>
      </c>
      <c r="P65" s="6">
        <v>73.4847</v>
      </c>
      <c r="Q65" s="6">
        <v>199.5889</v>
      </c>
      <c r="R65" s="6">
        <v>394.1574</v>
      </c>
    </row>
    <row r="66">
      <c r="A66" s="5" t="s">
        <v>58</v>
      </c>
      <c r="B66" s="5" t="s">
        <v>1857</v>
      </c>
      <c r="C66" s="5" t="s">
        <v>1875</v>
      </c>
      <c r="D66" s="6">
        <v>253.3057</v>
      </c>
      <c r="E66" s="6">
        <v>70.8018</v>
      </c>
      <c r="F66" s="6">
        <v>182.5039</v>
      </c>
      <c r="G66" s="6">
        <v>49.3511</v>
      </c>
      <c r="H66" s="6">
        <v>130.5362</v>
      </c>
      <c r="I66" s="6">
        <v>357.8542</v>
      </c>
      <c r="J66" s="6">
        <v>639.8006</v>
      </c>
      <c r="K66" s="6">
        <v>12.7044</v>
      </c>
      <c r="L66" s="6">
        <v>33.0221</v>
      </c>
      <c r="M66" s="6">
        <v>95.032</v>
      </c>
      <c r="N66" s="6">
        <v>187.1496</v>
      </c>
      <c r="O66" s="6">
        <v>34.921</v>
      </c>
      <c r="P66" s="6">
        <v>94.9617</v>
      </c>
      <c r="Q66" s="6">
        <v>254.6709</v>
      </c>
      <c r="R66" s="6">
        <v>454.5813</v>
      </c>
    </row>
    <row r="67">
      <c r="A67" s="5" t="s">
        <v>58</v>
      </c>
      <c r="B67" s="5" t="s">
        <v>1857</v>
      </c>
      <c r="C67" s="5" t="s">
        <v>75</v>
      </c>
      <c r="D67" s="6">
        <v>1883.1256</v>
      </c>
      <c r="E67" s="6">
        <v>4.0E-4</v>
      </c>
      <c r="F67" s="6">
        <v>1883.1252</v>
      </c>
      <c r="G67" s="6">
        <v>358.957</v>
      </c>
      <c r="H67" s="6">
        <v>1002.0749</v>
      </c>
      <c r="I67" s="6">
        <v>2965.8148</v>
      </c>
      <c r="J67" s="6">
        <v>5068.8644</v>
      </c>
      <c r="K67" s="6">
        <v>0.0</v>
      </c>
      <c r="L67" s="6">
        <v>0.0</v>
      </c>
      <c r="M67" s="6">
        <v>0.0</v>
      </c>
      <c r="N67" s="6">
        <v>0.0</v>
      </c>
      <c r="O67" s="6">
        <v>358.9517</v>
      </c>
      <c r="P67" s="6">
        <v>1002.0749</v>
      </c>
      <c r="Q67" s="6">
        <v>2965.8148</v>
      </c>
      <c r="R67" s="6">
        <v>5068.8644</v>
      </c>
    </row>
    <row r="68">
      <c r="A68" s="5" t="s">
        <v>59</v>
      </c>
      <c r="B68" s="5" t="s">
        <v>163</v>
      </c>
      <c r="C68" s="5" t="s">
        <v>1872</v>
      </c>
      <c r="D68" s="6">
        <v>2911.8309</v>
      </c>
      <c r="E68" s="6">
        <v>2906.4336</v>
      </c>
      <c r="F68" s="6">
        <v>5.3973</v>
      </c>
      <c r="G68" s="6">
        <v>587.8922</v>
      </c>
      <c r="H68" s="6">
        <v>1440.3134</v>
      </c>
      <c r="I68" s="6">
        <v>4046.2744</v>
      </c>
      <c r="J68" s="6">
        <v>8071.915</v>
      </c>
      <c r="K68" s="6">
        <v>569.0445</v>
      </c>
      <c r="L68" s="6">
        <v>1459.6132</v>
      </c>
      <c r="M68" s="6">
        <v>3877.8345</v>
      </c>
      <c r="N68" s="6">
        <v>7736.721</v>
      </c>
      <c r="O68" s="6">
        <v>-184.4363</v>
      </c>
      <c r="P68" s="6">
        <v>6.835</v>
      </c>
      <c r="Q68" s="6">
        <v>217.4486</v>
      </c>
      <c r="R68" s="6">
        <v>722.446</v>
      </c>
    </row>
    <row r="69">
      <c r="A69" s="5" t="s">
        <v>59</v>
      </c>
      <c r="B69" s="5" t="s">
        <v>163</v>
      </c>
      <c r="C69" s="5" t="s">
        <v>72</v>
      </c>
      <c r="D69" s="6">
        <v>24.1592</v>
      </c>
      <c r="E69" s="6">
        <v>24.7829</v>
      </c>
      <c r="F69" s="6">
        <v>-0.6237</v>
      </c>
      <c r="G69" s="6">
        <v>4.7541</v>
      </c>
      <c r="H69" s="6">
        <v>12.3973</v>
      </c>
      <c r="I69" s="6">
        <v>33.5622</v>
      </c>
      <c r="J69" s="6">
        <v>68.1225</v>
      </c>
      <c r="K69" s="6">
        <v>4.6565</v>
      </c>
      <c r="L69" s="6">
        <v>13.5837</v>
      </c>
      <c r="M69" s="6">
        <v>34.2414</v>
      </c>
      <c r="N69" s="6">
        <v>68.526</v>
      </c>
      <c r="O69" s="6">
        <v>-3.0039</v>
      </c>
      <c r="P69" s="6">
        <v>-0.1341</v>
      </c>
      <c r="Q69" s="6">
        <v>2.0006</v>
      </c>
      <c r="R69" s="6">
        <v>5.322</v>
      </c>
    </row>
    <row r="70">
      <c r="A70" s="5" t="s">
        <v>59</v>
      </c>
      <c r="B70" s="5" t="s">
        <v>163</v>
      </c>
      <c r="C70" s="5" t="s">
        <v>73</v>
      </c>
      <c r="D70" s="6">
        <v>26.8277</v>
      </c>
      <c r="E70" s="6">
        <v>26.882</v>
      </c>
      <c r="F70" s="6">
        <v>-0.0542</v>
      </c>
      <c r="G70" s="6">
        <v>5.8617</v>
      </c>
      <c r="H70" s="6">
        <v>14.1087</v>
      </c>
      <c r="I70" s="6">
        <v>36.7178</v>
      </c>
      <c r="J70" s="6">
        <v>75.5138</v>
      </c>
      <c r="K70" s="6">
        <v>5.0529</v>
      </c>
      <c r="L70" s="6">
        <v>13.9726</v>
      </c>
      <c r="M70" s="6">
        <v>36.146</v>
      </c>
      <c r="N70" s="6">
        <v>75.2498</v>
      </c>
      <c r="O70" s="6">
        <v>-2.3212</v>
      </c>
      <c r="P70" s="6">
        <v>0.0983</v>
      </c>
      <c r="Q70" s="6">
        <v>2.913</v>
      </c>
      <c r="R70" s="6">
        <v>7.2984</v>
      </c>
    </row>
    <row r="71">
      <c r="A71" s="5" t="s">
        <v>59</v>
      </c>
      <c r="B71" s="5" t="s">
        <v>163</v>
      </c>
      <c r="C71" s="5" t="s">
        <v>74</v>
      </c>
      <c r="D71" s="6">
        <v>17.1687</v>
      </c>
      <c r="E71" s="6">
        <v>17.3078</v>
      </c>
      <c r="F71" s="6">
        <v>-0.1391</v>
      </c>
      <c r="G71" s="6">
        <v>3.0723</v>
      </c>
      <c r="H71" s="6">
        <v>7.9783</v>
      </c>
      <c r="I71" s="6">
        <v>22.8092</v>
      </c>
      <c r="J71" s="6">
        <v>48.3995</v>
      </c>
      <c r="K71" s="6">
        <v>2.5622</v>
      </c>
      <c r="L71" s="6">
        <v>7.8763</v>
      </c>
      <c r="M71" s="6">
        <v>21.9164</v>
      </c>
      <c r="N71" s="6">
        <v>47.5807</v>
      </c>
      <c r="O71" s="6">
        <v>-1.0824</v>
      </c>
      <c r="P71" s="6">
        <v>0.0046</v>
      </c>
      <c r="Q71" s="6">
        <v>1.873</v>
      </c>
      <c r="R71" s="6">
        <v>4.693</v>
      </c>
    </row>
    <row r="72">
      <c r="A72" s="5" t="s">
        <v>59</v>
      </c>
      <c r="B72" s="5" t="s">
        <v>163</v>
      </c>
      <c r="C72" s="5" t="s">
        <v>69</v>
      </c>
      <c r="D72" s="6">
        <v>33.2245</v>
      </c>
      <c r="E72" s="6">
        <v>32.6981</v>
      </c>
      <c r="F72" s="6">
        <v>0.5264</v>
      </c>
      <c r="G72" s="6">
        <v>8.7795</v>
      </c>
      <c r="H72" s="6">
        <v>18.0879</v>
      </c>
      <c r="I72" s="6">
        <v>45.828</v>
      </c>
      <c r="J72" s="6">
        <v>87.9268</v>
      </c>
      <c r="K72" s="6">
        <v>5.1373</v>
      </c>
      <c r="L72" s="6">
        <v>15.8833</v>
      </c>
      <c r="M72" s="6">
        <v>43.1382</v>
      </c>
      <c r="N72" s="6">
        <v>92.5215</v>
      </c>
      <c r="O72" s="6">
        <v>-7.4651</v>
      </c>
      <c r="P72" s="6">
        <v>-0.4792</v>
      </c>
      <c r="Q72" s="6">
        <v>6.528</v>
      </c>
      <c r="R72" s="6">
        <v>18.5413</v>
      </c>
    </row>
    <row r="73">
      <c r="A73" s="5" t="s">
        <v>59</v>
      </c>
      <c r="B73" s="5" t="s">
        <v>163</v>
      </c>
      <c r="C73" s="5" t="s">
        <v>70</v>
      </c>
      <c r="D73" s="6">
        <v>33.6412</v>
      </c>
      <c r="E73" s="6">
        <v>33.001</v>
      </c>
      <c r="F73" s="6">
        <v>0.6402</v>
      </c>
      <c r="G73" s="6">
        <v>9.109</v>
      </c>
      <c r="H73" s="6">
        <v>18.8548</v>
      </c>
      <c r="I73" s="6">
        <v>46.8559</v>
      </c>
      <c r="J73" s="6">
        <v>87.776</v>
      </c>
      <c r="K73" s="6">
        <v>5.3112</v>
      </c>
      <c r="L73" s="6">
        <v>16.6639</v>
      </c>
      <c r="M73" s="6">
        <v>43.8756</v>
      </c>
      <c r="N73" s="6">
        <v>92.0102</v>
      </c>
      <c r="O73" s="6">
        <v>-7.2945</v>
      </c>
      <c r="P73" s="6">
        <v>-0.3599</v>
      </c>
      <c r="Q73" s="6">
        <v>6.6685</v>
      </c>
      <c r="R73" s="6">
        <v>19.0392</v>
      </c>
    </row>
    <row r="74">
      <c r="A74" s="5" t="s">
        <v>59</v>
      </c>
      <c r="B74" s="5" t="s">
        <v>163</v>
      </c>
      <c r="C74" s="5" t="s">
        <v>71</v>
      </c>
      <c r="D74" s="6">
        <v>21.0428</v>
      </c>
      <c r="E74" s="6">
        <v>19.0318</v>
      </c>
      <c r="F74" s="6">
        <v>2.011</v>
      </c>
      <c r="G74" s="6">
        <v>4.6595</v>
      </c>
      <c r="H74" s="6">
        <v>10.4181</v>
      </c>
      <c r="I74" s="6">
        <v>27.0705</v>
      </c>
      <c r="J74" s="6">
        <v>56.191</v>
      </c>
      <c r="K74" s="6">
        <v>2.434</v>
      </c>
      <c r="L74" s="6">
        <v>8.6099</v>
      </c>
      <c r="M74" s="6">
        <v>23.6887</v>
      </c>
      <c r="N74" s="6">
        <v>53.1405</v>
      </c>
      <c r="O74" s="6">
        <v>-3.1631</v>
      </c>
      <c r="P74" s="6">
        <v>0.1541</v>
      </c>
      <c r="Q74" s="6">
        <v>4.1187</v>
      </c>
      <c r="R74" s="6">
        <v>12.7255</v>
      </c>
    </row>
    <row r="75">
      <c r="A75" s="5" t="s">
        <v>59</v>
      </c>
      <c r="B75" s="5" t="s">
        <v>163</v>
      </c>
      <c r="C75" s="5" t="s">
        <v>1873</v>
      </c>
      <c r="D75" s="6">
        <v>65.1455</v>
      </c>
      <c r="E75" s="6">
        <v>20.0453</v>
      </c>
      <c r="F75" s="6">
        <v>45.1002</v>
      </c>
      <c r="G75" s="6">
        <v>0.0</v>
      </c>
      <c r="H75" s="6">
        <v>27.0254</v>
      </c>
      <c r="I75" s="6">
        <v>93.6041</v>
      </c>
      <c r="J75" s="6">
        <v>206.2338</v>
      </c>
      <c r="K75" s="6">
        <v>0.0</v>
      </c>
      <c r="L75" s="6">
        <v>7.8865</v>
      </c>
      <c r="M75" s="6">
        <v>27.6279</v>
      </c>
      <c r="N75" s="6">
        <v>61.3928</v>
      </c>
      <c r="O75" s="6">
        <v>0.0</v>
      </c>
      <c r="P75" s="6">
        <v>18.2742</v>
      </c>
      <c r="Q75" s="6">
        <v>64.7509</v>
      </c>
      <c r="R75" s="6">
        <v>144.6838</v>
      </c>
    </row>
    <row r="76">
      <c r="A76" s="5" t="s">
        <v>59</v>
      </c>
      <c r="B76" s="5" t="s">
        <v>163</v>
      </c>
      <c r="C76" s="5" t="s">
        <v>1874</v>
      </c>
      <c r="D76" s="6">
        <v>150.6368</v>
      </c>
      <c r="E76" s="6">
        <v>40.7039</v>
      </c>
      <c r="F76" s="6">
        <v>109.9329</v>
      </c>
      <c r="G76" s="6">
        <v>30.0558</v>
      </c>
      <c r="H76" s="6">
        <v>77.8564</v>
      </c>
      <c r="I76" s="6">
        <v>209.5581</v>
      </c>
      <c r="J76" s="6">
        <v>407.5239</v>
      </c>
      <c r="K76" s="6">
        <v>8.2837</v>
      </c>
      <c r="L76" s="6">
        <v>21.0393</v>
      </c>
      <c r="M76" s="6">
        <v>53.8864</v>
      </c>
      <c r="N76" s="6">
        <v>107.8538</v>
      </c>
      <c r="O76" s="6">
        <v>20.6289</v>
      </c>
      <c r="P76" s="6">
        <v>55.4709</v>
      </c>
      <c r="Q76" s="6">
        <v>156.1652</v>
      </c>
      <c r="R76" s="6">
        <v>302.6016</v>
      </c>
    </row>
    <row r="77">
      <c r="A77" s="5" t="s">
        <v>59</v>
      </c>
      <c r="B77" s="5" t="s">
        <v>163</v>
      </c>
      <c r="C77" s="5" t="s">
        <v>1875</v>
      </c>
      <c r="D77" s="6">
        <v>212.7756</v>
      </c>
      <c r="E77" s="6">
        <v>51.9504</v>
      </c>
      <c r="F77" s="6">
        <v>160.8252</v>
      </c>
      <c r="G77" s="6">
        <v>56.3801</v>
      </c>
      <c r="H77" s="6">
        <v>141.3489</v>
      </c>
      <c r="I77" s="6">
        <v>305.6791</v>
      </c>
      <c r="J77" s="6">
        <v>512.5999</v>
      </c>
      <c r="K77" s="6">
        <v>13.5022</v>
      </c>
      <c r="L77" s="6">
        <v>32.1733</v>
      </c>
      <c r="M77" s="6">
        <v>73.0679</v>
      </c>
      <c r="N77" s="6">
        <v>128.2173</v>
      </c>
      <c r="O77" s="6">
        <v>39.4652</v>
      </c>
      <c r="P77" s="6">
        <v>106.5625</v>
      </c>
      <c r="Q77" s="6">
        <v>231.391</v>
      </c>
      <c r="R77" s="6">
        <v>389.9194</v>
      </c>
    </row>
    <row r="78">
      <c r="A78" s="5" t="s">
        <v>59</v>
      </c>
      <c r="B78" s="5" t="s">
        <v>163</v>
      </c>
      <c r="C78" s="5" t="s">
        <v>75</v>
      </c>
      <c r="D78" s="6">
        <v>2280.3878</v>
      </c>
      <c r="E78" s="6">
        <v>0.0184</v>
      </c>
      <c r="F78" s="6">
        <v>2280.3694</v>
      </c>
      <c r="G78" s="6">
        <v>513.0892</v>
      </c>
      <c r="H78" s="6">
        <v>1164.8894</v>
      </c>
      <c r="I78" s="6">
        <v>3030.1855</v>
      </c>
      <c r="J78" s="6">
        <v>6424.1786</v>
      </c>
      <c r="K78" s="6">
        <v>0.0</v>
      </c>
      <c r="L78" s="6">
        <v>0.0</v>
      </c>
      <c r="M78" s="6">
        <v>0.0</v>
      </c>
      <c r="N78" s="6">
        <v>0.0</v>
      </c>
      <c r="O78" s="6">
        <v>512.9741</v>
      </c>
      <c r="P78" s="6">
        <v>1164.8894</v>
      </c>
      <c r="Q78" s="6">
        <v>3030.1805</v>
      </c>
      <c r="R78" s="6">
        <v>6424.1786</v>
      </c>
    </row>
    <row r="79">
      <c r="A79" s="5" t="s">
        <v>59</v>
      </c>
      <c r="B79" s="5" t="s">
        <v>1857</v>
      </c>
      <c r="C79" s="5" t="s">
        <v>1872</v>
      </c>
      <c r="D79" s="6">
        <v>5704.6816</v>
      </c>
      <c r="E79" s="6">
        <v>5772.1227</v>
      </c>
      <c r="F79" s="6">
        <v>-67.4412</v>
      </c>
      <c r="G79" s="6">
        <v>791.0586</v>
      </c>
      <c r="H79" s="6">
        <v>2190.3708</v>
      </c>
      <c r="I79" s="6">
        <v>6200.7499</v>
      </c>
      <c r="J79" s="6">
        <v>14636.8273</v>
      </c>
      <c r="K79" s="6">
        <v>800.5517</v>
      </c>
      <c r="L79" s="6">
        <v>2238.1024</v>
      </c>
      <c r="M79" s="6">
        <v>6306.7405</v>
      </c>
      <c r="N79" s="6">
        <v>14717.7951</v>
      </c>
      <c r="O79" s="6">
        <v>-141.4375</v>
      </c>
      <c r="P79" s="6">
        <v>1.6697</v>
      </c>
      <c r="Q79" s="6">
        <v>137.8523</v>
      </c>
      <c r="R79" s="6">
        <v>400.4875</v>
      </c>
    </row>
    <row r="80">
      <c r="A80" s="5" t="s">
        <v>59</v>
      </c>
      <c r="B80" s="5" t="s">
        <v>1857</v>
      </c>
      <c r="C80" s="5" t="s">
        <v>72</v>
      </c>
      <c r="D80" s="6">
        <v>32.8543</v>
      </c>
      <c r="E80" s="6">
        <v>33.0889</v>
      </c>
      <c r="F80" s="6">
        <v>-0.2346</v>
      </c>
      <c r="G80" s="6">
        <v>5.4931</v>
      </c>
      <c r="H80" s="6">
        <v>16.2955</v>
      </c>
      <c r="I80" s="6">
        <v>42.0958</v>
      </c>
      <c r="J80" s="6">
        <v>85.2994</v>
      </c>
      <c r="K80" s="6">
        <v>5.5228</v>
      </c>
      <c r="L80" s="6">
        <v>16.5924</v>
      </c>
      <c r="M80" s="6">
        <v>42.9351</v>
      </c>
      <c r="N80" s="6">
        <v>85.8811</v>
      </c>
      <c r="O80" s="6">
        <v>-2.0472</v>
      </c>
      <c r="P80" s="6">
        <v>-0.0011</v>
      </c>
      <c r="Q80" s="6">
        <v>1.9598</v>
      </c>
      <c r="R80" s="6">
        <v>4.7864</v>
      </c>
    </row>
    <row r="81">
      <c r="A81" s="5" t="s">
        <v>59</v>
      </c>
      <c r="B81" s="5" t="s">
        <v>1857</v>
      </c>
      <c r="C81" s="5" t="s">
        <v>73</v>
      </c>
      <c r="D81" s="6">
        <v>34.2471</v>
      </c>
      <c r="E81" s="6">
        <v>34.1802</v>
      </c>
      <c r="F81" s="6">
        <v>0.0669</v>
      </c>
      <c r="G81" s="6">
        <v>6.4906</v>
      </c>
      <c r="H81" s="6">
        <v>17.4406</v>
      </c>
      <c r="I81" s="6">
        <v>43.6384</v>
      </c>
      <c r="J81" s="6">
        <v>89.3005</v>
      </c>
      <c r="K81" s="6">
        <v>5.8593</v>
      </c>
      <c r="L81" s="6">
        <v>17.2347</v>
      </c>
      <c r="M81" s="6">
        <v>44.1382</v>
      </c>
      <c r="N81" s="6">
        <v>89.3328</v>
      </c>
      <c r="O81" s="6">
        <v>-1.9883</v>
      </c>
      <c r="P81" s="6">
        <v>0.0788</v>
      </c>
      <c r="Q81" s="6">
        <v>2.2729</v>
      </c>
      <c r="R81" s="6">
        <v>5.5796</v>
      </c>
    </row>
    <row r="82">
      <c r="A82" s="5" t="s">
        <v>59</v>
      </c>
      <c r="B82" s="5" t="s">
        <v>1857</v>
      </c>
      <c r="C82" s="5" t="s">
        <v>74</v>
      </c>
      <c r="D82" s="6">
        <v>24.7514</v>
      </c>
      <c r="E82" s="6">
        <v>24.591</v>
      </c>
      <c r="F82" s="6">
        <v>0.1604</v>
      </c>
      <c r="G82" s="6">
        <v>3.9868</v>
      </c>
      <c r="H82" s="6">
        <v>11.3805</v>
      </c>
      <c r="I82" s="6">
        <v>30.2608</v>
      </c>
      <c r="J82" s="6">
        <v>64.9311</v>
      </c>
      <c r="K82" s="6">
        <v>3.6843</v>
      </c>
      <c r="L82" s="6">
        <v>11.3241</v>
      </c>
      <c r="M82" s="6">
        <v>30.1795</v>
      </c>
      <c r="N82" s="6">
        <v>64.669</v>
      </c>
      <c r="O82" s="6">
        <v>-1.0</v>
      </c>
      <c r="P82" s="6">
        <v>0.0</v>
      </c>
      <c r="Q82" s="6">
        <v>1.0872</v>
      </c>
      <c r="R82" s="6">
        <v>3.1637</v>
      </c>
    </row>
    <row r="83">
      <c r="A83" s="5" t="s">
        <v>59</v>
      </c>
      <c r="B83" s="5" t="s">
        <v>1857</v>
      </c>
      <c r="C83" s="5" t="s">
        <v>69</v>
      </c>
      <c r="D83" s="6">
        <v>40.2527</v>
      </c>
      <c r="E83" s="6">
        <v>44.6828</v>
      </c>
      <c r="F83" s="6">
        <v>-4.4301</v>
      </c>
      <c r="G83" s="6">
        <v>11.0895</v>
      </c>
      <c r="H83" s="6">
        <v>24.1628</v>
      </c>
      <c r="I83" s="6">
        <v>53.242</v>
      </c>
      <c r="J83" s="6">
        <v>97.8428</v>
      </c>
      <c r="K83" s="6">
        <v>9.2694</v>
      </c>
      <c r="L83" s="6">
        <v>25.6073</v>
      </c>
      <c r="M83" s="6">
        <v>61.9873</v>
      </c>
      <c r="N83" s="6">
        <v>115.2689</v>
      </c>
      <c r="O83" s="6">
        <v>-11.0365</v>
      </c>
      <c r="P83" s="6">
        <v>-3.2463</v>
      </c>
      <c r="Q83" s="6">
        <v>2.8193</v>
      </c>
      <c r="R83" s="6">
        <v>10.1344</v>
      </c>
    </row>
    <row r="84">
      <c r="A84" s="5" t="s">
        <v>59</v>
      </c>
      <c r="B84" s="5" t="s">
        <v>1857</v>
      </c>
      <c r="C84" s="5" t="s">
        <v>70</v>
      </c>
      <c r="D84" s="6">
        <v>40.6727</v>
      </c>
      <c r="E84" s="6">
        <v>44.7518</v>
      </c>
      <c r="F84" s="6">
        <v>-4.0791</v>
      </c>
      <c r="G84" s="6">
        <v>11.1606</v>
      </c>
      <c r="H84" s="6">
        <v>24.5621</v>
      </c>
      <c r="I84" s="6">
        <v>54.014</v>
      </c>
      <c r="J84" s="6">
        <v>97.9816</v>
      </c>
      <c r="K84" s="6">
        <v>9.3973</v>
      </c>
      <c r="L84" s="6">
        <v>25.9679</v>
      </c>
      <c r="M84" s="6">
        <v>62.0558</v>
      </c>
      <c r="N84" s="6">
        <v>114.8418</v>
      </c>
      <c r="O84" s="6">
        <v>-10.3102</v>
      </c>
      <c r="P84" s="6">
        <v>-2.7645</v>
      </c>
      <c r="Q84" s="6">
        <v>3.0339</v>
      </c>
      <c r="R84" s="6">
        <v>10.2971</v>
      </c>
    </row>
    <row r="85">
      <c r="A85" s="5" t="s">
        <v>59</v>
      </c>
      <c r="B85" s="5" t="s">
        <v>1857</v>
      </c>
      <c r="C85" s="5" t="s">
        <v>71</v>
      </c>
      <c r="D85" s="6">
        <v>28.3988</v>
      </c>
      <c r="E85" s="6">
        <v>30.0154</v>
      </c>
      <c r="F85" s="6">
        <v>-1.6167</v>
      </c>
      <c r="G85" s="6">
        <v>5.7253</v>
      </c>
      <c r="H85" s="6">
        <v>14.9112</v>
      </c>
      <c r="I85" s="6">
        <v>35.7111</v>
      </c>
      <c r="J85" s="6">
        <v>71.6867</v>
      </c>
      <c r="K85" s="6">
        <v>4.5561</v>
      </c>
      <c r="L85" s="6">
        <v>14.6223</v>
      </c>
      <c r="M85" s="6">
        <v>39.4486</v>
      </c>
      <c r="N85" s="6">
        <v>80.5613</v>
      </c>
      <c r="O85" s="6">
        <v>-5.5126</v>
      </c>
      <c r="P85" s="6">
        <v>-1.0416</v>
      </c>
      <c r="Q85" s="6">
        <v>1.9292</v>
      </c>
      <c r="R85" s="6">
        <v>6.8286</v>
      </c>
    </row>
    <row r="86">
      <c r="A86" s="5" t="s">
        <v>59</v>
      </c>
      <c r="B86" s="5" t="s">
        <v>1857</v>
      </c>
      <c r="C86" s="5" t="s">
        <v>1873</v>
      </c>
      <c r="D86" s="6">
        <v>157.3368</v>
      </c>
      <c r="E86" s="6">
        <v>58.455</v>
      </c>
      <c r="F86" s="6">
        <v>98.8818</v>
      </c>
      <c r="G86" s="6">
        <v>19.2582</v>
      </c>
      <c r="H86" s="6">
        <v>61.293</v>
      </c>
      <c r="I86" s="6">
        <v>180.5642</v>
      </c>
      <c r="J86" s="6">
        <v>438.01</v>
      </c>
      <c r="K86" s="6">
        <v>2.9935</v>
      </c>
      <c r="L86" s="6">
        <v>20.9802</v>
      </c>
      <c r="M86" s="6">
        <v>64.0903</v>
      </c>
      <c r="N86" s="6">
        <v>157.8318</v>
      </c>
      <c r="O86" s="6">
        <v>7.7567</v>
      </c>
      <c r="P86" s="6">
        <v>38.1128</v>
      </c>
      <c r="Q86" s="6">
        <v>112.1159</v>
      </c>
      <c r="R86" s="6">
        <v>265.0184</v>
      </c>
    </row>
    <row r="87">
      <c r="A87" s="5" t="s">
        <v>59</v>
      </c>
      <c r="B87" s="5" t="s">
        <v>1857</v>
      </c>
      <c r="C87" s="5" t="s">
        <v>1874</v>
      </c>
      <c r="D87" s="6">
        <v>267.728</v>
      </c>
      <c r="E87" s="6">
        <v>87.8331</v>
      </c>
      <c r="F87" s="6">
        <v>179.8949</v>
      </c>
      <c r="G87" s="6">
        <v>58.3104</v>
      </c>
      <c r="H87" s="6">
        <v>136.3912</v>
      </c>
      <c r="I87" s="6">
        <v>350.8563</v>
      </c>
      <c r="J87" s="6">
        <v>679.7633</v>
      </c>
      <c r="K87" s="6">
        <v>17.4567</v>
      </c>
      <c r="L87" s="6">
        <v>40.3811</v>
      </c>
      <c r="M87" s="6">
        <v>103.9355</v>
      </c>
      <c r="N87" s="6">
        <v>224.9142</v>
      </c>
      <c r="O87" s="6">
        <v>39.0626</v>
      </c>
      <c r="P87" s="6">
        <v>92.7653</v>
      </c>
      <c r="Q87" s="6">
        <v>238.2197</v>
      </c>
      <c r="R87" s="6">
        <v>452.1103</v>
      </c>
    </row>
    <row r="88">
      <c r="A88" s="5" t="s">
        <v>59</v>
      </c>
      <c r="B88" s="5" t="s">
        <v>1857</v>
      </c>
      <c r="C88" s="5" t="s">
        <v>1875</v>
      </c>
      <c r="D88" s="6">
        <v>313.9955</v>
      </c>
      <c r="E88" s="6">
        <v>96.9253</v>
      </c>
      <c r="F88" s="6">
        <v>217.0702</v>
      </c>
      <c r="G88" s="6">
        <v>79.4141</v>
      </c>
      <c r="H88" s="6">
        <v>187.7097</v>
      </c>
      <c r="I88" s="6">
        <v>424.7063</v>
      </c>
      <c r="J88" s="6">
        <v>749.8408</v>
      </c>
      <c r="K88" s="6">
        <v>22.2055</v>
      </c>
      <c r="L88" s="6">
        <v>50.5864</v>
      </c>
      <c r="M88" s="6">
        <v>119.704</v>
      </c>
      <c r="N88" s="6">
        <v>238.531</v>
      </c>
      <c r="O88" s="6">
        <v>54.0451</v>
      </c>
      <c r="P88" s="6">
        <v>132.8668</v>
      </c>
      <c r="Q88" s="6">
        <v>295.8974</v>
      </c>
      <c r="R88" s="6">
        <v>514.476</v>
      </c>
    </row>
    <row r="89">
      <c r="A89" s="5" t="s">
        <v>59</v>
      </c>
      <c r="B89" s="5" t="s">
        <v>1857</v>
      </c>
      <c r="C89" s="5" t="s">
        <v>75</v>
      </c>
      <c r="D89" s="6">
        <v>2536.7208</v>
      </c>
      <c r="E89" s="6">
        <v>0.0353</v>
      </c>
      <c r="F89" s="6">
        <v>2536.6855</v>
      </c>
      <c r="G89" s="6">
        <v>596.012</v>
      </c>
      <c r="H89" s="6">
        <v>1444.3018</v>
      </c>
      <c r="I89" s="6">
        <v>3409.2857</v>
      </c>
      <c r="J89" s="6">
        <v>6720.1124</v>
      </c>
      <c r="K89" s="6">
        <v>0.0</v>
      </c>
      <c r="L89" s="6">
        <v>0.0</v>
      </c>
      <c r="M89" s="6">
        <v>0.0</v>
      </c>
      <c r="N89" s="6">
        <v>0.0</v>
      </c>
      <c r="O89" s="6">
        <v>596.012</v>
      </c>
      <c r="P89" s="6">
        <v>1444.3018</v>
      </c>
      <c r="Q89" s="6">
        <v>3409.2857</v>
      </c>
      <c r="R89" s="6">
        <v>6720.1124</v>
      </c>
    </row>
    <row r="90">
      <c r="A90" s="5" t="s">
        <v>60</v>
      </c>
      <c r="B90" s="5" t="s">
        <v>163</v>
      </c>
      <c r="C90" s="5" t="s">
        <v>1872</v>
      </c>
      <c r="D90" s="6">
        <v>3500.4306</v>
      </c>
      <c r="E90" s="6">
        <v>3933.0551</v>
      </c>
      <c r="F90" s="6">
        <v>-432.6245</v>
      </c>
      <c r="G90" s="6">
        <v>876.0786</v>
      </c>
      <c r="H90" s="6">
        <v>1494.5447</v>
      </c>
      <c r="I90" s="6">
        <v>3081.0242</v>
      </c>
      <c r="J90" s="6">
        <v>10382.6536</v>
      </c>
      <c r="K90" s="6">
        <v>836.4818</v>
      </c>
      <c r="L90" s="6">
        <v>1600.1827</v>
      </c>
      <c r="M90" s="6">
        <v>3151.1046</v>
      </c>
      <c r="N90" s="6">
        <v>9351.6817</v>
      </c>
      <c r="O90" s="6">
        <v>-255.8367</v>
      </c>
      <c r="P90" s="6">
        <v>-62.2381</v>
      </c>
      <c r="Q90" s="6">
        <v>192.7405</v>
      </c>
      <c r="R90" s="6">
        <v>859.3967</v>
      </c>
    </row>
    <row r="91">
      <c r="A91" s="5" t="s">
        <v>60</v>
      </c>
      <c r="B91" s="5" t="s">
        <v>163</v>
      </c>
      <c r="C91" s="5" t="s">
        <v>72</v>
      </c>
      <c r="D91" s="6">
        <v>27.8477</v>
      </c>
      <c r="E91" s="6">
        <v>29.826</v>
      </c>
      <c r="F91" s="6">
        <v>-1.9783</v>
      </c>
      <c r="G91" s="6">
        <v>7.4374</v>
      </c>
      <c r="H91" s="6">
        <v>13.0404</v>
      </c>
      <c r="I91" s="6">
        <v>26.0295</v>
      </c>
      <c r="J91" s="6">
        <v>82.2385</v>
      </c>
      <c r="K91" s="6">
        <v>6.9942</v>
      </c>
      <c r="L91" s="6">
        <v>15.0726</v>
      </c>
      <c r="M91" s="6">
        <v>28.3673</v>
      </c>
      <c r="N91" s="6">
        <v>85.325</v>
      </c>
      <c r="O91" s="6">
        <v>-4.8315</v>
      </c>
      <c r="P91" s="6">
        <v>-1.7323</v>
      </c>
      <c r="Q91" s="6">
        <v>1.6416</v>
      </c>
      <c r="R91" s="6">
        <v>6.1324</v>
      </c>
    </row>
    <row r="92">
      <c r="A92" s="5" t="s">
        <v>60</v>
      </c>
      <c r="B92" s="5" t="s">
        <v>163</v>
      </c>
      <c r="C92" s="5" t="s">
        <v>73</v>
      </c>
      <c r="D92" s="6">
        <v>31.5024</v>
      </c>
      <c r="E92" s="6">
        <v>42.4562</v>
      </c>
      <c r="F92" s="6">
        <v>-10.9538</v>
      </c>
      <c r="G92" s="6">
        <v>8.6885</v>
      </c>
      <c r="H92" s="6">
        <v>14.6137</v>
      </c>
      <c r="I92" s="6">
        <v>29.7551</v>
      </c>
      <c r="J92" s="6">
        <v>93.3019</v>
      </c>
      <c r="K92" s="6">
        <v>7.5225</v>
      </c>
      <c r="L92" s="6">
        <v>15.7841</v>
      </c>
      <c r="M92" s="6">
        <v>31.3001</v>
      </c>
      <c r="N92" s="6">
        <v>99.9782</v>
      </c>
      <c r="O92" s="6">
        <v>-4.0</v>
      </c>
      <c r="P92" s="6">
        <v>-0.9801</v>
      </c>
      <c r="Q92" s="6">
        <v>2.5087</v>
      </c>
      <c r="R92" s="6">
        <v>7.6847</v>
      </c>
    </row>
    <row r="93">
      <c r="A93" s="5" t="s">
        <v>60</v>
      </c>
      <c r="B93" s="5" t="s">
        <v>163</v>
      </c>
      <c r="C93" s="5" t="s">
        <v>74</v>
      </c>
      <c r="D93" s="6">
        <v>21.7018</v>
      </c>
      <c r="E93" s="6">
        <v>24.6712</v>
      </c>
      <c r="F93" s="6">
        <v>-2.9694</v>
      </c>
      <c r="G93" s="6">
        <v>4.4854</v>
      </c>
      <c r="H93" s="6">
        <v>8.112</v>
      </c>
      <c r="I93" s="6">
        <v>18.7644</v>
      </c>
      <c r="J93" s="6">
        <v>67.6021</v>
      </c>
      <c r="K93" s="6">
        <v>4.4306</v>
      </c>
      <c r="L93" s="6">
        <v>9.7428</v>
      </c>
      <c r="M93" s="6">
        <v>20.2404</v>
      </c>
      <c r="N93" s="6">
        <v>68.7275</v>
      </c>
      <c r="O93" s="6">
        <v>-3.7175</v>
      </c>
      <c r="P93" s="6">
        <v>-0.9898</v>
      </c>
      <c r="Q93" s="6">
        <v>1.033</v>
      </c>
      <c r="R93" s="6">
        <v>4.3613</v>
      </c>
    </row>
    <row r="94">
      <c r="A94" s="5" t="s">
        <v>60</v>
      </c>
      <c r="B94" s="5" t="s">
        <v>163</v>
      </c>
      <c r="C94" s="5" t="s">
        <v>69</v>
      </c>
      <c r="D94" s="6">
        <v>42.4656</v>
      </c>
      <c r="E94" s="6">
        <v>39.3298</v>
      </c>
      <c r="F94" s="6">
        <v>3.1358</v>
      </c>
      <c r="G94" s="6">
        <v>11.9503</v>
      </c>
      <c r="H94" s="6">
        <v>19.9601</v>
      </c>
      <c r="I94" s="6">
        <v>38.2678</v>
      </c>
      <c r="J94" s="6">
        <v>116.5986</v>
      </c>
      <c r="K94" s="6">
        <v>6.8142</v>
      </c>
      <c r="L94" s="6">
        <v>18.6295</v>
      </c>
      <c r="M94" s="6">
        <v>35.4631</v>
      </c>
      <c r="N94" s="6">
        <v>94.3675</v>
      </c>
      <c r="O94" s="6">
        <v>-7.1476</v>
      </c>
      <c r="P94" s="6">
        <v>-0.4369</v>
      </c>
      <c r="Q94" s="6">
        <v>9.726</v>
      </c>
      <c r="R94" s="6">
        <v>22.3168</v>
      </c>
    </row>
    <row r="95">
      <c r="A95" s="5" t="s">
        <v>60</v>
      </c>
      <c r="B95" s="5" t="s">
        <v>163</v>
      </c>
      <c r="C95" s="5" t="s">
        <v>70</v>
      </c>
      <c r="D95" s="6">
        <v>44.0828</v>
      </c>
      <c r="E95" s="6">
        <v>40.6929</v>
      </c>
      <c r="F95" s="6">
        <v>3.3899</v>
      </c>
      <c r="G95" s="6">
        <v>12.9176</v>
      </c>
      <c r="H95" s="6">
        <v>22.2345</v>
      </c>
      <c r="I95" s="6">
        <v>39.7853</v>
      </c>
      <c r="J95" s="6">
        <v>117.6644</v>
      </c>
      <c r="K95" s="6">
        <v>7.4494</v>
      </c>
      <c r="L95" s="6">
        <v>20.2265</v>
      </c>
      <c r="M95" s="6">
        <v>37.4114</v>
      </c>
      <c r="N95" s="6">
        <v>96.064</v>
      </c>
      <c r="O95" s="6">
        <v>-7.2174</v>
      </c>
      <c r="P95" s="6">
        <v>-0.4232</v>
      </c>
      <c r="Q95" s="6">
        <v>10.3985</v>
      </c>
      <c r="R95" s="6">
        <v>23.4244</v>
      </c>
    </row>
    <row r="96">
      <c r="A96" s="5" t="s">
        <v>60</v>
      </c>
      <c r="B96" s="5" t="s">
        <v>163</v>
      </c>
      <c r="C96" s="5" t="s">
        <v>71</v>
      </c>
      <c r="D96" s="6">
        <v>28.8804</v>
      </c>
      <c r="E96" s="6">
        <v>24.657</v>
      </c>
      <c r="F96" s="6">
        <v>4.2234</v>
      </c>
      <c r="G96" s="6">
        <v>6.2907</v>
      </c>
      <c r="H96" s="6">
        <v>11.0901</v>
      </c>
      <c r="I96" s="6">
        <v>22.7703</v>
      </c>
      <c r="J96" s="6">
        <v>68.6083</v>
      </c>
      <c r="K96" s="6">
        <v>3.3655</v>
      </c>
      <c r="L96" s="6">
        <v>10.44</v>
      </c>
      <c r="M96" s="6">
        <v>19.9314</v>
      </c>
      <c r="N96" s="6">
        <v>52.0121</v>
      </c>
      <c r="O96" s="6">
        <v>-3.9316</v>
      </c>
      <c r="P96" s="6">
        <v>0.0111</v>
      </c>
      <c r="Q96" s="6">
        <v>6.1712</v>
      </c>
      <c r="R96" s="6">
        <v>15.223</v>
      </c>
    </row>
    <row r="97">
      <c r="A97" s="5" t="s">
        <v>60</v>
      </c>
      <c r="B97" s="5" t="s">
        <v>163</v>
      </c>
      <c r="C97" s="5" t="s">
        <v>1873</v>
      </c>
      <c r="D97" s="6">
        <v>57.0524</v>
      </c>
      <c r="E97" s="6">
        <v>21.7034</v>
      </c>
      <c r="F97" s="6">
        <v>35.349</v>
      </c>
      <c r="G97" s="6">
        <v>0.0</v>
      </c>
      <c r="H97" s="6">
        <v>28.6875</v>
      </c>
      <c r="I97" s="6">
        <v>52.5179</v>
      </c>
      <c r="J97" s="6">
        <v>183.8573</v>
      </c>
      <c r="K97" s="6">
        <v>0.0</v>
      </c>
      <c r="L97" s="6">
        <v>9.2411</v>
      </c>
      <c r="M97" s="6">
        <v>24.2868</v>
      </c>
      <c r="N97" s="6">
        <v>65.5142</v>
      </c>
      <c r="O97" s="6">
        <v>0.0</v>
      </c>
      <c r="P97" s="6">
        <v>14.7022</v>
      </c>
      <c r="Q97" s="6">
        <v>38.0259</v>
      </c>
      <c r="R97" s="6">
        <v>118.7392</v>
      </c>
    </row>
    <row r="98">
      <c r="A98" s="5" t="s">
        <v>60</v>
      </c>
      <c r="B98" s="5" t="s">
        <v>163</v>
      </c>
      <c r="C98" s="5" t="s">
        <v>1874</v>
      </c>
      <c r="D98" s="6">
        <v>142.735</v>
      </c>
      <c r="E98" s="6">
        <v>47.6773</v>
      </c>
      <c r="F98" s="6">
        <v>95.0576</v>
      </c>
      <c r="G98" s="6">
        <v>30.0541</v>
      </c>
      <c r="H98" s="6">
        <v>60.9065</v>
      </c>
      <c r="I98" s="6">
        <v>120.638</v>
      </c>
      <c r="J98" s="6">
        <v>417.0349</v>
      </c>
      <c r="K98" s="6">
        <v>9.7282</v>
      </c>
      <c r="L98" s="6">
        <v>22.592</v>
      </c>
      <c r="M98" s="6">
        <v>43.8471</v>
      </c>
      <c r="N98" s="6">
        <v>124.5138</v>
      </c>
      <c r="O98" s="6">
        <v>18.6311</v>
      </c>
      <c r="P98" s="6">
        <v>37.8419</v>
      </c>
      <c r="Q98" s="6">
        <v>81.8662</v>
      </c>
      <c r="R98" s="6">
        <v>282.5472</v>
      </c>
    </row>
    <row r="99">
      <c r="A99" s="5" t="s">
        <v>60</v>
      </c>
      <c r="B99" s="5" t="s">
        <v>163</v>
      </c>
      <c r="C99" s="5" t="s">
        <v>1875</v>
      </c>
      <c r="D99" s="6">
        <v>204.1882</v>
      </c>
      <c r="E99" s="6">
        <v>60.0396</v>
      </c>
      <c r="F99" s="6">
        <v>144.1486</v>
      </c>
      <c r="G99" s="6">
        <v>50.2661</v>
      </c>
      <c r="H99" s="6">
        <v>99.7491</v>
      </c>
      <c r="I99" s="6">
        <v>205.3783</v>
      </c>
      <c r="J99" s="6">
        <v>534.1625</v>
      </c>
      <c r="K99" s="6">
        <v>15.4312</v>
      </c>
      <c r="L99" s="6">
        <v>33.1509</v>
      </c>
      <c r="M99" s="6">
        <v>61.6876</v>
      </c>
      <c r="N99" s="6">
        <v>146.6694</v>
      </c>
      <c r="O99" s="6">
        <v>33.0816</v>
      </c>
      <c r="P99" s="6">
        <v>63.3786</v>
      </c>
      <c r="Q99" s="6">
        <v>146.3109</v>
      </c>
      <c r="R99" s="6">
        <v>384.875</v>
      </c>
    </row>
    <row r="100">
      <c r="A100" s="5" t="s">
        <v>60</v>
      </c>
      <c r="B100" s="5" t="s">
        <v>163</v>
      </c>
      <c r="C100" s="5" t="s">
        <v>75</v>
      </c>
      <c r="D100" s="6">
        <v>2584.6901</v>
      </c>
      <c r="E100" s="6">
        <v>0.0185</v>
      </c>
      <c r="F100" s="6">
        <v>2584.6716</v>
      </c>
      <c r="G100" s="6">
        <v>695.4487</v>
      </c>
      <c r="H100" s="6">
        <v>1169.4865</v>
      </c>
      <c r="I100" s="6">
        <v>2396.5692</v>
      </c>
      <c r="J100" s="6">
        <v>7506.9222</v>
      </c>
      <c r="K100" s="6">
        <v>0.0</v>
      </c>
      <c r="L100" s="6">
        <v>0.0</v>
      </c>
      <c r="M100" s="6">
        <v>0.0</v>
      </c>
      <c r="N100" s="6">
        <v>0.0</v>
      </c>
      <c r="O100" s="6">
        <v>695.4487</v>
      </c>
      <c r="P100" s="6">
        <v>1169.4865</v>
      </c>
      <c r="Q100" s="6">
        <v>2396.5692</v>
      </c>
      <c r="R100" s="6">
        <v>7506.9222</v>
      </c>
    </row>
    <row r="101">
      <c r="A101" s="5" t="s">
        <v>60</v>
      </c>
      <c r="B101" s="5" t="s">
        <v>1857</v>
      </c>
      <c r="C101" s="5" t="s">
        <v>1872</v>
      </c>
      <c r="D101" s="6">
        <v>7423.9743</v>
      </c>
      <c r="E101" s="6">
        <v>7653.2645</v>
      </c>
      <c r="F101" s="6">
        <v>-229.2902</v>
      </c>
      <c r="G101" s="6">
        <v>1507.383</v>
      </c>
      <c r="H101" s="6">
        <v>3041.4399</v>
      </c>
      <c r="I101" s="6">
        <v>7111.9017</v>
      </c>
      <c r="J101" s="6">
        <v>15502.1658</v>
      </c>
      <c r="K101" s="6">
        <v>1575.0187</v>
      </c>
      <c r="L101" s="6">
        <v>3226.3757</v>
      </c>
      <c r="M101" s="6">
        <v>7053.2152</v>
      </c>
      <c r="N101" s="6">
        <v>15462.5182</v>
      </c>
      <c r="O101" s="6">
        <v>-245.6302</v>
      </c>
      <c r="P101" s="6">
        <v>-56.3167</v>
      </c>
      <c r="Q101" s="6">
        <v>113.3948</v>
      </c>
      <c r="R101" s="6">
        <v>470.6842</v>
      </c>
    </row>
    <row r="102">
      <c r="A102" s="5" t="s">
        <v>60</v>
      </c>
      <c r="B102" s="5" t="s">
        <v>1857</v>
      </c>
      <c r="C102" s="5" t="s">
        <v>72</v>
      </c>
      <c r="D102" s="6">
        <v>41.0067</v>
      </c>
      <c r="E102" s="6">
        <v>42.0954</v>
      </c>
      <c r="F102" s="6">
        <v>-1.0887</v>
      </c>
      <c r="G102" s="6">
        <v>10.7362</v>
      </c>
      <c r="H102" s="6">
        <v>21.5168</v>
      </c>
      <c r="I102" s="6">
        <v>45.4614</v>
      </c>
      <c r="J102" s="6">
        <v>94.5639</v>
      </c>
      <c r="K102" s="6">
        <v>11.0489</v>
      </c>
      <c r="L102" s="6">
        <v>23.2242</v>
      </c>
      <c r="M102" s="6">
        <v>47.4227</v>
      </c>
      <c r="N102" s="6">
        <v>97.3491</v>
      </c>
      <c r="O102" s="6">
        <v>-4.1278</v>
      </c>
      <c r="P102" s="6">
        <v>-1.0</v>
      </c>
      <c r="Q102" s="6">
        <v>1.0364</v>
      </c>
      <c r="R102" s="6">
        <v>4.9467</v>
      </c>
    </row>
    <row r="103">
      <c r="A103" s="5" t="s">
        <v>60</v>
      </c>
      <c r="B103" s="5" t="s">
        <v>1857</v>
      </c>
      <c r="C103" s="5" t="s">
        <v>73</v>
      </c>
      <c r="D103" s="6">
        <v>43.5262</v>
      </c>
      <c r="E103" s="6">
        <v>44.4258</v>
      </c>
      <c r="F103" s="6">
        <v>-0.8996</v>
      </c>
      <c r="G103" s="6">
        <v>11.8718</v>
      </c>
      <c r="H103" s="6">
        <v>23.8075</v>
      </c>
      <c r="I103" s="6">
        <v>48.3187</v>
      </c>
      <c r="J103" s="6">
        <v>100.6415</v>
      </c>
      <c r="K103" s="6">
        <v>11.9512</v>
      </c>
      <c r="L103" s="6">
        <v>24.8519</v>
      </c>
      <c r="M103" s="6">
        <v>49.7376</v>
      </c>
      <c r="N103" s="6">
        <v>103.5602</v>
      </c>
      <c r="O103" s="6">
        <v>-4.0</v>
      </c>
      <c r="P103" s="6">
        <v>-0.9765</v>
      </c>
      <c r="Q103" s="6">
        <v>2.0</v>
      </c>
      <c r="R103" s="6">
        <v>6.5242</v>
      </c>
    </row>
    <row r="104">
      <c r="A104" s="5" t="s">
        <v>60</v>
      </c>
      <c r="B104" s="5" t="s">
        <v>1857</v>
      </c>
      <c r="C104" s="5" t="s">
        <v>74</v>
      </c>
      <c r="D104" s="6">
        <v>33.2193</v>
      </c>
      <c r="E104" s="6">
        <v>33.7444</v>
      </c>
      <c r="F104" s="6">
        <v>-0.5251</v>
      </c>
      <c r="G104" s="6">
        <v>8.0455</v>
      </c>
      <c r="H104" s="6">
        <v>15.6891</v>
      </c>
      <c r="I104" s="6">
        <v>35.2582</v>
      </c>
      <c r="J104" s="6">
        <v>80.0864</v>
      </c>
      <c r="K104" s="6">
        <v>7.9219</v>
      </c>
      <c r="L104" s="6">
        <v>16.7304</v>
      </c>
      <c r="M104" s="6">
        <v>35.3463</v>
      </c>
      <c r="N104" s="6">
        <v>81.6017</v>
      </c>
      <c r="O104" s="6">
        <v>-3.0</v>
      </c>
      <c r="P104" s="6">
        <v>-0.1504</v>
      </c>
      <c r="Q104" s="6">
        <v>1.0</v>
      </c>
      <c r="R104" s="6">
        <v>3.8246</v>
      </c>
    </row>
    <row r="105">
      <c r="A105" s="5" t="s">
        <v>60</v>
      </c>
      <c r="B105" s="5" t="s">
        <v>1857</v>
      </c>
      <c r="C105" s="5" t="s">
        <v>69</v>
      </c>
      <c r="D105" s="6">
        <v>52.1462</v>
      </c>
      <c r="E105" s="6">
        <v>55.6122</v>
      </c>
      <c r="F105" s="6">
        <v>-3.466</v>
      </c>
      <c r="G105" s="6">
        <v>17.6297</v>
      </c>
      <c r="H105" s="6">
        <v>30.6046</v>
      </c>
      <c r="I105" s="6">
        <v>58.9761</v>
      </c>
      <c r="J105" s="6">
        <v>120.9073</v>
      </c>
      <c r="K105" s="6">
        <v>17.1848</v>
      </c>
      <c r="L105" s="6">
        <v>32.804</v>
      </c>
      <c r="M105" s="6">
        <v>65.0757</v>
      </c>
      <c r="N105" s="6">
        <v>132.6292</v>
      </c>
      <c r="O105" s="6">
        <v>-11.9559</v>
      </c>
      <c r="P105" s="6">
        <v>-4.7375</v>
      </c>
      <c r="Q105" s="6">
        <v>3.7318</v>
      </c>
      <c r="R105" s="6">
        <v>16.7364</v>
      </c>
    </row>
    <row r="106">
      <c r="A106" s="5" t="s">
        <v>60</v>
      </c>
      <c r="B106" s="5" t="s">
        <v>1857</v>
      </c>
      <c r="C106" s="5" t="s">
        <v>70</v>
      </c>
      <c r="D106" s="6">
        <v>53.1551</v>
      </c>
      <c r="E106" s="6">
        <v>56.7254</v>
      </c>
      <c r="F106" s="6">
        <v>-3.5703</v>
      </c>
      <c r="G106" s="6">
        <v>18.3379</v>
      </c>
      <c r="H106" s="6">
        <v>31.7605</v>
      </c>
      <c r="I106" s="6">
        <v>60.5137</v>
      </c>
      <c r="J106" s="6">
        <v>121.7677</v>
      </c>
      <c r="K106" s="6">
        <v>17.3444</v>
      </c>
      <c r="L106" s="6">
        <v>34.5356</v>
      </c>
      <c r="M106" s="6">
        <v>66.7047</v>
      </c>
      <c r="N106" s="6">
        <v>135.1822</v>
      </c>
      <c r="O106" s="6">
        <v>-12.091</v>
      </c>
      <c r="P106" s="6">
        <v>-4.7268</v>
      </c>
      <c r="Q106" s="6">
        <v>3.6725</v>
      </c>
      <c r="R106" s="6">
        <v>16.0988</v>
      </c>
    </row>
    <row r="107">
      <c r="A107" s="5" t="s">
        <v>60</v>
      </c>
      <c r="B107" s="5" t="s">
        <v>1857</v>
      </c>
      <c r="C107" s="5" t="s">
        <v>71</v>
      </c>
      <c r="D107" s="6">
        <v>37.1574</v>
      </c>
      <c r="E107" s="6">
        <v>38.2879</v>
      </c>
      <c r="F107" s="6">
        <v>-1.1306</v>
      </c>
      <c r="G107" s="6">
        <v>10.1129</v>
      </c>
      <c r="H107" s="6">
        <v>19.9484</v>
      </c>
      <c r="I107" s="6">
        <v>40.8388</v>
      </c>
      <c r="J107" s="6">
        <v>83.8994</v>
      </c>
      <c r="K107" s="6">
        <v>9.1528</v>
      </c>
      <c r="L107" s="6">
        <v>20.3808</v>
      </c>
      <c r="M107" s="6">
        <v>42.1093</v>
      </c>
      <c r="N107" s="6">
        <v>88.9554</v>
      </c>
      <c r="O107" s="6">
        <v>-7.072</v>
      </c>
      <c r="P107" s="6">
        <v>-2.3791</v>
      </c>
      <c r="Q107" s="6">
        <v>2.4456</v>
      </c>
      <c r="R107" s="6">
        <v>10.9749</v>
      </c>
    </row>
    <row r="108">
      <c r="A108" s="5" t="s">
        <v>60</v>
      </c>
      <c r="B108" s="5" t="s">
        <v>1857</v>
      </c>
      <c r="C108" s="5" t="s">
        <v>1873</v>
      </c>
      <c r="D108" s="6">
        <v>144.428</v>
      </c>
      <c r="E108" s="6">
        <v>60.8622</v>
      </c>
      <c r="F108" s="6">
        <v>83.5658</v>
      </c>
      <c r="G108" s="6">
        <v>29.6962</v>
      </c>
      <c r="H108" s="6">
        <v>70.0835</v>
      </c>
      <c r="I108" s="6">
        <v>158.3322</v>
      </c>
      <c r="J108" s="6">
        <v>371.8713</v>
      </c>
      <c r="K108" s="6">
        <v>9.4734</v>
      </c>
      <c r="L108" s="6">
        <v>28.1806</v>
      </c>
      <c r="M108" s="6">
        <v>65.691</v>
      </c>
      <c r="N108" s="6">
        <v>145.7062</v>
      </c>
      <c r="O108" s="6">
        <v>15.1132</v>
      </c>
      <c r="P108" s="6">
        <v>40.9435</v>
      </c>
      <c r="Q108" s="6">
        <v>92.1162</v>
      </c>
      <c r="R108" s="6">
        <v>207.5185</v>
      </c>
    </row>
    <row r="109">
      <c r="A109" s="5" t="s">
        <v>60</v>
      </c>
      <c r="B109" s="5" t="s">
        <v>1857</v>
      </c>
      <c r="C109" s="5" t="s">
        <v>1874</v>
      </c>
      <c r="D109" s="6">
        <v>267.8627</v>
      </c>
      <c r="E109" s="6">
        <v>100.6998</v>
      </c>
      <c r="F109" s="6">
        <v>167.1629</v>
      </c>
      <c r="G109" s="6">
        <v>70.1056</v>
      </c>
      <c r="H109" s="6">
        <v>152.9054</v>
      </c>
      <c r="I109" s="6">
        <v>313.7934</v>
      </c>
      <c r="J109" s="6">
        <v>629.4875</v>
      </c>
      <c r="K109" s="6">
        <v>22.8699</v>
      </c>
      <c r="L109" s="6">
        <v>51.68</v>
      </c>
      <c r="M109" s="6">
        <v>114.9171</v>
      </c>
      <c r="N109" s="6">
        <v>239.1697</v>
      </c>
      <c r="O109" s="6">
        <v>41.2942</v>
      </c>
      <c r="P109" s="6">
        <v>96.6951</v>
      </c>
      <c r="Q109" s="6">
        <v>205.5213</v>
      </c>
      <c r="R109" s="6">
        <v>397.513</v>
      </c>
    </row>
    <row r="110">
      <c r="A110" s="5" t="s">
        <v>60</v>
      </c>
      <c r="B110" s="5" t="s">
        <v>1857</v>
      </c>
      <c r="C110" s="5" t="s">
        <v>1875</v>
      </c>
      <c r="D110" s="6">
        <v>331.5541</v>
      </c>
      <c r="E110" s="6">
        <v>113.9805</v>
      </c>
      <c r="F110" s="6">
        <v>217.5737</v>
      </c>
      <c r="G110" s="6">
        <v>100.1385</v>
      </c>
      <c r="H110" s="6">
        <v>196.9932</v>
      </c>
      <c r="I110" s="6">
        <v>402.125</v>
      </c>
      <c r="J110" s="6">
        <v>752.3778</v>
      </c>
      <c r="K110" s="6">
        <v>30.825</v>
      </c>
      <c r="L110" s="6">
        <v>64.0767</v>
      </c>
      <c r="M110" s="6">
        <v>131.2683</v>
      </c>
      <c r="N110" s="6">
        <v>267.3478</v>
      </c>
      <c r="O110" s="6">
        <v>64.7813</v>
      </c>
      <c r="P110" s="6">
        <v>128.7081</v>
      </c>
      <c r="Q110" s="6">
        <v>269.2078</v>
      </c>
      <c r="R110" s="6">
        <v>499.2603</v>
      </c>
    </row>
    <row r="111">
      <c r="A111" s="5" t="s">
        <v>60</v>
      </c>
      <c r="B111" s="5" t="s">
        <v>1857</v>
      </c>
      <c r="C111" s="5" t="s">
        <v>75</v>
      </c>
      <c r="D111" s="6">
        <v>3126.6027</v>
      </c>
      <c r="E111" s="6">
        <v>0.0</v>
      </c>
      <c r="F111" s="6">
        <v>3126.6027</v>
      </c>
      <c r="G111" s="6">
        <v>927.3641</v>
      </c>
      <c r="H111" s="6">
        <v>1833.1591</v>
      </c>
      <c r="I111" s="6">
        <v>3661.499</v>
      </c>
      <c r="J111" s="6">
        <v>7707.1643</v>
      </c>
      <c r="K111" s="6">
        <v>0.0</v>
      </c>
      <c r="L111" s="6">
        <v>0.0</v>
      </c>
      <c r="M111" s="6">
        <v>0.0</v>
      </c>
      <c r="N111" s="6">
        <v>0.0</v>
      </c>
      <c r="O111" s="6">
        <v>927.3641</v>
      </c>
      <c r="P111" s="6">
        <v>1833.1591</v>
      </c>
      <c r="Q111" s="6">
        <v>3661.499</v>
      </c>
      <c r="R111" s="6">
        <v>7707.1643</v>
      </c>
    </row>
  </sheetData>
  <drawing r:id="rId2"/>
  <legacyDrawing r:id="rId3"/>
</worksheet>
</file>